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0BC636BD-6690-4666-B366-D85366621DEC}" xr6:coauthVersionLast="47" xr6:coauthVersionMax="47" xr10:uidLastSave="{00000000-0000-0000-0000-000000000000}"/>
  <bookViews>
    <workbookView xWindow="28680" yWindow="-120" windowWidth="29040" windowHeight="15840" firstSheet="11" activeTab="20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6.01" sheetId="24" r:id="rId6"/>
    <sheet name="2021.06.02" sheetId="25" r:id="rId7"/>
    <sheet name="2021.06.03" sheetId="26" r:id="rId8"/>
    <sheet name="2021.06.04" sheetId="27" r:id="rId9"/>
    <sheet name="2021.06.05" sheetId="28" r:id="rId10"/>
    <sheet name="2021.06.06" sheetId="29" r:id="rId11"/>
    <sheet name="2021.06.07" sheetId="30" r:id="rId12"/>
    <sheet name="2021.06.08" sheetId="31" r:id="rId13"/>
    <sheet name="2021.06.09" sheetId="32" r:id="rId14"/>
    <sheet name="2021.06.10" sheetId="33" r:id="rId15"/>
    <sheet name="2021.06.11" sheetId="34" r:id="rId16"/>
    <sheet name="2021.06.12" sheetId="35" r:id="rId17"/>
    <sheet name="2021.06.13" sheetId="36" r:id="rId18"/>
    <sheet name="2021.06.14" sheetId="37" r:id="rId19"/>
    <sheet name="2021.06.15" sheetId="38" r:id="rId20"/>
    <sheet name="2021.06.16" sheetId="39" r:id="rId21"/>
  </sheets>
  <definedNames>
    <definedName name="_xlnm._FilterDatabase" localSheetId="5" hidden="1">'2021.06.01'!#REF!</definedName>
    <definedName name="_xlnm._FilterDatabase" localSheetId="6" hidden="1">'2021.06.02'!#REF!</definedName>
    <definedName name="_xlnm._FilterDatabase" localSheetId="7" hidden="1">'2021.06.03'!#REF!</definedName>
    <definedName name="_xlnm._FilterDatabase" localSheetId="8" hidden="1">'2021.06.04'!#REF!</definedName>
    <definedName name="_xlnm._FilterDatabase" localSheetId="9" hidden="1">'2021.06.05'!#REF!</definedName>
    <definedName name="_xlnm._FilterDatabase" localSheetId="10" hidden="1">'2021.06.06'!#REF!</definedName>
    <definedName name="_xlnm._FilterDatabase" localSheetId="11" hidden="1">'2021.06.07'!#REF!</definedName>
    <definedName name="_xlnm._FilterDatabase" localSheetId="12" hidden="1">'2021.06.08'!#REF!</definedName>
    <definedName name="_xlnm._FilterDatabase" localSheetId="13" hidden="1">'2021.06.09'!#REF!</definedName>
    <definedName name="_xlnm._FilterDatabase" localSheetId="14" hidden="1">'2021.06.10'!#REF!</definedName>
    <definedName name="_xlnm._FilterDatabase" localSheetId="15" hidden="1">'2021.06.11'!#REF!</definedName>
    <definedName name="_xlnm._FilterDatabase" localSheetId="16" hidden="1">'2021.06.12'!#REF!</definedName>
    <definedName name="_xlnm._FilterDatabase" localSheetId="17" hidden="1">'2021.06.13'!#REF!</definedName>
    <definedName name="_xlnm._FilterDatabase" localSheetId="18" hidden="1">'2021.06.14'!#REF!</definedName>
    <definedName name="_xlnm._FilterDatabase" localSheetId="19" hidden="1">'2021.06.15'!#REF!</definedName>
    <definedName name="_xlnm._FilterDatabase" localSheetId="20" hidden="1">'2021.06.16'!#REF!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39" l="1"/>
  <c r="O198" i="39"/>
  <c r="N198" i="39"/>
  <c r="L198" i="39"/>
  <c r="K198" i="39"/>
  <c r="I198" i="39"/>
  <c r="H198" i="39"/>
  <c r="F198" i="39"/>
  <c r="E198" i="39"/>
  <c r="O197" i="39"/>
  <c r="N197" i="39"/>
  <c r="L197" i="39"/>
  <c r="K197" i="39"/>
  <c r="I197" i="39"/>
  <c r="H197" i="39"/>
  <c r="F197" i="39"/>
  <c r="E197" i="39"/>
  <c r="O196" i="39"/>
  <c r="N196" i="39"/>
  <c r="L196" i="39"/>
  <c r="K196" i="39"/>
  <c r="I196" i="39"/>
  <c r="H196" i="39"/>
  <c r="F196" i="39"/>
  <c r="E196" i="39"/>
  <c r="O195" i="39"/>
  <c r="N195" i="39"/>
  <c r="L195" i="39"/>
  <c r="K195" i="39"/>
  <c r="I195" i="39"/>
  <c r="H195" i="39"/>
  <c r="F195" i="39"/>
  <c r="E195" i="39"/>
  <c r="O194" i="39"/>
  <c r="N194" i="39"/>
  <c r="L194" i="39"/>
  <c r="K194" i="39"/>
  <c r="I194" i="39"/>
  <c r="H194" i="39"/>
  <c r="F194" i="39"/>
  <c r="E194" i="39"/>
  <c r="O193" i="39"/>
  <c r="N193" i="39"/>
  <c r="L193" i="39"/>
  <c r="K193" i="39"/>
  <c r="I193" i="39"/>
  <c r="H193" i="39"/>
  <c r="F193" i="39"/>
  <c r="E193" i="39"/>
  <c r="O192" i="39"/>
  <c r="N192" i="39"/>
  <c r="L192" i="39"/>
  <c r="K192" i="39"/>
  <c r="I192" i="39"/>
  <c r="H192" i="39"/>
  <c r="F192" i="39"/>
  <c r="E192" i="39"/>
  <c r="O191" i="39"/>
  <c r="N191" i="39"/>
  <c r="L191" i="39"/>
  <c r="K191" i="39"/>
  <c r="I191" i="39"/>
  <c r="H191" i="39"/>
  <c r="F191" i="39"/>
  <c r="E191" i="39"/>
  <c r="O190" i="39"/>
  <c r="N190" i="39"/>
  <c r="L190" i="39"/>
  <c r="K190" i="39"/>
  <c r="I190" i="39"/>
  <c r="H190" i="39"/>
  <c r="F190" i="39"/>
  <c r="E190" i="39"/>
  <c r="O189" i="39"/>
  <c r="N189" i="39"/>
  <c r="L189" i="39"/>
  <c r="K189" i="39"/>
  <c r="I189" i="39"/>
  <c r="H189" i="39"/>
  <c r="F189" i="39"/>
  <c r="E189" i="39"/>
  <c r="O188" i="39"/>
  <c r="N188" i="39"/>
  <c r="L188" i="39"/>
  <c r="K188" i="39"/>
  <c r="I188" i="39"/>
  <c r="H188" i="39"/>
  <c r="F188" i="39"/>
  <c r="E188" i="39"/>
  <c r="O187" i="39"/>
  <c r="N187" i="39"/>
  <c r="L187" i="39"/>
  <c r="K187" i="39"/>
  <c r="I187" i="39"/>
  <c r="H187" i="39"/>
  <c r="F187" i="39"/>
  <c r="E187" i="39"/>
  <c r="O186" i="39"/>
  <c r="N186" i="39"/>
  <c r="L186" i="39"/>
  <c r="K186" i="39"/>
  <c r="I186" i="39"/>
  <c r="H186" i="39"/>
  <c r="F186" i="39"/>
  <c r="E186" i="39"/>
  <c r="O185" i="39"/>
  <c r="N185" i="39"/>
  <c r="L185" i="39"/>
  <c r="K185" i="39"/>
  <c r="I185" i="39"/>
  <c r="H185" i="39"/>
  <c r="F185" i="39"/>
  <c r="E185" i="39"/>
  <c r="O184" i="39"/>
  <c r="N184" i="39"/>
  <c r="L184" i="39"/>
  <c r="K184" i="39"/>
  <c r="I184" i="39"/>
  <c r="H184" i="39"/>
  <c r="F184" i="39"/>
  <c r="E184" i="39"/>
  <c r="O183" i="39"/>
  <c r="N183" i="39"/>
  <c r="L183" i="39"/>
  <c r="K183" i="39"/>
  <c r="I183" i="39"/>
  <c r="H183" i="39"/>
  <c r="F183" i="39"/>
  <c r="E183" i="39"/>
  <c r="O182" i="39"/>
  <c r="N182" i="39"/>
  <c r="L182" i="39"/>
  <c r="K182" i="39"/>
  <c r="I182" i="39"/>
  <c r="H182" i="39"/>
  <c r="F182" i="39"/>
  <c r="E182" i="39"/>
  <c r="O181" i="39"/>
  <c r="N181" i="39"/>
  <c r="L181" i="39"/>
  <c r="K181" i="39"/>
  <c r="I181" i="39"/>
  <c r="H181" i="39"/>
  <c r="F181" i="39"/>
  <c r="E181" i="39"/>
  <c r="O180" i="39"/>
  <c r="N180" i="39"/>
  <c r="L180" i="39"/>
  <c r="K180" i="39"/>
  <c r="I180" i="39"/>
  <c r="H180" i="39"/>
  <c r="F180" i="39"/>
  <c r="E180" i="39"/>
  <c r="O179" i="39"/>
  <c r="O199" i="39" s="1"/>
  <c r="N179" i="39"/>
  <c r="N199" i="39" s="1"/>
  <c r="L179" i="39"/>
  <c r="L199" i="39" s="1"/>
  <c r="K179" i="39"/>
  <c r="K199" i="39" s="1"/>
  <c r="I179" i="39"/>
  <c r="I199" i="39" s="1"/>
  <c r="H179" i="39"/>
  <c r="H199" i="39" s="1"/>
  <c r="F179" i="39"/>
  <c r="F199" i="39" s="1"/>
  <c r="E179" i="39"/>
  <c r="E199" i="39" s="1"/>
  <c r="M177" i="39"/>
  <c r="J177" i="39"/>
  <c r="G177" i="39"/>
  <c r="D177" i="39"/>
  <c r="B177" i="39"/>
  <c r="M176" i="39"/>
  <c r="G176" i="39"/>
  <c r="B172" i="39"/>
  <c r="O171" i="39"/>
  <c r="N171" i="39"/>
  <c r="L171" i="39"/>
  <c r="K171" i="39"/>
  <c r="I171" i="39"/>
  <c r="H171" i="39"/>
  <c r="F171" i="39"/>
  <c r="E171" i="39"/>
  <c r="O170" i="39"/>
  <c r="N170" i="39"/>
  <c r="L170" i="39"/>
  <c r="K170" i="39"/>
  <c r="I170" i="39"/>
  <c r="H170" i="39"/>
  <c r="F170" i="39"/>
  <c r="E170" i="39"/>
  <c r="O169" i="39"/>
  <c r="N169" i="39"/>
  <c r="L169" i="39"/>
  <c r="K169" i="39"/>
  <c r="I169" i="39"/>
  <c r="H169" i="39"/>
  <c r="F169" i="39"/>
  <c r="E169" i="39"/>
  <c r="O168" i="39"/>
  <c r="N168" i="39"/>
  <c r="L168" i="39"/>
  <c r="K168" i="39"/>
  <c r="I168" i="39"/>
  <c r="H168" i="39"/>
  <c r="F168" i="39"/>
  <c r="E168" i="39"/>
  <c r="O167" i="39"/>
  <c r="N167" i="39"/>
  <c r="L167" i="39"/>
  <c r="K167" i="39"/>
  <c r="I167" i="39"/>
  <c r="H167" i="39"/>
  <c r="F167" i="39"/>
  <c r="E167" i="39"/>
  <c r="O166" i="39"/>
  <c r="N166" i="39"/>
  <c r="L166" i="39"/>
  <c r="K166" i="39"/>
  <c r="I166" i="39"/>
  <c r="H166" i="39"/>
  <c r="F166" i="39"/>
  <c r="E166" i="39"/>
  <c r="O165" i="39"/>
  <c r="N165" i="39"/>
  <c r="L165" i="39"/>
  <c r="K165" i="39"/>
  <c r="I165" i="39"/>
  <c r="H165" i="39"/>
  <c r="F165" i="39"/>
  <c r="E165" i="39"/>
  <c r="O164" i="39"/>
  <c r="N164" i="39"/>
  <c r="L164" i="39"/>
  <c r="K164" i="39"/>
  <c r="I164" i="39"/>
  <c r="H164" i="39"/>
  <c r="F164" i="39"/>
  <c r="E164" i="39"/>
  <c r="O163" i="39"/>
  <c r="N163" i="39"/>
  <c r="L163" i="39"/>
  <c r="K163" i="39"/>
  <c r="I163" i="39"/>
  <c r="H163" i="39"/>
  <c r="F163" i="39"/>
  <c r="E163" i="39"/>
  <c r="O162" i="39"/>
  <c r="N162" i="39"/>
  <c r="L162" i="39"/>
  <c r="K162" i="39"/>
  <c r="I162" i="39"/>
  <c r="H162" i="39"/>
  <c r="F162" i="39"/>
  <c r="E162" i="39"/>
  <c r="O161" i="39"/>
  <c r="N161" i="39"/>
  <c r="L161" i="39"/>
  <c r="K161" i="39"/>
  <c r="I161" i="39"/>
  <c r="H161" i="39"/>
  <c r="F161" i="39"/>
  <c r="E161" i="39"/>
  <c r="O160" i="39"/>
  <c r="N160" i="39"/>
  <c r="L160" i="39"/>
  <c r="K160" i="39"/>
  <c r="I160" i="39"/>
  <c r="H160" i="39"/>
  <c r="F160" i="39"/>
  <c r="E160" i="39"/>
  <c r="O159" i="39"/>
  <c r="N159" i="39"/>
  <c r="L159" i="39"/>
  <c r="K159" i="39"/>
  <c r="I159" i="39"/>
  <c r="H159" i="39"/>
  <c r="F159" i="39"/>
  <c r="E159" i="39"/>
  <c r="O158" i="39"/>
  <c r="N158" i="39"/>
  <c r="L158" i="39"/>
  <c r="K158" i="39"/>
  <c r="I158" i="39"/>
  <c r="H158" i="39"/>
  <c r="F158" i="39"/>
  <c r="E158" i="39"/>
  <c r="O157" i="39"/>
  <c r="N157" i="39"/>
  <c r="L157" i="39"/>
  <c r="K157" i="39"/>
  <c r="I157" i="39"/>
  <c r="H157" i="39"/>
  <c r="F157" i="39"/>
  <c r="E157" i="39"/>
  <c r="O156" i="39"/>
  <c r="N156" i="39"/>
  <c r="L156" i="39"/>
  <c r="K156" i="39"/>
  <c r="I156" i="39"/>
  <c r="H156" i="39"/>
  <c r="F156" i="39"/>
  <c r="E156" i="39"/>
  <c r="O155" i="39"/>
  <c r="N155" i="39"/>
  <c r="L155" i="39"/>
  <c r="K155" i="39"/>
  <c r="I155" i="39"/>
  <c r="H155" i="39"/>
  <c r="F155" i="39"/>
  <c r="E155" i="39"/>
  <c r="O154" i="39"/>
  <c r="N154" i="39"/>
  <c r="L154" i="39"/>
  <c r="K154" i="39"/>
  <c r="I154" i="39"/>
  <c r="H154" i="39"/>
  <c r="F154" i="39"/>
  <c r="E154" i="39"/>
  <c r="O153" i="39"/>
  <c r="N153" i="39"/>
  <c r="L153" i="39"/>
  <c r="K153" i="39"/>
  <c r="I153" i="39"/>
  <c r="H153" i="39"/>
  <c r="F153" i="39"/>
  <c r="E153" i="39"/>
  <c r="O152" i="39"/>
  <c r="O172" i="39" s="1"/>
  <c r="N152" i="39"/>
  <c r="N172" i="39" s="1"/>
  <c r="L152" i="39"/>
  <c r="L172" i="39" s="1"/>
  <c r="K152" i="39"/>
  <c r="K172" i="39" s="1"/>
  <c r="I152" i="39"/>
  <c r="I172" i="39" s="1"/>
  <c r="H152" i="39"/>
  <c r="H172" i="39" s="1"/>
  <c r="F152" i="39"/>
  <c r="F172" i="39" s="1"/>
  <c r="E152" i="39"/>
  <c r="E172" i="39" s="1"/>
  <c r="M150" i="39"/>
  <c r="J150" i="39"/>
  <c r="G150" i="39"/>
  <c r="D150" i="39"/>
  <c r="B150" i="39"/>
  <c r="M149" i="39"/>
  <c r="G149" i="39"/>
  <c r="B145" i="39"/>
  <c r="O144" i="39"/>
  <c r="N144" i="39"/>
  <c r="L144" i="39"/>
  <c r="K144" i="39"/>
  <c r="I144" i="39"/>
  <c r="H144" i="39"/>
  <c r="F144" i="39"/>
  <c r="E144" i="39"/>
  <c r="O143" i="39"/>
  <c r="N143" i="39"/>
  <c r="L143" i="39"/>
  <c r="K143" i="39"/>
  <c r="I143" i="39"/>
  <c r="H143" i="39"/>
  <c r="F143" i="39"/>
  <c r="E143" i="39"/>
  <c r="O142" i="39"/>
  <c r="N142" i="39"/>
  <c r="L142" i="39"/>
  <c r="K142" i="39"/>
  <c r="I142" i="39"/>
  <c r="H142" i="39"/>
  <c r="F142" i="39"/>
  <c r="E142" i="39"/>
  <c r="O141" i="39"/>
  <c r="N141" i="39"/>
  <c r="L141" i="39"/>
  <c r="K141" i="39"/>
  <c r="I141" i="39"/>
  <c r="H141" i="39"/>
  <c r="F141" i="39"/>
  <c r="E141" i="39"/>
  <c r="O140" i="39"/>
  <c r="N140" i="39"/>
  <c r="L140" i="39"/>
  <c r="K140" i="39"/>
  <c r="I140" i="39"/>
  <c r="H140" i="39"/>
  <c r="F140" i="39"/>
  <c r="E140" i="39"/>
  <c r="O139" i="39"/>
  <c r="N139" i="39"/>
  <c r="L139" i="39"/>
  <c r="K139" i="39"/>
  <c r="I139" i="39"/>
  <c r="H139" i="39"/>
  <c r="F139" i="39"/>
  <c r="E139" i="39"/>
  <c r="O138" i="39"/>
  <c r="N138" i="39"/>
  <c r="L138" i="39"/>
  <c r="L19" i="39" s="1"/>
  <c r="K138" i="39"/>
  <c r="I138" i="39"/>
  <c r="H138" i="39"/>
  <c r="F138" i="39"/>
  <c r="E138" i="39"/>
  <c r="O137" i="39"/>
  <c r="N137" i="39"/>
  <c r="L137" i="39"/>
  <c r="K137" i="39"/>
  <c r="I137" i="39"/>
  <c r="H137" i="39"/>
  <c r="F137" i="39"/>
  <c r="E137" i="39"/>
  <c r="O136" i="39"/>
  <c r="N136" i="39"/>
  <c r="L136" i="39"/>
  <c r="K136" i="39"/>
  <c r="I136" i="39"/>
  <c r="H136" i="39"/>
  <c r="F136" i="39"/>
  <c r="E136" i="39"/>
  <c r="O135" i="39"/>
  <c r="N135" i="39"/>
  <c r="L135" i="39"/>
  <c r="K135" i="39"/>
  <c r="I135" i="39"/>
  <c r="H135" i="39"/>
  <c r="F135" i="39"/>
  <c r="E135" i="39"/>
  <c r="O134" i="39"/>
  <c r="N134" i="39"/>
  <c r="L134" i="39"/>
  <c r="K134" i="39"/>
  <c r="I134" i="39"/>
  <c r="H134" i="39"/>
  <c r="F134" i="39"/>
  <c r="E134" i="39"/>
  <c r="O133" i="39"/>
  <c r="N133" i="39"/>
  <c r="L133" i="39"/>
  <c r="K133" i="39"/>
  <c r="I133" i="39"/>
  <c r="H133" i="39"/>
  <c r="F133" i="39"/>
  <c r="E133" i="39"/>
  <c r="O132" i="39"/>
  <c r="N132" i="39"/>
  <c r="L132" i="39"/>
  <c r="K132" i="39"/>
  <c r="I132" i="39"/>
  <c r="H132" i="39"/>
  <c r="F132" i="39"/>
  <c r="E132" i="39"/>
  <c r="O131" i="39"/>
  <c r="N131" i="39"/>
  <c r="L131" i="39"/>
  <c r="K131" i="39"/>
  <c r="I131" i="39"/>
  <c r="H131" i="39"/>
  <c r="F131" i="39"/>
  <c r="E131" i="39"/>
  <c r="O130" i="39"/>
  <c r="N130" i="39"/>
  <c r="L130" i="39"/>
  <c r="K130" i="39"/>
  <c r="I130" i="39"/>
  <c r="H130" i="39"/>
  <c r="F130" i="39"/>
  <c r="E130" i="39"/>
  <c r="O129" i="39"/>
  <c r="N129" i="39"/>
  <c r="L129" i="39"/>
  <c r="K129" i="39"/>
  <c r="I129" i="39"/>
  <c r="H129" i="39"/>
  <c r="F129" i="39"/>
  <c r="E129" i="39"/>
  <c r="O128" i="39"/>
  <c r="N128" i="39"/>
  <c r="L128" i="39"/>
  <c r="K128" i="39"/>
  <c r="I128" i="39"/>
  <c r="H128" i="39"/>
  <c r="F128" i="39"/>
  <c r="E128" i="39"/>
  <c r="O127" i="39"/>
  <c r="N127" i="39"/>
  <c r="L127" i="39"/>
  <c r="K127" i="39"/>
  <c r="I127" i="39"/>
  <c r="H127" i="39"/>
  <c r="F127" i="39"/>
  <c r="E127" i="39"/>
  <c r="O126" i="39"/>
  <c r="N126" i="39"/>
  <c r="L126" i="39"/>
  <c r="K126" i="39"/>
  <c r="I126" i="39"/>
  <c r="H126" i="39"/>
  <c r="F126" i="39"/>
  <c r="E126" i="39"/>
  <c r="O125" i="39"/>
  <c r="O145" i="39" s="1"/>
  <c r="N125" i="39"/>
  <c r="N145" i="39" s="1"/>
  <c r="L125" i="39"/>
  <c r="L145" i="39" s="1"/>
  <c r="K125" i="39"/>
  <c r="K145" i="39" s="1"/>
  <c r="I125" i="39"/>
  <c r="I145" i="39" s="1"/>
  <c r="H125" i="39"/>
  <c r="H145" i="39" s="1"/>
  <c r="F125" i="39"/>
  <c r="F145" i="39" s="1"/>
  <c r="E125" i="39"/>
  <c r="E145" i="39" s="1"/>
  <c r="M123" i="39"/>
  <c r="J123" i="39"/>
  <c r="G123" i="39"/>
  <c r="D123" i="39"/>
  <c r="B123" i="39"/>
  <c r="M122" i="39"/>
  <c r="G122" i="39"/>
  <c r="E118" i="39"/>
  <c r="B118" i="39"/>
  <c r="O117" i="39"/>
  <c r="N117" i="39"/>
  <c r="K117" i="39"/>
  <c r="L117" i="39" s="1"/>
  <c r="I117" i="39"/>
  <c r="H117" i="39"/>
  <c r="F117" i="39"/>
  <c r="E117" i="39"/>
  <c r="O116" i="39"/>
  <c r="N116" i="39"/>
  <c r="K116" i="39"/>
  <c r="L116" i="39" s="1"/>
  <c r="I116" i="39"/>
  <c r="H116" i="39"/>
  <c r="F116" i="39"/>
  <c r="E116" i="39"/>
  <c r="O115" i="39"/>
  <c r="N115" i="39"/>
  <c r="K115" i="39"/>
  <c r="L115" i="39" s="1"/>
  <c r="I115" i="39"/>
  <c r="H115" i="39"/>
  <c r="F115" i="39"/>
  <c r="E115" i="39"/>
  <c r="O114" i="39"/>
  <c r="N114" i="39"/>
  <c r="K114" i="39"/>
  <c r="L114" i="39" s="1"/>
  <c r="I114" i="39"/>
  <c r="H114" i="39"/>
  <c r="F114" i="39"/>
  <c r="E114" i="39"/>
  <c r="O113" i="39"/>
  <c r="N113" i="39"/>
  <c r="K113" i="39"/>
  <c r="L113" i="39" s="1"/>
  <c r="I113" i="39"/>
  <c r="H113" i="39"/>
  <c r="F113" i="39"/>
  <c r="E113" i="39"/>
  <c r="O112" i="39"/>
  <c r="N112" i="39"/>
  <c r="K112" i="39"/>
  <c r="L112" i="39" s="1"/>
  <c r="I112" i="39"/>
  <c r="H112" i="39"/>
  <c r="F112" i="39"/>
  <c r="E112" i="39"/>
  <c r="O111" i="39"/>
  <c r="N111" i="39"/>
  <c r="K111" i="39"/>
  <c r="L111" i="39" s="1"/>
  <c r="I111" i="39"/>
  <c r="H111" i="39"/>
  <c r="F111" i="39"/>
  <c r="E111" i="39"/>
  <c r="O110" i="39"/>
  <c r="N110" i="39"/>
  <c r="K110" i="39"/>
  <c r="L110" i="39" s="1"/>
  <c r="I110" i="39"/>
  <c r="H110" i="39"/>
  <c r="F110" i="39"/>
  <c r="E110" i="39"/>
  <c r="O109" i="39"/>
  <c r="N109" i="39"/>
  <c r="K109" i="39"/>
  <c r="L109" i="39" s="1"/>
  <c r="I109" i="39"/>
  <c r="H109" i="39"/>
  <c r="F109" i="39"/>
  <c r="E109" i="39"/>
  <c r="O108" i="39"/>
  <c r="N108" i="39"/>
  <c r="K108" i="39"/>
  <c r="L108" i="39" s="1"/>
  <c r="I108" i="39"/>
  <c r="H108" i="39"/>
  <c r="F108" i="39"/>
  <c r="E108" i="39"/>
  <c r="O107" i="39"/>
  <c r="N107" i="39"/>
  <c r="K107" i="39"/>
  <c r="L107" i="39" s="1"/>
  <c r="I107" i="39"/>
  <c r="H107" i="39"/>
  <c r="F107" i="39"/>
  <c r="E107" i="39"/>
  <c r="O106" i="39"/>
  <c r="N106" i="39"/>
  <c r="K106" i="39"/>
  <c r="L106" i="39" s="1"/>
  <c r="I106" i="39"/>
  <c r="H106" i="39"/>
  <c r="F106" i="39"/>
  <c r="E106" i="39"/>
  <c r="O105" i="39"/>
  <c r="N105" i="39"/>
  <c r="K105" i="39"/>
  <c r="L105" i="39" s="1"/>
  <c r="I105" i="39"/>
  <c r="H105" i="39"/>
  <c r="F105" i="39"/>
  <c r="E105" i="39"/>
  <c r="O104" i="39"/>
  <c r="N104" i="39"/>
  <c r="K104" i="39"/>
  <c r="L104" i="39" s="1"/>
  <c r="I104" i="39"/>
  <c r="H104" i="39"/>
  <c r="F104" i="39"/>
  <c r="E104" i="39"/>
  <c r="O103" i="39"/>
  <c r="N103" i="39"/>
  <c r="K103" i="39"/>
  <c r="L103" i="39" s="1"/>
  <c r="I103" i="39"/>
  <c r="H103" i="39"/>
  <c r="F103" i="39"/>
  <c r="E103" i="39"/>
  <c r="O102" i="39"/>
  <c r="N102" i="39"/>
  <c r="K102" i="39"/>
  <c r="L102" i="39" s="1"/>
  <c r="I102" i="39"/>
  <c r="H102" i="39"/>
  <c r="F102" i="39"/>
  <c r="E102" i="39"/>
  <c r="O101" i="39"/>
  <c r="N101" i="39"/>
  <c r="K101" i="39"/>
  <c r="L101" i="39" s="1"/>
  <c r="I101" i="39"/>
  <c r="H101" i="39"/>
  <c r="F101" i="39"/>
  <c r="E101" i="39"/>
  <c r="O100" i="39"/>
  <c r="N100" i="39"/>
  <c r="K100" i="39"/>
  <c r="L100" i="39" s="1"/>
  <c r="I100" i="39"/>
  <c r="H100" i="39"/>
  <c r="F100" i="39"/>
  <c r="E100" i="39"/>
  <c r="O99" i="39"/>
  <c r="N99" i="39"/>
  <c r="K99" i="39"/>
  <c r="L99" i="39" s="1"/>
  <c r="I99" i="39"/>
  <c r="H99" i="39"/>
  <c r="F99" i="39"/>
  <c r="E99" i="39"/>
  <c r="O98" i="39"/>
  <c r="O118" i="39" s="1"/>
  <c r="N98" i="39"/>
  <c r="N118" i="39" s="1"/>
  <c r="K98" i="39"/>
  <c r="K118" i="39" s="1"/>
  <c r="I98" i="39"/>
  <c r="I118" i="39" s="1"/>
  <c r="H98" i="39"/>
  <c r="H118" i="39" s="1"/>
  <c r="F98" i="39"/>
  <c r="F118" i="39" s="1"/>
  <c r="E98" i="39"/>
  <c r="M96" i="39"/>
  <c r="J96" i="39"/>
  <c r="G96" i="39"/>
  <c r="D96" i="39"/>
  <c r="B96" i="39"/>
  <c r="M95" i="39"/>
  <c r="G95" i="39"/>
  <c r="B91" i="39"/>
  <c r="O90" i="39"/>
  <c r="N90" i="39"/>
  <c r="L90" i="39"/>
  <c r="K90" i="39"/>
  <c r="I90" i="39"/>
  <c r="H90" i="39"/>
  <c r="F90" i="39"/>
  <c r="E90" i="39"/>
  <c r="O89" i="39"/>
  <c r="N89" i="39"/>
  <c r="L89" i="39"/>
  <c r="K89" i="39"/>
  <c r="I89" i="39"/>
  <c r="H89" i="39"/>
  <c r="F89" i="39"/>
  <c r="E89" i="39"/>
  <c r="O88" i="39"/>
  <c r="N88" i="39"/>
  <c r="L88" i="39"/>
  <c r="K88" i="39"/>
  <c r="I88" i="39"/>
  <c r="H88" i="39"/>
  <c r="F88" i="39"/>
  <c r="E88" i="39"/>
  <c r="O87" i="39"/>
  <c r="N87" i="39"/>
  <c r="L87" i="39"/>
  <c r="K87" i="39"/>
  <c r="I87" i="39"/>
  <c r="H87" i="39"/>
  <c r="F87" i="39"/>
  <c r="E87" i="39"/>
  <c r="O86" i="39"/>
  <c r="N86" i="39"/>
  <c r="L86" i="39"/>
  <c r="K86" i="39"/>
  <c r="I86" i="39"/>
  <c r="H86" i="39"/>
  <c r="F86" i="39"/>
  <c r="E86" i="39"/>
  <c r="O85" i="39"/>
  <c r="N85" i="39"/>
  <c r="L85" i="39"/>
  <c r="K85" i="39"/>
  <c r="I85" i="39"/>
  <c r="H85" i="39"/>
  <c r="F85" i="39"/>
  <c r="E85" i="39"/>
  <c r="O84" i="39"/>
  <c r="N84" i="39"/>
  <c r="L84" i="39"/>
  <c r="K84" i="39"/>
  <c r="I84" i="39"/>
  <c r="H84" i="39"/>
  <c r="F84" i="39"/>
  <c r="E84" i="39"/>
  <c r="O83" i="39"/>
  <c r="N83" i="39"/>
  <c r="L83" i="39"/>
  <c r="K83" i="39"/>
  <c r="I83" i="39"/>
  <c r="H83" i="39"/>
  <c r="F83" i="39"/>
  <c r="E83" i="39"/>
  <c r="O82" i="39"/>
  <c r="N82" i="39"/>
  <c r="L82" i="39"/>
  <c r="K82" i="39"/>
  <c r="I82" i="39"/>
  <c r="H82" i="39"/>
  <c r="F82" i="39"/>
  <c r="E82" i="39"/>
  <c r="O81" i="39"/>
  <c r="N81" i="39"/>
  <c r="L81" i="39"/>
  <c r="K81" i="39"/>
  <c r="I81" i="39"/>
  <c r="H81" i="39"/>
  <c r="F81" i="39"/>
  <c r="E81" i="39"/>
  <c r="O80" i="39"/>
  <c r="N80" i="39"/>
  <c r="L80" i="39"/>
  <c r="K80" i="39"/>
  <c r="I80" i="39"/>
  <c r="H80" i="39"/>
  <c r="F80" i="39"/>
  <c r="E80" i="39"/>
  <c r="O79" i="39"/>
  <c r="N79" i="39"/>
  <c r="L79" i="39"/>
  <c r="K79" i="39"/>
  <c r="I79" i="39"/>
  <c r="H79" i="39"/>
  <c r="F79" i="39"/>
  <c r="E79" i="39"/>
  <c r="O78" i="39"/>
  <c r="N78" i="39"/>
  <c r="L78" i="39"/>
  <c r="K78" i="39"/>
  <c r="I78" i="39"/>
  <c r="H78" i="39"/>
  <c r="F78" i="39"/>
  <c r="E78" i="39"/>
  <c r="O77" i="39"/>
  <c r="N77" i="39"/>
  <c r="L77" i="39"/>
  <c r="K77" i="39"/>
  <c r="I77" i="39"/>
  <c r="H77" i="39"/>
  <c r="F77" i="39"/>
  <c r="E77" i="39"/>
  <c r="O76" i="39"/>
  <c r="N76" i="39"/>
  <c r="L76" i="39"/>
  <c r="K76" i="39"/>
  <c r="I76" i="39"/>
  <c r="H76" i="39"/>
  <c r="F76" i="39"/>
  <c r="E76" i="39"/>
  <c r="O75" i="39"/>
  <c r="N75" i="39"/>
  <c r="L75" i="39"/>
  <c r="K75" i="39"/>
  <c r="I75" i="39"/>
  <c r="H75" i="39"/>
  <c r="F75" i="39"/>
  <c r="E75" i="39"/>
  <c r="O74" i="39"/>
  <c r="N74" i="39"/>
  <c r="L74" i="39"/>
  <c r="K74" i="39"/>
  <c r="I74" i="39"/>
  <c r="H74" i="39"/>
  <c r="F74" i="39"/>
  <c r="E74" i="39"/>
  <c r="O73" i="39"/>
  <c r="N73" i="39"/>
  <c r="L73" i="39"/>
  <c r="K73" i="39"/>
  <c r="I73" i="39"/>
  <c r="H73" i="39"/>
  <c r="F73" i="39"/>
  <c r="E73" i="39"/>
  <c r="O72" i="39"/>
  <c r="N72" i="39"/>
  <c r="L72" i="39"/>
  <c r="K72" i="39"/>
  <c r="I72" i="39"/>
  <c r="H72" i="39"/>
  <c r="F72" i="39"/>
  <c r="E72" i="39"/>
  <c r="O71" i="39"/>
  <c r="O91" i="39" s="1"/>
  <c r="N71" i="39"/>
  <c r="N91" i="39" s="1"/>
  <c r="K71" i="39"/>
  <c r="K91" i="39" s="1"/>
  <c r="I71" i="39"/>
  <c r="I91" i="39" s="1"/>
  <c r="H71" i="39"/>
  <c r="H91" i="39" s="1"/>
  <c r="F71" i="39"/>
  <c r="F91" i="39" s="1"/>
  <c r="E71" i="39"/>
  <c r="E91" i="39" s="1"/>
  <c r="M69" i="39"/>
  <c r="J69" i="39"/>
  <c r="G69" i="39"/>
  <c r="D69" i="39"/>
  <c r="B69" i="39"/>
  <c r="M68" i="39"/>
  <c r="G68" i="39"/>
  <c r="B64" i="39"/>
  <c r="O63" i="39"/>
  <c r="N63" i="39"/>
  <c r="K63" i="39"/>
  <c r="L63" i="39" s="1"/>
  <c r="I63" i="39"/>
  <c r="H63" i="39"/>
  <c r="F63" i="39"/>
  <c r="E63" i="39"/>
  <c r="O62" i="39"/>
  <c r="N62" i="39"/>
  <c r="K62" i="39"/>
  <c r="L62" i="39" s="1"/>
  <c r="I62" i="39"/>
  <c r="H62" i="39"/>
  <c r="F62" i="39"/>
  <c r="E62" i="39"/>
  <c r="O61" i="39"/>
  <c r="N61" i="39"/>
  <c r="L61" i="39"/>
  <c r="K61" i="39"/>
  <c r="I61" i="39"/>
  <c r="H61" i="39"/>
  <c r="F61" i="39"/>
  <c r="E61" i="39"/>
  <c r="O60" i="39"/>
  <c r="N60" i="39"/>
  <c r="L60" i="39"/>
  <c r="K60" i="39"/>
  <c r="I60" i="39"/>
  <c r="H60" i="39"/>
  <c r="F60" i="39"/>
  <c r="E60" i="39"/>
  <c r="O59" i="39"/>
  <c r="N59" i="39"/>
  <c r="L59" i="39"/>
  <c r="K59" i="39"/>
  <c r="I59" i="39"/>
  <c r="H59" i="39"/>
  <c r="F59" i="39"/>
  <c r="E59" i="39"/>
  <c r="O58" i="39"/>
  <c r="N58" i="39"/>
  <c r="K58" i="39"/>
  <c r="L58" i="39" s="1"/>
  <c r="I58" i="39"/>
  <c r="H58" i="39"/>
  <c r="F58" i="39"/>
  <c r="E58" i="39"/>
  <c r="O57" i="39"/>
  <c r="N57" i="39"/>
  <c r="K57" i="39"/>
  <c r="L57" i="39" s="1"/>
  <c r="I57" i="39"/>
  <c r="H57" i="39"/>
  <c r="F57" i="39"/>
  <c r="E57" i="39"/>
  <c r="O56" i="39"/>
  <c r="N56" i="39"/>
  <c r="K56" i="39"/>
  <c r="L56" i="39" s="1"/>
  <c r="L18" i="39" s="1"/>
  <c r="I56" i="39"/>
  <c r="H56" i="39"/>
  <c r="F56" i="39"/>
  <c r="E56" i="39"/>
  <c r="O55" i="39"/>
  <c r="N55" i="39"/>
  <c r="K55" i="39"/>
  <c r="L55" i="39" s="1"/>
  <c r="I55" i="39"/>
  <c r="H55" i="39"/>
  <c r="F55" i="39"/>
  <c r="E55" i="39"/>
  <c r="O54" i="39"/>
  <c r="N54" i="39"/>
  <c r="K54" i="39"/>
  <c r="L54" i="39" s="1"/>
  <c r="I54" i="39"/>
  <c r="H54" i="39"/>
  <c r="F54" i="39"/>
  <c r="E54" i="39"/>
  <c r="O53" i="39"/>
  <c r="N53" i="39"/>
  <c r="K53" i="39"/>
  <c r="L53" i="39" s="1"/>
  <c r="I53" i="39"/>
  <c r="H53" i="39"/>
  <c r="F53" i="39"/>
  <c r="E53" i="39"/>
  <c r="O52" i="39"/>
  <c r="N52" i="39"/>
  <c r="K52" i="39"/>
  <c r="L52" i="39" s="1"/>
  <c r="I52" i="39"/>
  <c r="H52" i="39"/>
  <c r="F52" i="39"/>
  <c r="E52" i="39"/>
  <c r="O51" i="39"/>
  <c r="N51" i="39"/>
  <c r="K51" i="39"/>
  <c r="L51" i="39" s="1"/>
  <c r="I51" i="39"/>
  <c r="H51" i="39"/>
  <c r="F51" i="39"/>
  <c r="E51" i="39"/>
  <c r="O50" i="39"/>
  <c r="N50" i="39"/>
  <c r="K50" i="39"/>
  <c r="L50" i="39" s="1"/>
  <c r="I50" i="39"/>
  <c r="H50" i="39"/>
  <c r="F50" i="39"/>
  <c r="E50" i="39"/>
  <c r="O49" i="39"/>
  <c r="N49" i="39"/>
  <c r="K49" i="39"/>
  <c r="L49" i="39" s="1"/>
  <c r="I49" i="39"/>
  <c r="H49" i="39"/>
  <c r="F49" i="39"/>
  <c r="E49" i="39"/>
  <c r="O48" i="39"/>
  <c r="N48" i="39"/>
  <c r="K48" i="39"/>
  <c r="L48" i="39" s="1"/>
  <c r="I48" i="39"/>
  <c r="H48" i="39"/>
  <c r="F48" i="39"/>
  <c r="E48" i="39"/>
  <c r="O47" i="39"/>
  <c r="N47" i="39"/>
  <c r="K47" i="39"/>
  <c r="L47" i="39" s="1"/>
  <c r="I47" i="39"/>
  <c r="H47" i="39"/>
  <c r="F47" i="39"/>
  <c r="E47" i="39"/>
  <c r="O46" i="39"/>
  <c r="N46" i="39"/>
  <c r="K46" i="39"/>
  <c r="L46" i="39" s="1"/>
  <c r="I46" i="39"/>
  <c r="H46" i="39"/>
  <c r="F46" i="39"/>
  <c r="E46" i="39"/>
  <c r="O45" i="39"/>
  <c r="N45" i="39"/>
  <c r="K45" i="39"/>
  <c r="L45" i="39" s="1"/>
  <c r="I45" i="39"/>
  <c r="H45" i="39"/>
  <c r="F45" i="39"/>
  <c r="E45" i="39"/>
  <c r="O44" i="39"/>
  <c r="O64" i="39" s="1"/>
  <c r="N44" i="39"/>
  <c r="N64" i="39" s="1"/>
  <c r="K44" i="39"/>
  <c r="K64" i="39" s="1"/>
  <c r="I44" i="39"/>
  <c r="I64" i="39" s="1"/>
  <c r="H44" i="39"/>
  <c r="H64" i="39" s="1"/>
  <c r="F44" i="39"/>
  <c r="F64" i="39" s="1"/>
  <c r="E44" i="39"/>
  <c r="E64" i="39" s="1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C32" i="39"/>
  <c r="B32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C31" i="39"/>
  <c r="B31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C30" i="39"/>
  <c r="B30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C29" i="39"/>
  <c r="B29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C27" i="39"/>
  <c r="B27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C26" i="39"/>
  <c r="B26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C25" i="39"/>
  <c r="B25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C24" i="39"/>
  <c r="B24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C23" i="39"/>
  <c r="B23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C21" i="39"/>
  <c r="B21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C20" i="39"/>
  <c r="B20" i="39"/>
  <c r="O19" i="39"/>
  <c r="N19" i="39"/>
  <c r="M19" i="39"/>
  <c r="K19" i="39"/>
  <c r="J19" i="39"/>
  <c r="I19" i="39"/>
  <c r="H19" i="39"/>
  <c r="G19" i="39"/>
  <c r="F19" i="39"/>
  <c r="E19" i="39"/>
  <c r="D19" i="39"/>
  <c r="C19" i="39"/>
  <c r="B19" i="39"/>
  <c r="O18" i="39"/>
  <c r="N18" i="39"/>
  <c r="M18" i="39"/>
  <c r="K18" i="39"/>
  <c r="J18" i="39"/>
  <c r="I18" i="39"/>
  <c r="H18" i="39"/>
  <c r="G18" i="39"/>
  <c r="F18" i="39"/>
  <c r="E18" i="39"/>
  <c r="D18" i="39"/>
  <c r="C18" i="39"/>
  <c r="B18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C17" i="39"/>
  <c r="B17" i="39"/>
  <c r="M15" i="39"/>
  <c r="J15" i="39"/>
  <c r="G15" i="39"/>
  <c r="D15" i="39"/>
  <c r="B15" i="39"/>
  <c r="M14" i="39"/>
  <c r="G14" i="39"/>
  <c r="B199" i="38"/>
  <c r="N198" i="38"/>
  <c r="O198" i="38" s="1"/>
  <c r="L198" i="38"/>
  <c r="K198" i="38"/>
  <c r="I198" i="38"/>
  <c r="H198" i="38"/>
  <c r="F198" i="38"/>
  <c r="E198" i="38"/>
  <c r="N197" i="38"/>
  <c r="O197" i="38" s="1"/>
  <c r="L197" i="38"/>
  <c r="K197" i="38"/>
  <c r="I197" i="38"/>
  <c r="H197" i="38"/>
  <c r="F197" i="38"/>
  <c r="E197" i="38"/>
  <c r="N196" i="38"/>
  <c r="O196" i="38" s="1"/>
  <c r="L196" i="38"/>
  <c r="K196" i="38"/>
  <c r="I196" i="38"/>
  <c r="H196" i="38"/>
  <c r="F196" i="38"/>
  <c r="E196" i="38"/>
  <c r="N195" i="38"/>
  <c r="O195" i="38" s="1"/>
  <c r="L195" i="38"/>
  <c r="K195" i="38"/>
  <c r="I195" i="38"/>
  <c r="H195" i="38"/>
  <c r="F195" i="38"/>
  <c r="E195" i="38"/>
  <c r="N194" i="38"/>
  <c r="O194" i="38" s="1"/>
  <c r="L194" i="38"/>
  <c r="K194" i="38"/>
  <c r="I194" i="38"/>
  <c r="H194" i="38"/>
  <c r="F194" i="38"/>
  <c r="E194" i="38"/>
  <c r="N193" i="38"/>
  <c r="O193" i="38" s="1"/>
  <c r="L193" i="38"/>
  <c r="K193" i="38"/>
  <c r="I193" i="38"/>
  <c r="H193" i="38"/>
  <c r="F193" i="38"/>
  <c r="E193" i="38"/>
  <c r="N192" i="38"/>
  <c r="O192" i="38" s="1"/>
  <c r="L192" i="38"/>
  <c r="K192" i="38"/>
  <c r="I192" i="38"/>
  <c r="H192" i="38"/>
  <c r="F192" i="38"/>
  <c r="E192" i="38"/>
  <c r="N191" i="38"/>
  <c r="O191" i="38" s="1"/>
  <c r="L191" i="38"/>
  <c r="K191" i="38"/>
  <c r="I191" i="38"/>
  <c r="H191" i="38"/>
  <c r="F191" i="38"/>
  <c r="E191" i="38"/>
  <c r="N190" i="38"/>
  <c r="O190" i="38" s="1"/>
  <c r="L190" i="38"/>
  <c r="K190" i="38"/>
  <c r="I190" i="38"/>
  <c r="H190" i="38"/>
  <c r="F190" i="38"/>
  <c r="E190" i="38"/>
  <c r="N189" i="38"/>
  <c r="O189" i="38" s="1"/>
  <c r="L189" i="38"/>
  <c r="K189" i="38"/>
  <c r="I189" i="38"/>
  <c r="H189" i="38"/>
  <c r="F189" i="38"/>
  <c r="E189" i="38"/>
  <c r="N188" i="38"/>
  <c r="O188" i="38" s="1"/>
  <c r="L188" i="38"/>
  <c r="K188" i="38"/>
  <c r="I188" i="38"/>
  <c r="H188" i="38"/>
  <c r="F188" i="38"/>
  <c r="E188" i="38"/>
  <c r="N187" i="38"/>
  <c r="O187" i="38" s="1"/>
  <c r="L187" i="38"/>
  <c r="K187" i="38"/>
  <c r="I187" i="38"/>
  <c r="H187" i="38"/>
  <c r="F187" i="38"/>
  <c r="E187" i="38"/>
  <c r="N186" i="38"/>
  <c r="O186" i="38" s="1"/>
  <c r="L186" i="38"/>
  <c r="K186" i="38"/>
  <c r="I186" i="38"/>
  <c r="H186" i="38"/>
  <c r="F186" i="38"/>
  <c r="E186" i="38"/>
  <c r="N185" i="38"/>
  <c r="O185" i="38" s="1"/>
  <c r="L185" i="38"/>
  <c r="K185" i="38"/>
  <c r="I185" i="38"/>
  <c r="H185" i="38"/>
  <c r="F185" i="38"/>
  <c r="E185" i="38"/>
  <c r="N184" i="38"/>
  <c r="O184" i="38" s="1"/>
  <c r="L184" i="38"/>
  <c r="K184" i="38"/>
  <c r="I184" i="38"/>
  <c r="H184" i="38"/>
  <c r="F184" i="38"/>
  <c r="E184" i="38"/>
  <c r="N183" i="38"/>
  <c r="O183" i="38" s="1"/>
  <c r="L183" i="38"/>
  <c r="K183" i="38"/>
  <c r="I183" i="38"/>
  <c r="H183" i="38"/>
  <c r="F183" i="38"/>
  <c r="E183" i="38"/>
  <c r="N182" i="38"/>
  <c r="O182" i="38" s="1"/>
  <c r="L182" i="38"/>
  <c r="K182" i="38"/>
  <c r="I182" i="38"/>
  <c r="H182" i="38"/>
  <c r="F182" i="38"/>
  <c r="E182" i="38"/>
  <c r="N181" i="38"/>
  <c r="O181" i="38" s="1"/>
  <c r="L181" i="38"/>
  <c r="K181" i="38"/>
  <c r="I181" i="38"/>
  <c r="H181" i="38"/>
  <c r="F181" i="38"/>
  <c r="E181" i="38"/>
  <c r="N180" i="38"/>
  <c r="O180" i="38" s="1"/>
  <c r="L180" i="38"/>
  <c r="K180" i="38"/>
  <c r="I180" i="38"/>
  <c r="H180" i="38"/>
  <c r="F180" i="38"/>
  <c r="E180" i="38"/>
  <c r="N179" i="38"/>
  <c r="N199" i="38" s="1"/>
  <c r="L179" i="38"/>
  <c r="L199" i="38" s="1"/>
  <c r="K179" i="38"/>
  <c r="K199" i="38" s="1"/>
  <c r="I179" i="38"/>
  <c r="I199" i="38" s="1"/>
  <c r="H179" i="38"/>
  <c r="H199" i="38" s="1"/>
  <c r="F179" i="38"/>
  <c r="F199" i="38" s="1"/>
  <c r="E179" i="38"/>
  <c r="E199" i="38" s="1"/>
  <c r="M177" i="38"/>
  <c r="J177" i="38"/>
  <c r="G177" i="38"/>
  <c r="D177" i="38"/>
  <c r="B177" i="38"/>
  <c r="M176" i="38"/>
  <c r="G176" i="38"/>
  <c r="B172" i="38"/>
  <c r="N171" i="38"/>
  <c r="O171" i="38" s="1"/>
  <c r="O21" i="38" s="1"/>
  <c r="L171" i="38"/>
  <c r="K171" i="38"/>
  <c r="H171" i="38"/>
  <c r="I171" i="38" s="1"/>
  <c r="I21" i="38" s="1"/>
  <c r="F171" i="38"/>
  <c r="E171" i="38"/>
  <c r="N170" i="38"/>
  <c r="O170" i="38" s="1"/>
  <c r="K170" i="38"/>
  <c r="L170" i="38" s="1"/>
  <c r="H170" i="38"/>
  <c r="I170" i="38" s="1"/>
  <c r="F170" i="38"/>
  <c r="E170" i="38"/>
  <c r="O169" i="38"/>
  <c r="N169" i="38"/>
  <c r="L169" i="38"/>
  <c r="K169" i="38"/>
  <c r="H169" i="38"/>
  <c r="I169" i="38" s="1"/>
  <c r="F169" i="38"/>
  <c r="E169" i="38"/>
  <c r="N168" i="38"/>
  <c r="O168" i="38" s="1"/>
  <c r="K168" i="38"/>
  <c r="L168" i="38" s="1"/>
  <c r="H168" i="38"/>
  <c r="I168" i="38" s="1"/>
  <c r="F168" i="38"/>
  <c r="E168" i="38"/>
  <c r="N167" i="38"/>
  <c r="O167" i="38" s="1"/>
  <c r="L167" i="38"/>
  <c r="K167" i="38"/>
  <c r="H167" i="38"/>
  <c r="I167" i="38" s="1"/>
  <c r="F167" i="38"/>
  <c r="E167" i="38"/>
  <c r="O166" i="38"/>
  <c r="N166" i="38"/>
  <c r="K166" i="38"/>
  <c r="L166" i="38" s="1"/>
  <c r="H166" i="38"/>
  <c r="I166" i="38" s="1"/>
  <c r="F166" i="38"/>
  <c r="E166" i="38"/>
  <c r="N165" i="38"/>
  <c r="O165" i="38" s="1"/>
  <c r="L165" i="38"/>
  <c r="K165" i="38"/>
  <c r="H165" i="38"/>
  <c r="I165" i="38" s="1"/>
  <c r="F165" i="38"/>
  <c r="E165" i="38"/>
  <c r="O164" i="38"/>
  <c r="N164" i="38"/>
  <c r="K164" i="38"/>
  <c r="L164" i="38" s="1"/>
  <c r="H164" i="38"/>
  <c r="I164" i="38" s="1"/>
  <c r="F164" i="38"/>
  <c r="E164" i="38"/>
  <c r="N163" i="38"/>
  <c r="O163" i="38" s="1"/>
  <c r="L163" i="38"/>
  <c r="K163" i="38"/>
  <c r="H163" i="38"/>
  <c r="I163" i="38" s="1"/>
  <c r="F163" i="38"/>
  <c r="E163" i="38"/>
  <c r="N162" i="38"/>
  <c r="O162" i="38" s="1"/>
  <c r="K162" i="38"/>
  <c r="L162" i="38" s="1"/>
  <c r="H162" i="38"/>
  <c r="I162" i="38" s="1"/>
  <c r="F162" i="38"/>
  <c r="E162" i="38"/>
  <c r="O161" i="38"/>
  <c r="N161" i="38"/>
  <c r="L161" i="38"/>
  <c r="K161" i="38"/>
  <c r="H161" i="38"/>
  <c r="I161" i="38" s="1"/>
  <c r="F161" i="38"/>
  <c r="E161" i="38"/>
  <c r="N160" i="38"/>
  <c r="O160" i="38" s="1"/>
  <c r="K160" i="38"/>
  <c r="L160" i="38" s="1"/>
  <c r="H160" i="38"/>
  <c r="I160" i="38" s="1"/>
  <c r="F160" i="38"/>
  <c r="E160" i="38"/>
  <c r="O159" i="38"/>
  <c r="N159" i="38"/>
  <c r="L159" i="38"/>
  <c r="K159" i="38"/>
  <c r="H159" i="38"/>
  <c r="I159" i="38" s="1"/>
  <c r="F159" i="38"/>
  <c r="E159" i="38"/>
  <c r="O158" i="38"/>
  <c r="N158" i="38"/>
  <c r="K158" i="38"/>
  <c r="L158" i="38" s="1"/>
  <c r="H158" i="38"/>
  <c r="I158" i="38" s="1"/>
  <c r="F158" i="38"/>
  <c r="E158" i="38"/>
  <c r="N157" i="38"/>
  <c r="O157" i="38" s="1"/>
  <c r="L157" i="38"/>
  <c r="K157" i="38"/>
  <c r="H157" i="38"/>
  <c r="I157" i="38" s="1"/>
  <c r="F157" i="38"/>
  <c r="E157" i="38"/>
  <c r="N156" i="38"/>
  <c r="O156" i="38" s="1"/>
  <c r="K156" i="38"/>
  <c r="L156" i="38" s="1"/>
  <c r="H156" i="38"/>
  <c r="I156" i="38" s="1"/>
  <c r="F156" i="38"/>
  <c r="E156" i="38"/>
  <c r="N155" i="38"/>
  <c r="O155" i="38" s="1"/>
  <c r="L155" i="38"/>
  <c r="K155" i="38"/>
  <c r="H155" i="38"/>
  <c r="I155" i="38" s="1"/>
  <c r="F155" i="38"/>
  <c r="E155" i="38"/>
  <c r="N154" i="38"/>
  <c r="O154" i="38" s="1"/>
  <c r="K154" i="38"/>
  <c r="L154" i="38" s="1"/>
  <c r="H154" i="38"/>
  <c r="I154" i="38" s="1"/>
  <c r="F154" i="38"/>
  <c r="E154" i="38"/>
  <c r="O153" i="38"/>
  <c r="N153" i="38"/>
  <c r="L153" i="38"/>
  <c r="K153" i="38"/>
  <c r="H153" i="38"/>
  <c r="I153" i="38" s="1"/>
  <c r="F153" i="38"/>
  <c r="E153" i="38"/>
  <c r="N152" i="38"/>
  <c r="N172" i="38" s="1"/>
  <c r="K152" i="38"/>
  <c r="H152" i="38"/>
  <c r="H172" i="38" s="1"/>
  <c r="F152" i="38"/>
  <c r="F172" i="38" s="1"/>
  <c r="E152" i="38"/>
  <c r="E172" i="38" s="1"/>
  <c r="M150" i="38"/>
  <c r="J150" i="38"/>
  <c r="G150" i="38"/>
  <c r="D150" i="38"/>
  <c r="B150" i="38"/>
  <c r="M149" i="38"/>
  <c r="G149" i="38"/>
  <c r="B145" i="38"/>
  <c r="N144" i="38"/>
  <c r="O144" i="38" s="1"/>
  <c r="L144" i="38"/>
  <c r="K144" i="38"/>
  <c r="H144" i="38"/>
  <c r="I144" i="38" s="1"/>
  <c r="F144" i="38"/>
  <c r="E144" i="38"/>
  <c r="O143" i="38"/>
  <c r="N143" i="38"/>
  <c r="K143" i="38"/>
  <c r="L143" i="38" s="1"/>
  <c r="H143" i="38"/>
  <c r="I143" i="38" s="1"/>
  <c r="F143" i="38"/>
  <c r="E143" i="38"/>
  <c r="N142" i="38"/>
  <c r="O142" i="38" s="1"/>
  <c r="L142" i="38"/>
  <c r="K142" i="38"/>
  <c r="H142" i="38"/>
  <c r="I142" i="38" s="1"/>
  <c r="F142" i="38"/>
  <c r="E142" i="38"/>
  <c r="N141" i="38"/>
  <c r="O141" i="38" s="1"/>
  <c r="K141" i="38"/>
  <c r="L141" i="38" s="1"/>
  <c r="H141" i="38"/>
  <c r="I141" i="38" s="1"/>
  <c r="F141" i="38"/>
  <c r="E141" i="38"/>
  <c r="N140" i="38"/>
  <c r="O140" i="38" s="1"/>
  <c r="L140" i="38"/>
  <c r="K140" i="38"/>
  <c r="H140" i="38"/>
  <c r="I140" i="38" s="1"/>
  <c r="F140" i="38"/>
  <c r="E140" i="38"/>
  <c r="N139" i="38"/>
  <c r="O139" i="38" s="1"/>
  <c r="K139" i="38"/>
  <c r="L139" i="38" s="1"/>
  <c r="H139" i="38"/>
  <c r="I139" i="38" s="1"/>
  <c r="F139" i="38"/>
  <c r="E139" i="38"/>
  <c r="O138" i="38"/>
  <c r="N138" i="38"/>
  <c r="L138" i="38"/>
  <c r="K138" i="38"/>
  <c r="H138" i="38"/>
  <c r="I138" i="38" s="1"/>
  <c r="F138" i="38"/>
  <c r="E138" i="38"/>
  <c r="N137" i="38"/>
  <c r="O137" i="38" s="1"/>
  <c r="K137" i="38"/>
  <c r="L137" i="38" s="1"/>
  <c r="H137" i="38"/>
  <c r="I137" i="38" s="1"/>
  <c r="F137" i="38"/>
  <c r="E137" i="38"/>
  <c r="N136" i="38"/>
  <c r="O136" i="38" s="1"/>
  <c r="L136" i="38"/>
  <c r="K136" i="38"/>
  <c r="H136" i="38"/>
  <c r="I136" i="38" s="1"/>
  <c r="F136" i="38"/>
  <c r="E136" i="38"/>
  <c r="O135" i="38"/>
  <c r="N135" i="38"/>
  <c r="K135" i="38"/>
  <c r="L135" i="38" s="1"/>
  <c r="H135" i="38"/>
  <c r="I135" i="38" s="1"/>
  <c r="F135" i="38"/>
  <c r="E135" i="38"/>
  <c r="N134" i="38"/>
  <c r="O134" i="38" s="1"/>
  <c r="O19" i="38" s="1"/>
  <c r="L134" i="38"/>
  <c r="K134" i="38"/>
  <c r="H134" i="38"/>
  <c r="I134" i="38" s="1"/>
  <c r="I19" i="38" s="1"/>
  <c r="F134" i="38"/>
  <c r="E134" i="38"/>
  <c r="N133" i="38"/>
  <c r="O133" i="38" s="1"/>
  <c r="K133" i="38"/>
  <c r="L133" i="38" s="1"/>
  <c r="H133" i="38"/>
  <c r="I133" i="38" s="1"/>
  <c r="F133" i="38"/>
  <c r="E133" i="38"/>
  <c r="N132" i="38"/>
  <c r="O132" i="38" s="1"/>
  <c r="L132" i="38"/>
  <c r="K132" i="38"/>
  <c r="H132" i="38"/>
  <c r="I132" i="38" s="1"/>
  <c r="F132" i="38"/>
  <c r="E132" i="38"/>
  <c r="N131" i="38"/>
  <c r="O131" i="38" s="1"/>
  <c r="K131" i="38"/>
  <c r="L131" i="38" s="1"/>
  <c r="H131" i="38"/>
  <c r="I131" i="38" s="1"/>
  <c r="F131" i="38"/>
  <c r="E131" i="38"/>
  <c r="O130" i="38"/>
  <c r="N130" i="38"/>
  <c r="L130" i="38"/>
  <c r="K130" i="38"/>
  <c r="H130" i="38"/>
  <c r="I130" i="38" s="1"/>
  <c r="I18" i="38" s="1"/>
  <c r="F130" i="38"/>
  <c r="E130" i="38"/>
  <c r="N129" i="38"/>
  <c r="O129" i="38" s="1"/>
  <c r="K129" i="38"/>
  <c r="L129" i="38" s="1"/>
  <c r="H129" i="38"/>
  <c r="I129" i="38" s="1"/>
  <c r="F129" i="38"/>
  <c r="E129" i="38"/>
  <c r="N128" i="38"/>
  <c r="O128" i="38" s="1"/>
  <c r="L128" i="38"/>
  <c r="K128" i="38"/>
  <c r="H128" i="38"/>
  <c r="I128" i="38" s="1"/>
  <c r="F128" i="38"/>
  <c r="E128" i="38"/>
  <c r="O127" i="38"/>
  <c r="N127" i="38"/>
  <c r="K127" i="38"/>
  <c r="L127" i="38" s="1"/>
  <c r="H127" i="38"/>
  <c r="I127" i="38" s="1"/>
  <c r="F127" i="38"/>
  <c r="E127" i="38"/>
  <c r="N126" i="38"/>
  <c r="O126" i="38" s="1"/>
  <c r="L126" i="38"/>
  <c r="K126" i="38"/>
  <c r="H126" i="38"/>
  <c r="I126" i="38" s="1"/>
  <c r="F126" i="38"/>
  <c r="E126" i="38"/>
  <c r="N125" i="38"/>
  <c r="K125" i="38"/>
  <c r="H125" i="38"/>
  <c r="H145" i="38" s="1"/>
  <c r="F125" i="38"/>
  <c r="F145" i="38" s="1"/>
  <c r="E125" i="38"/>
  <c r="E145" i="38" s="1"/>
  <c r="M123" i="38"/>
  <c r="J123" i="38"/>
  <c r="G123" i="38"/>
  <c r="D123" i="38"/>
  <c r="B123" i="38"/>
  <c r="M122" i="38"/>
  <c r="G122" i="38"/>
  <c r="B118" i="38"/>
  <c r="N117" i="38"/>
  <c r="O117" i="38" s="1"/>
  <c r="L117" i="38"/>
  <c r="K117" i="38"/>
  <c r="H117" i="38"/>
  <c r="I117" i="38" s="1"/>
  <c r="F117" i="38"/>
  <c r="E117" i="38"/>
  <c r="N116" i="38"/>
  <c r="O116" i="38" s="1"/>
  <c r="K116" i="38"/>
  <c r="L116" i="38" s="1"/>
  <c r="H116" i="38"/>
  <c r="I116" i="38" s="1"/>
  <c r="F116" i="38"/>
  <c r="E116" i="38"/>
  <c r="O115" i="38"/>
  <c r="O29" i="38" s="1"/>
  <c r="N115" i="38"/>
  <c r="L115" i="38"/>
  <c r="K115" i="38"/>
  <c r="H115" i="38"/>
  <c r="H29" i="38" s="1"/>
  <c r="F115" i="38"/>
  <c r="E115" i="38"/>
  <c r="N114" i="38"/>
  <c r="O114" i="38" s="1"/>
  <c r="K114" i="38"/>
  <c r="L114" i="38" s="1"/>
  <c r="H114" i="38"/>
  <c r="I114" i="38" s="1"/>
  <c r="F114" i="38"/>
  <c r="E114" i="38"/>
  <c r="N113" i="38"/>
  <c r="O113" i="38" s="1"/>
  <c r="L113" i="38"/>
  <c r="K113" i="38"/>
  <c r="H113" i="38"/>
  <c r="I113" i="38" s="1"/>
  <c r="F113" i="38"/>
  <c r="E113" i="38"/>
  <c r="O112" i="38"/>
  <c r="O28" i="38" s="1"/>
  <c r="N112" i="38"/>
  <c r="K112" i="38"/>
  <c r="L112" i="38" s="1"/>
  <c r="L28" i="38" s="1"/>
  <c r="H112" i="38"/>
  <c r="I112" i="38" s="1"/>
  <c r="I28" i="38" s="1"/>
  <c r="F112" i="38"/>
  <c r="E112" i="38"/>
  <c r="N111" i="38"/>
  <c r="O111" i="38" s="1"/>
  <c r="L111" i="38"/>
  <c r="K111" i="38"/>
  <c r="H111" i="38"/>
  <c r="I111" i="38" s="1"/>
  <c r="F111" i="38"/>
  <c r="E111" i="38"/>
  <c r="N110" i="38"/>
  <c r="O110" i="38" s="1"/>
  <c r="O27" i="38" s="1"/>
  <c r="K110" i="38"/>
  <c r="L110" i="38" s="1"/>
  <c r="L27" i="38" s="1"/>
  <c r="H110" i="38"/>
  <c r="H27" i="38" s="1"/>
  <c r="F110" i="38"/>
  <c r="E110" i="38"/>
  <c r="N109" i="38"/>
  <c r="O109" i="38" s="1"/>
  <c r="L109" i="38"/>
  <c r="K109" i="38"/>
  <c r="H109" i="38"/>
  <c r="I109" i="38" s="1"/>
  <c r="F109" i="38"/>
  <c r="E109" i="38"/>
  <c r="N108" i="38"/>
  <c r="O108" i="38" s="1"/>
  <c r="O25" i="38" s="1"/>
  <c r="K108" i="38"/>
  <c r="L108" i="38" s="1"/>
  <c r="L25" i="38" s="1"/>
  <c r="H108" i="38"/>
  <c r="I108" i="38" s="1"/>
  <c r="I25" i="38" s="1"/>
  <c r="F108" i="38"/>
  <c r="E108" i="38"/>
  <c r="O107" i="38"/>
  <c r="N107" i="38"/>
  <c r="L107" i="38"/>
  <c r="K107" i="38"/>
  <c r="H107" i="38"/>
  <c r="I107" i="38" s="1"/>
  <c r="F107" i="38"/>
  <c r="E107" i="38"/>
  <c r="N106" i="38"/>
  <c r="O106" i="38" s="1"/>
  <c r="K106" i="38"/>
  <c r="L106" i="38" s="1"/>
  <c r="H106" i="38"/>
  <c r="I106" i="38" s="1"/>
  <c r="F106" i="38"/>
  <c r="E106" i="38"/>
  <c r="N105" i="38"/>
  <c r="O105" i="38" s="1"/>
  <c r="L105" i="38"/>
  <c r="K105" i="38"/>
  <c r="H105" i="38"/>
  <c r="I105" i="38" s="1"/>
  <c r="F105" i="38"/>
  <c r="E105" i="38"/>
  <c r="O104" i="38"/>
  <c r="O23" i="38" s="1"/>
  <c r="N104" i="38"/>
  <c r="K104" i="38"/>
  <c r="K23" i="38" s="1"/>
  <c r="H104" i="38"/>
  <c r="H23" i="38" s="1"/>
  <c r="F104" i="38"/>
  <c r="E104" i="38"/>
  <c r="N103" i="38"/>
  <c r="O103" i="38" s="1"/>
  <c r="L103" i="38"/>
  <c r="K103" i="38"/>
  <c r="H103" i="38"/>
  <c r="I103" i="38" s="1"/>
  <c r="F103" i="38"/>
  <c r="E103" i="38"/>
  <c r="N102" i="38"/>
  <c r="O102" i="38" s="1"/>
  <c r="L102" i="38"/>
  <c r="K102" i="38"/>
  <c r="H102" i="38"/>
  <c r="I102" i="38" s="1"/>
  <c r="F102" i="38"/>
  <c r="E102" i="38"/>
  <c r="O101" i="38"/>
  <c r="N101" i="38"/>
  <c r="L101" i="38"/>
  <c r="K101" i="38"/>
  <c r="H101" i="38"/>
  <c r="I101" i="38" s="1"/>
  <c r="F101" i="38"/>
  <c r="E101" i="38"/>
  <c r="N100" i="38"/>
  <c r="O100" i="38" s="1"/>
  <c r="K100" i="38"/>
  <c r="L100" i="38" s="1"/>
  <c r="H100" i="38"/>
  <c r="I100" i="38" s="1"/>
  <c r="F100" i="38"/>
  <c r="E100" i="38"/>
  <c r="N99" i="38"/>
  <c r="O99" i="38" s="1"/>
  <c r="L99" i="38"/>
  <c r="K99" i="38"/>
  <c r="H99" i="38"/>
  <c r="I99" i="38" s="1"/>
  <c r="F99" i="38"/>
  <c r="E99" i="38"/>
  <c r="O98" i="38"/>
  <c r="N98" i="38"/>
  <c r="L98" i="38"/>
  <c r="K98" i="38"/>
  <c r="H98" i="38"/>
  <c r="H118" i="38" s="1"/>
  <c r="F98" i="38"/>
  <c r="F118" i="38" s="1"/>
  <c r="E98" i="38"/>
  <c r="E118" i="38" s="1"/>
  <c r="M96" i="38"/>
  <c r="J96" i="38"/>
  <c r="G96" i="38"/>
  <c r="D96" i="38"/>
  <c r="B96" i="38"/>
  <c r="M95" i="38"/>
  <c r="G95" i="38"/>
  <c r="B91" i="38"/>
  <c r="N90" i="38"/>
  <c r="O90" i="38" s="1"/>
  <c r="L90" i="38"/>
  <c r="K90" i="38"/>
  <c r="H90" i="38"/>
  <c r="I90" i="38" s="1"/>
  <c r="E90" i="38"/>
  <c r="F90" i="38" s="1"/>
  <c r="N89" i="38"/>
  <c r="O89" i="38" s="1"/>
  <c r="O20" i="38" s="1"/>
  <c r="L89" i="38"/>
  <c r="K89" i="38"/>
  <c r="H89" i="38"/>
  <c r="I89" i="38" s="1"/>
  <c r="I20" i="38" s="1"/>
  <c r="E89" i="38"/>
  <c r="F89" i="38" s="1"/>
  <c r="F20" i="38" s="1"/>
  <c r="N88" i="38"/>
  <c r="O88" i="38" s="1"/>
  <c r="L88" i="38"/>
  <c r="K88" i="38"/>
  <c r="H88" i="38"/>
  <c r="I88" i="38" s="1"/>
  <c r="E88" i="38"/>
  <c r="F88" i="38" s="1"/>
  <c r="N87" i="38"/>
  <c r="O87" i="38" s="1"/>
  <c r="L87" i="38"/>
  <c r="K87" i="38"/>
  <c r="I87" i="38"/>
  <c r="H87" i="38"/>
  <c r="E87" i="38"/>
  <c r="F87" i="38" s="1"/>
  <c r="O86" i="38"/>
  <c r="N86" i="38"/>
  <c r="L86" i="38"/>
  <c r="K86" i="38"/>
  <c r="H86" i="38"/>
  <c r="I86" i="38" s="1"/>
  <c r="E86" i="38"/>
  <c r="F86" i="38" s="1"/>
  <c r="N85" i="38"/>
  <c r="O85" i="38" s="1"/>
  <c r="K85" i="38"/>
  <c r="L85" i="38" s="1"/>
  <c r="H85" i="38"/>
  <c r="I85" i="38" s="1"/>
  <c r="E85" i="38"/>
  <c r="F85" i="38" s="1"/>
  <c r="N84" i="38"/>
  <c r="O84" i="38" s="1"/>
  <c r="L84" i="38"/>
  <c r="K84" i="38"/>
  <c r="H84" i="38"/>
  <c r="I84" i="38" s="1"/>
  <c r="E84" i="38"/>
  <c r="F84" i="38" s="1"/>
  <c r="N83" i="38"/>
  <c r="O83" i="38" s="1"/>
  <c r="K83" i="38"/>
  <c r="L83" i="38" s="1"/>
  <c r="I83" i="38"/>
  <c r="H83" i="38"/>
  <c r="E83" i="38"/>
  <c r="F83" i="38" s="1"/>
  <c r="N82" i="38"/>
  <c r="O82" i="38" s="1"/>
  <c r="L82" i="38"/>
  <c r="K82" i="38"/>
  <c r="H82" i="38"/>
  <c r="I82" i="38" s="1"/>
  <c r="E82" i="38"/>
  <c r="F82" i="38" s="1"/>
  <c r="N81" i="38"/>
  <c r="O81" i="38" s="1"/>
  <c r="L81" i="38"/>
  <c r="K81" i="38"/>
  <c r="H81" i="38"/>
  <c r="I81" i="38" s="1"/>
  <c r="E81" i="38"/>
  <c r="F81" i="38" s="1"/>
  <c r="N80" i="38"/>
  <c r="O80" i="38" s="1"/>
  <c r="L80" i="38"/>
  <c r="K80" i="38"/>
  <c r="H80" i="38"/>
  <c r="I80" i="38" s="1"/>
  <c r="E80" i="38"/>
  <c r="F80" i="38" s="1"/>
  <c r="N79" i="38"/>
  <c r="O79" i="38" s="1"/>
  <c r="L79" i="38"/>
  <c r="K79" i="38"/>
  <c r="I79" i="38"/>
  <c r="H79" i="38"/>
  <c r="E79" i="38"/>
  <c r="F79" i="38" s="1"/>
  <c r="O78" i="38"/>
  <c r="N78" i="38"/>
  <c r="K78" i="38"/>
  <c r="L78" i="38" s="1"/>
  <c r="H78" i="38"/>
  <c r="I78" i="38" s="1"/>
  <c r="E78" i="38"/>
  <c r="F78" i="38" s="1"/>
  <c r="N77" i="38"/>
  <c r="O77" i="38" s="1"/>
  <c r="L77" i="38"/>
  <c r="K77" i="38"/>
  <c r="H77" i="38"/>
  <c r="I77" i="38" s="1"/>
  <c r="E77" i="38"/>
  <c r="F77" i="38" s="1"/>
  <c r="N76" i="38"/>
  <c r="N31" i="38" s="1"/>
  <c r="K76" i="38"/>
  <c r="L76" i="38" s="1"/>
  <c r="L31" i="38" s="1"/>
  <c r="H76" i="38"/>
  <c r="I76" i="38" s="1"/>
  <c r="I31" i="38" s="1"/>
  <c r="E76" i="38"/>
  <c r="F76" i="38" s="1"/>
  <c r="F31" i="38" s="1"/>
  <c r="O75" i="38"/>
  <c r="N75" i="38"/>
  <c r="L75" i="38"/>
  <c r="K75" i="38"/>
  <c r="I75" i="38"/>
  <c r="I30" i="38" s="1"/>
  <c r="H75" i="38"/>
  <c r="E75" i="38"/>
  <c r="F75" i="38" s="1"/>
  <c r="F30" i="38" s="1"/>
  <c r="N74" i="38"/>
  <c r="O74" i="38" s="1"/>
  <c r="L74" i="38"/>
  <c r="K74" i="38"/>
  <c r="H74" i="38"/>
  <c r="I74" i="38" s="1"/>
  <c r="E74" i="38"/>
  <c r="F74" i="38" s="1"/>
  <c r="N73" i="38"/>
  <c r="O73" i="38" s="1"/>
  <c r="O26" i="38" s="1"/>
  <c r="L73" i="38"/>
  <c r="K73" i="38"/>
  <c r="H73" i="38"/>
  <c r="I73" i="38" s="1"/>
  <c r="I26" i="38" s="1"/>
  <c r="E73" i="38"/>
  <c r="F73" i="38" s="1"/>
  <c r="F26" i="38" s="1"/>
  <c r="N72" i="38"/>
  <c r="O72" i="38" s="1"/>
  <c r="L72" i="38"/>
  <c r="K72" i="38"/>
  <c r="H72" i="38"/>
  <c r="I72" i="38" s="1"/>
  <c r="E72" i="38"/>
  <c r="F72" i="38" s="1"/>
  <c r="N71" i="38"/>
  <c r="L71" i="38"/>
  <c r="K71" i="38"/>
  <c r="I71" i="38"/>
  <c r="H71" i="38"/>
  <c r="E71" i="38"/>
  <c r="E91" i="38" s="1"/>
  <c r="M69" i="38"/>
  <c r="J69" i="38"/>
  <c r="G69" i="38"/>
  <c r="D69" i="38"/>
  <c r="B69" i="38"/>
  <c r="M68" i="38"/>
  <c r="G68" i="38"/>
  <c r="B64" i="38"/>
  <c r="O63" i="38"/>
  <c r="N63" i="38"/>
  <c r="L63" i="38"/>
  <c r="K63" i="38"/>
  <c r="I63" i="38"/>
  <c r="H63" i="38"/>
  <c r="E63" i="38"/>
  <c r="F63" i="38" s="1"/>
  <c r="N62" i="38"/>
  <c r="O62" i="38" s="1"/>
  <c r="L62" i="38"/>
  <c r="K62" i="38"/>
  <c r="H62" i="38"/>
  <c r="I62" i="38" s="1"/>
  <c r="E62" i="38"/>
  <c r="F62" i="38" s="1"/>
  <c r="N61" i="38"/>
  <c r="O61" i="38" s="1"/>
  <c r="L61" i="38"/>
  <c r="K61" i="38"/>
  <c r="H61" i="38"/>
  <c r="I61" i="38" s="1"/>
  <c r="E61" i="38"/>
  <c r="F61" i="38" s="1"/>
  <c r="N60" i="38"/>
  <c r="O60" i="38" s="1"/>
  <c r="L60" i="38"/>
  <c r="K60" i="38"/>
  <c r="I60" i="38"/>
  <c r="H60" i="38"/>
  <c r="E60" i="38"/>
  <c r="F60" i="38" s="1"/>
  <c r="N59" i="38"/>
  <c r="O59" i="38" s="1"/>
  <c r="K59" i="38"/>
  <c r="L59" i="38" s="1"/>
  <c r="I59" i="38"/>
  <c r="H59" i="38"/>
  <c r="E59" i="38"/>
  <c r="F59" i="38" s="1"/>
  <c r="O58" i="38"/>
  <c r="N58" i="38"/>
  <c r="L58" i="38"/>
  <c r="K58" i="38"/>
  <c r="H58" i="38"/>
  <c r="I58" i="38" s="1"/>
  <c r="E58" i="38"/>
  <c r="F58" i="38" s="1"/>
  <c r="N57" i="38"/>
  <c r="O57" i="38" s="1"/>
  <c r="L57" i="38"/>
  <c r="K57" i="38"/>
  <c r="I57" i="38"/>
  <c r="H57" i="38"/>
  <c r="E57" i="38"/>
  <c r="F57" i="38" s="1"/>
  <c r="N56" i="38"/>
  <c r="O56" i="38" s="1"/>
  <c r="K56" i="38"/>
  <c r="L56" i="38" s="1"/>
  <c r="I56" i="38"/>
  <c r="H56" i="38"/>
  <c r="E56" i="38"/>
  <c r="F56" i="38" s="1"/>
  <c r="N55" i="38"/>
  <c r="O55" i="38" s="1"/>
  <c r="O17" i="38" s="1"/>
  <c r="L55" i="38"/>
  <c r="K55" i="38"/>
  <c r="I55" i="38"/>
  <c r="H55" i="38"/>
  <c r="E55" i="38"/>
  <c r="F55" i="38" s="1"/>
  <c r="F17" i="38" s="1"/>
  <c r="N54" i="38"/>
  <c r="O54" i="38" s="1"/>
  <c r="L54" i="38"/>
  <c r="K54" i="38"/>
  <c r="H54" i="38"/>
  <c r="I54" i="38" s="1"/>
  <c r="E54" i="38"/>
  <c r="F54" i="38" s="1"/>
  <c r="O53" i="38"/>
  <c r="N53" i="38"/>
  <c r="K53" i="38"/>
  <c r="L53" i="38" s="1"/>
  <c r="I53" i="38"/>
  <c r="H53" i="38"/>
  <c r="E53" i="38"/>
  <c r="F53" i="38" s="1"/>
  <c r="N52" i="38"/>
  <c r="O52" i="38" s="1"/>
  <c r="L52" i="38"/>
  <c r="K52" i="38"/>
  <c r="I52" i="38"/>
  <c r="H52" i="38"/>
  <c r="E52" i="38"/>
  <c r="F52" i="38" s="1"/>
  <c r="N51" i="38"/>
  <c r="O51" i="38" s="1"/>
  <c r="L51" i="38"/>
  <c r="K51" i="38"/>
  <c r="I51" i="38"/>
  <c r="H51" i="38"/>
  <c r="E51" i="38"/>
  <c r="F51" i="38" s="1"/>
  <c r="O50" i="38"/>
  <c r="N50" i="38"/>
  <c r="L50" i="38"/>
  <c r="K50" i="38"/>
  <c r="H50" i="38"/>
  <c r="I50" i="38" s="1"/>
  <c r="I24" i="38" s="1"/>
  <c r="E50" i="38"/>
  <c r="F50" i="38" s="1"/>
  <c r="F24" i="38" s="1"/>
  <c r="N49" i="38"/>
  <c r="O49" i="38" s="1"/>
  <c r="L49" i="38"/>
  <c r="K49" i="38"/>
  <c r="I49" i="38"/>
  <c r="H49" i="38"/>
  <c r="E49" i="38"/>
  <c r="F49" i="38" s="1"/>
  <c r="N48" i="38"/>
  <c r="O48" i="38" s="1"/>
  <c r="K48" i="38"/>
  <c r="L48" i="38" s="1"/>
  <c r="I48" i="38"/>
  <c r="H48" i="38"/>
  <c r="E48" i="38"/>
  <c r="F48" i="38" s="1"/>
  <c r="N47" i="38"/>
  <c r="O47" i="38" s="1"/>
  <c r="O22" i="38" s="1"/>
  <c r="L47" i="38"/>
  <c r="K47" i="38"/>
  <c r="I47" i="38"/>
  <c r="H47" i="38"/>
  <c r="E47" i="38"/>
  <c r="F47" i="38" s="1"/>
  <c r="F22" i="38" s="1"/>
  <c r="N46" i="38"/>
  <c r="O46" i="38" s="1"/>
  <c r="K46" i="38"/>
  <c r="L46" i="38" s="1"/>
  <c r="H46" i="38"/>
  <c r="I46" i="38" s="1"/>
  <c r="E46" i="38"/>
  <c r="F46" i="38" s="1"/>
  <c r="N45" i="38"/>
  <c r="O45" i="38" s="1"/>
  <c r="K45" i="38"/>
  <c r="L45" i="38" s="1"/>
  <c r="I45" i="38"/>
  <c r="H45" i="38"/>
  <c r="E45" i="38"/>
  <c r="F45" i="38" s="1"/>
  <c r="N44" i="38"/>
  <c r="L44" i="38"/>
  <c r="K44" i="38"/>
  <c r="I44" i="38"/>
  <c r="H44" i="38"/>
  <c r="H64" i="38" s="1"/>
  <c r="E44" i="38"/>
  <c r="E64" i="38" s="1"/>
  <c r="M42" i="38"/>
  <c r="J42" i="38"/>
  <c r="G42" i="38"/>
  <c r="D42" i="38"/>
  <c r="B42" i="38"/>
  <c r="M41" i="38"/>
  <c r="G41" i="38"/>
  <c r="O36" i="38"/>
  <c r="N36" i="38"/>
  <c r="M36" i="38"/>
  <c r="L36" i="38"/>
  <c r="K36" i="38"/>
  <c r="J36" i="38"/>
  <c r="I36" i="38"/>
  <c r="H36" i="38"/>
  <c r="G36" i="38"/>
  <c r="F36" i="38"/>
  <c r="E36" i="38"/>
  <c r="D36" i="38"/>
  <c r="C36" i="38"/>
  <c r="B36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C35" i="38"/>
  <c r="B35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C34" i="38"/>
  <c r="B34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C33" i="38"/>
  <c r="B33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C32" i="38"/>
  <c r="B32" i="38"/>
  <c r="M31" i="38"/>
  <c r="K31" i="38"/>
  <c r="J31" i="38"/>
  <c r="H31" i="38"/>
  <c r="G31" i="38"/>
  <c r="E31" i="38"/>
  <c r="D31" i="38"/>
  <c r="C31" i="38"/>
  <c r="B31" i="38"/>
  <c r="O30" i="38"/>
  <c r="N30" i="38"/>
  <c r="M30" i="38"/>
  <c r="L30" i="38"/>
  <c r="K30" i="38"/>
  <c r="J30" i="38"/>
  <c r="H30" i="38"/>
  <c r="G30" i="38"/>
  <c r="E30" i="38"/>
  <c r="D30" i="38"/>
  <c r="C30" i="38"/>
  <c r="B30" i="38"/>
  <c r="N29" i="38"/>
  <c r="M29" i="38"/>
  <c r="L29" i="38"/>
  <c r="K29" i="38"/>
  <c r="J29" i="38"/>
  <c r="G29" i="38"/>
  <c r="F29" i="38"/>
  <c r="E29" i="38"/>
  <c r="D29" i="38"/>
  <c r="C29" i="38"/>
  <c r="B29" i="38"/>
  <c r="N28" i="38"/>
  <c r="M28" i="38"/>
  <c r="J28" i="38"/>
  <c r="H28" i="38"/>
  <c r="G28" i="38"/>
  <c r="F28" i="38"/>
  <c r="E28" i="38"/>
  <c r="D28" i="38"/>
  <c r="C28" i="38"/>
  <c r="B28" i="38"/>
  <c r="N27" i="38"/>
  <c r="M27" i="38"/>
  <c r="K27" i="38"/>
  <c r="J27" i="38"/>
  <c r="G27" i="38"/>
  <c r="F27" i="38"/>
  <c r="E27" i="38"/>
  <c r="D27" i="38"/>
  <c r="C27" i="38"/>
  <c r="B27" i="38"/>
  <c r="N26" i="38"/>
  <c r="M26" i="38"/>
  <c r="L26" i="38"/>
  <c r="K26" i="38"/>
  <c r="J26" i="38"/>
  <c r="H26" i="38"/>
  <c r="G26" i="38"/>
  <c r="E26" i="38"/>
  <c r="D26" i="38"/>
  <c r="C26" i="38"/>
  <c r="B26" i="38"/>
  <c r="N25" i="38"/>
  <c r="M25" i="38"/>
  <c r="K25" i="38"/>
  <c r="J25" i="38"/>
  <c r="H25" i="38"/>
  <c r="G25" i="38"/>
  <c r="F25" i="38"/>
  <c r="E25" i="38"/>
  <c r="D25" i="38"/>
  <c r="C25" i="38"/>
  <c r="B25" i="38"/>
  <c r="O24" i="38"/>
  <c r="N24" i="38"/>
  <c r="M24" i="38"/>
  <c r="L24" i="38"/>
  <c r="K24" i="38"/>
  <c r="J24" i="38"/>
  <c r="H24" i="38"/>
  <c r="G24" i="38"/>
  <c r="E24" i="38"/>
  <c r="D24" i="38"/>
  <c r="C24" i="38"/>
  <c r="B24" i="38"/>
  <c r="N23" i="38"/>
  <c r="M23" i="38"/>
  <c r="J23" i="38"/>
  <c r="G23" i="38"/>
  <c r="F23" i="38"/>
  <c r="E23" i="38"/>
  <c r="D23" i="38"/>
  <c r="C23" i="38"/>
  <c r="B23" i="38"/>
  <c r="N22" i="38"/>
  <c r="M22" i="38"/>
  <c r="L22" i="38"/>
  <c r="K22" i="38"/>
  <c r="J22" i="38"/>
  <c r="I22" i="38"/>
  <c r="H22" i="38"/>
  <c r="G22" i="38"/>
  <c r="E22" i="38"/>
  <c r="D22" i="38"/>
  <c r="C22" i="38"/>
  <c r="B22" i="38"/>
  <c r="N21" i="38"/>
  <c r="M21" i="38"/>
  <c r="L21" i="38"/>
  <c r="K21" i="38"/>
  <c r="J21" i="38"/>
  <c r="H21" i="38"/>
  <c r="G21" i="38"/>
  <c r="F21" i="38"/>
  <c r="E21" i="38"/>
  <c r="D21" i="38"/>
  <c r="C21" i="38"/>
  <c r="B21" i="38"/>
  <c r="N20" i="38"/>
  <c r="M20" i="38"/>
  <c r="L20" i="38"/>
  <c r="K20" i="38"/>
  <c r="J20" i="38"/>
  <c r="H20" i="38"/>
  <c r="G20" i="38"/>
  <c r="E20" i="38"/>
  <c r="D20" i="38"/>
  <c r="C20" i="38"/>
  <c r="B20" i="38"/>
  <c r="N19" i="38"/>
  <c r="M19" i="38"/>
  <c r="L19" i="38"/>
  <c r="K19" i="38"/>
  <c r="J19" i="38"/>
  <c r="H19" i="38"/>
  <c r="G19" i="38"/>
  <c r="F19" i="38"/>
  <c r="E19" i="38"/>
  <c r="D19" i="38"/>
  <c r="C19" i="38"/>
  <c r="B19" i="38"/>
  <c r="O18" i="38"/>
  <c r="N18" i="38"/>
  <c r="M18" i="38"/>
  <c r="L18" i="38"/>
  <c r="K18" i="38"/>
  <c r="J18" i="38"/>
  <c r="H18" i="38"/>
  <c r="G18" i="38"/>
  <c r="F18" i="38"/>
  <c r="E18" i="38"/>
  <c r="D18" i="38"/>
  <c r="C18" i="38"/>
  <c r="B18" i="38"/>
  <c r="N17" i="38"/>
  <c r="M17" i="38"/>
  <c r="L17" i="38"/>
  <c r="K17" i="38"/>
  <c r="J17" i="38"/>
  <c r="I17" i="38"/>
  <c r="H17" i="38"/>
  <c r="G17" i="38"/>
  <c r="E17" i="38"/>
  <c r="D17" i="38"/>
  <c r="C17" i="38"/>
  <c r="B17" i="38"/>
  <c r="M15" i="38"/>
  <c r="J15" i="38"/>
  <c r="G15" i="38"/>
  <c r="D15" i="38"/>
  <c r="B15" i="38"/>
  <c r="M14" i="38"/>
  <c r="G14" i="38"/>
  <c r="B199" i="37"/>
  <c r="N198" i="37"/>
  <c r="O198" i="37" s="1"/>
  <c r="L198" i="37"/>
  <c r="K198" i="37"/>
  <c r="H198" i="37"/>
  <c r="I198" i="37" s="1"/>
  <c r="F198" i="37"/>
  <c r="E198" i="37"/>
  <c r="N197" i="37"/>
  <c r="O197" i="37" s="1"/>
  <c r="K197" i="37"/>
  <c r="L197" i="37" s="1"/>
  <c r="H197" i="37"/>
  <c r="I197" i="37" s="1"/>
  <c r="F197" i="37"/>
  <c r="E197" i="37"/>
  <c r="O196" i="37"/>
  <c r="N196" i="37"/>
  <c r="K196" i="37"/>
  <c r="L196" i="37" s="1"/>
  <c r="I196" i="37"/>
  <c r="H196" i="37"/>
  <c r="F196" i="37"/>
  <c r="E196" i="37"/>
  <c r="N195" i="37"/>
  <c r="O195" i="37" s="1"/>
  <c r="K195" i="37"/>
  <c r="L195" i="37" s="1"/>
  <c r="I195" i="37"/>
  <c r="H195" i="37"/>
  <c r="F195" i="37"/>
  <c r="E195" i="37"/>
  <c r="N194" i="37"/>
  <c r="O194" i="37" s="1"/>
  <c r="K194" i="37"/>
  <c r="L194" i="37" s="1"/>
  <c r="I194" i="37"/>
  <c r="H194" i="37"/>
  <c r="F194" i="37"/>
  <c r="E194" i="37"/>
  <c r="N193" i="37"/>
  <c r="O193" i="37" s="1"/>
  <c r="K193" i="37"/>
  <c r="L193" i="37" s="1"/>
  <c r="H193" i="37"/>
  <c r="I193" i="37" s="1"/>
  <c r="F193" i="37"/>
  <c r="E193" i="37"/>
  <c r="N192" i="37"/>
  <c r="O192" i="37" s="1"/>
  <c r="L192" i="37"/>
  <c r="K192" i="37"/>
  <c r="H192" i="37"/>
  <c r="I192" i="37" s="1"/>
  <c r="F192" i="37"/>
  <c r="E192" i="37"/>
  <c r="N191" i="37"/>
  <c r="O191" i="37" s="1"/>
  <c r="L191" i="37"/>
  <c r="K191" i="37"/>
  <c r="H191" i="37"/>
  <c r="I191" i="37" s="1"/>
  <c r="F191" i="37"/>
  <c r="E191" i="37"/>
  <c r="N190" i="37"/>
  <c r="O190" i="37" s="1"/>
  <c r="K190" i="37"/>
  <c r="L190" i="37" s="1"/>
  <c r="H190" i="37"/>
  <c r="I190" i="37" s="1"/>
  <c r="F190" i="37"/>
  <c r="E190" i="37"/>
  <c r="N189" i="37"/>
  <c r="O189" i="37" s="1"/>
  <c r="K189" i="37"/>
  <c r="L189" i="37" s="1"/>
  <c r="H189" i="37"/>
  <c r="I189" i="37" s="1"/>
  <c r="F189" i="37"/>
  <c r="E189" i="37"/>
  <c r="N188" i="37"/>
  <c r="O188" i="37" s="1"/>
  <c r="L188" i="37"/>
  <c r="K188" i="37"/>
  <c r="H188" i="37"/>
  <c r="I188" i="37" s="1"/>
  <c r="F188" i="37"/>
  <c r="E188" i="37"/>
  <c r="O187" i="37"/>
  <c r="N187" i="37"/>
  <c r="L187" i="37"/>
  <c r="K187" i="37"/>
  <c r="H187" i="37"/>
  <c r="I187" i="37" s="1"/>
  <c r="F187" i="37"/>
  <c r="E187" i="37"/>
  <c r="N186" i="37"/>
  <c r="O186" i="37" s="1"/>
  <c r="K186" i="37"/>
  <c r="L186" i="37" s="1"/>
  <c r="H186" i="37"/>
  <c r="I186" i="37" s="1"/>
  <c r="F186" i="37"/>
  <c r="E186" i="37"/>
  <c r="N185" i="37"/>
  <c r="O185" i="37" s="1"/>
  <c r="K185" i="37"/>
  <c r="L185" i="37" s="1"/>
  <c r="H185" i="37"/>
  <c r="I185" i="37" s="1"/>
  <c r="F185" i="37"/>
  <c r="E185" i="37"/>
  <c r="N184" i="37"/>
  <c r="O184" i="37" s="1"/>
  <c r="L184" i="37"/>
  <c r="K184" i="37"/>
  <c r="H184" i="37"/>
  <c r="I184" i="37" s="1"/>
  <c r="F184" i="37"/>
  <c r="E184" i="37"/>
  <c r="N183" i="37"/>
  <c r="O183" i="37" s="1"/>
  <c r="L183" i="37"/>
  <c r="K183" i="37"/>
  <c r="H183" i="37"/>
  <c r="I183" i="37" s="1"/>
  <c r="F183" i="37"/>
  <c r="E183" i="37"/>
  <c r="N182" i="37"/>
  <c r="O182" i="37" s="1"/>
  <c r="K182" i="37"/>
  <c r="L182" i="37" s="1"/>
  <c r="H182" i="37"/>
  <c r="I182" i="37" s="1"/>
  <c r="F182" i="37"/>
  <c r="E182" i="37"/>
  <c r="N181" i="37"/>
  <c r="O181" i="37" s="1"/>
  <c r="K181" i="37"/>
  <c r="L181" i="37" s="1"/>
  <c r="H181" i="37"/>
  <c r="I181" i="37" s="1"/>
  <c r="F181" i="37"/>
  <c r="E181" i="37"/>
  <c r="N180" i="37"/>
  <c r="O180" i="37" s="1"/>
  <c r="L180" i="37"/>
  <c r="K180" i="37"/>
  <c r="H180" i="37"/>
  <c r="I180" i="37" s="1"/>
  <c r="F180" i="37"/>
  <c r="E180" i="37"/>
  <c r="O179" i="37"/>
  <c r="N179" i="37"/>
  <c r="L179" i="37"/>
  <c r="K179" i="37"/>
  <c r="H179" i="37"/>
  <c r="H199" i="37" s="1"/>
  <c r="F179" i="37"/>
  <c r="F199" i="37" s="1"/>
  <c r="E179" i="37"/>
  <c r="E199" i="37" s="1"/>
  <c r="M177" i="37"/>
  <c r="J177" i="37"/>
  <c r="G177" i="37"/>
  <c r="D177" i="37"/>
  <c r="B177" i="37"/>
  <c r="M176" i="37"/>
  <c r="G176" i="37"/>
  <c r="B172" i="37"/>
  <c r="N171" i="37"/>
  <c r="O171" i="37" s="1"/>
  <c r="O21" i="37" s="1"/>
  <c r="K171" i="37"/>
  <c r="L171" i="37" s="1"/>
  <c r="L21" i="37" s="1"/>
  <c r="H171" i="37"/>
  <c r="I171" i="37" s="1"/>
  <c r="I21" i="37" s="1"/>
  <c r="F171" i="37"/>
  <c r="E171" i="37"/>
  <c r="O170" i="37"/>
  <c r="N170" i="37"/>
  <c r="L170" i="37"/>
  <c r="K170" i="37"/>
  <c r="H170" i="37"/>
  <c r="I170" i="37" s="1"/>
  <c r="F170" i="37"/>
  <c r="E170" i="37"/>
  <c r="O169" i="37"/>
  <c r="N169" i="37"/>
  <c r="L169" i="37"/>
  <c r="K169" i="37"/>
  <c r="H169" i="37"/>
  <c r="I169" i="37" s="1"/>
  <c r="F169" i="37"/>
  <c r="E169" i="37"/>
  <c r="N168" i="37"/>
  <c r="O168" i="37" s="1"/>
  <c r="L168" i="37"/>
  <c r="K168" i="37"/>
  <c r="H168" i="37"/>
  <c r="I168" i="37" s="1"/>
  <c r="F168" i="37"/>
  <c r="E168" i="37"/>
  <c r="O167" i="37"/>
  <c r="N167" i="37"/>
  <c r="K167" i="37"/>
  <c r="L167" i="37" s="1"/>
  <c r="H167" i="37"/>
  <c r="I167" i="37" s="1"/>
  <c r="F167" i="37"/>
  <c r="E167" i="37"/>
  <c r="O166" i="37"/>
  <c r="N166" i="37"/>
  <c r="L166" i="37"/>
  <c r="K166" i="37"/>
  <c r="H166" i="37"/>
  <c r="I166" i="37" s="1"/>
  <c r="F166" i="37"/>
  <c r="E166" i="37"/>
  <c r="N165" i="37"/>
  <c r="O165" i="37" s="1"/>
  <c r="L165" i="37"/>
  <c r="K165" i="37"/>
  <c r="H165" i="37"/>
  <c r="I165" i="37" s="1"/>
  <c r="F165" i="37"/>
  <c r="E165" i="37"/>
  <c r="O164" i="37"/>
  <c r="N164" i="37"/>
  <c r="L164" i="37"/>
  <c r="K164" i="37"/>
  <c r="H164" i="37"/>
  <c r="I164" i="37" s="1"/>
  <c r="F164" i="37"/>
  <c r="E164" i="37"/>
  <c r="O163" i="37"/>
  <c r="N163" i="37"/>
  <c r="K163" i="37"/>
  <c r="L163" i="37" s="1"/>
  <c r="H163" i="37"/>
  <c r="I163" i="37" s="1"/>
  <c r="F163" i="37"/>
  <c r="E163" i="37"/>
  <c r="N162" i="37"/>
  <c r="O162" i="37" s="1"/>
  <c r="L162" i="37"/>
  <c r="K162" i="37"/>
  <c r="H162" i="37"/>
  <c r="I162" i="37" s="1"/>
  <c r="F162" i="37"/>
  <c r="E162" i="37"/>
  <c r="O161" i="37"/>
  <c r="N161" i="37"/>
  <c r="L161" i="37"/>
  <c r="K161" i="37"/>
  <c r="H161" i="37"/>
  <c r="I161" i="37" s="1"/>
  <c r="F161" i="37"/>
  <c r="E161" i="37"/>
  <c r="O160" i="37"/>
  <c r="N160" i="37"/>
  <c r="L160" i="37"/>
  <c r="K160" i="37"/>
  <c r="H160" i="37"/>
  <c r="I160" i="37" s="1"/>
  <c r="F160" i="37"/>
  <c r="E160" i="37"/>
  <c r="O159" i="37"/>
  <c r="N159" i="37"/>
  <c r="K159" i="37"/>
  <c r="L159" i="37" s="1"/>
  <c r="H159" i="37"/>
  <c r="I159" i="37" s="1"/>
  <c r="F159" i="37"/>
  <c r="E159" i="37"/>
  <c r="O158" i="37"/>
  <c r="N158" i="37"/>
  <c r="L158" i="37"/>
  <c r="K158" i="37"/>
  <c r="H158" i="37"/>
  <c r="I158" i="37" s="1"/>
  <c r="F158" i="37"/>
  <c r="E158" i="37"/>
  <c r="O157" i="37"/>
  <c r="N157" i="37"/>
  <c r="L157" i="37"/>
  <c r="K157" i="37"/>
  <c r="H157" i="37"/>
  <c r="I157" i="37" s="1"/>
  <c r="F157" i="37"/>
  <c r="E157" i="37"/>
  <c r="O156" i="37"/>
  <c r="N156" i="37"/>
  <c r="L156" i="37"/>
  <c r="K156" i="37"/>
  <c r="H156" i="37"/>
  <c r="I156" i="37" s="1"/>
  <c r="F156" i="37"/>
  <c r="E156" i="37"/>
  <c r="N155" i="37"/>
  <c r="O155" i="37" s="1"/>
  <c r="K155" i="37"/>
  <c r="L155" i="37" s="1"/>
  <c r="H155" i="37"/>
  <c r="I155" i="37" s="1"/>
  <c r="F155" i="37"/>
  <c r="E155" i="37"/>
  <c r="O154" i="37"/>
  <c r="N154" i="37"/>
  <c r="L154" i="37"/>
  <c r="K154" i="37"/>
  <c r="H154" i="37"/>
  <c r="I154" i="37" s="1"/>
  <c r="F154" i="37"/>
  <c r="E154" i="37"/>
  <c r="O153" i="37"/>
  <c r="N153" i="37"/>
  <c r="L153" i="37"/>
  <c r="K153" i="37"/>
  <c r="H153" i="37"/>
  <c r="I153" i="37" s="1"/>
  <c r="F153" i="37"/>
  <c r="E153" i="37"/>
  <c r="N152" i="37"/>
  <c r="N172" i="37" s="1"/>
  <c r="L152" i="37"/>
  <c r="K152" i="37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B145" i="37"/>
  <c r="O144" i="37"/>
  <c r="N144" i="37"/>
  <c r="K144" i="37"/>
  <c r="L144" i="37" s="1"/>
  <c r="H144" i="37"/>
  <c r="I144" i="37" s="1"/>
  <c r="F144" i="37"/>
  <c r="E144" i="37"/>
  <c r="O143" i="37"/>
  <c r="N143" i="37"/>
  <c r="K143" i="37"/>
  <c r="L143" i="37" s="1"/>
  <c r="H143" i="37"/>
  <c r="I143" i="37" s="1"/>
  <c r="F143" i="37"/>
  <c r="E143" i="37"/>
  <c r="O142" i="37"/>
  <c r="N142" i="37"/>
  <c r="L142" i="37"/>
  <c r="K142" i="37"/>
  <c r="H142" i="37"/>
  <c r="I142" i="37" s="1"/>
  <c r="F142" i="37"/>
  <c r="E142" i="37"/>
  <c r="N141" i="37"/>
  <c r="O141" i="37" s="1"/>
  <c r="L141" i="37"/>
  <c r="K141" i="37"/>
  <c r="H141" i="37"/>
  <c r="I141" i="37" s="1"/>
  <c r="F141" i="37"/>
  <c r="E141" i="37"/>
  <c r="O140" i="37"/>
  <c r="N140" i="37"/>
  <c r="K140" i="37"/>
  <c r="L140" i="37" s="1"/>
  <c r="H140" i="37"/>
  <c r="I140" i="37" s="1"/>
  <c r="F140" i="37"/>
  <c r="E140" i="37"/>
  <c r="O139" i="37"/>
  <c r="N139" i="37"/>
  <c r="K139" i="37"/>
  <c r="L139" i="37" s="1"/>
  <c r="H139" i="37"/>
  <c r="I139" i="37" s="1"/>
  <c r="F139" i="37"/>
  <c r="E139" i="37"/>
  <c r="O138" i="37"/>
  <c r="N138" i="37"/>
  <c r="L138" i="37"/>
  <c r="K138" i="37"/>
  <c r="H138" i="37"/>
  <c r="I138" i="37" s="1"/>
  <c r="F138" i="37"/>
  <c r="E138" i="37"/>
  <c r="N137" i="37"/>
  <c r="O137" i="37" s="1"/>
  <c r="L137" i="37"/>
  <c r="K137" i="37"/>
  <c r="H137" i="37"/>
  <c r="I137" i="37" s="1"/>
  <c r="F137" i="37"/>
  <c r="E137" i="37"/>
  <c r="O136" i="37"/>
  <c r="N136" i="37"/>
  <c r="K136" i="37"/>
  <c r="L136" i="37" s="1"/>
  <c r="H136" i="37"/>
  <c r="I136" i="37" s="1"/>
  <c r="F136" i="37"/>
  <c r="E136" i="37"/>
  <c r="O135" i="37"/>
  <c r="N135" i="37"/>
  <c r="K135" i="37"/>
  <c r="L135" i="37" s="1"/>
  <c r="L19" i="37" s="1"/>
  <c r="H135" i="37"/>
  <c r="I135" i="37" s="1"/>
  <c r="I19" i="37" s="1"/>
  <c r="F135" i="37"/>
  <c r="E135" i="37"/>
  <c r="O134" i="37"/>
  <c r="N134" i="37"/>
  <c r="L134" i="37"/>
  <c r="K134" i="37"/>
  <c r="H134" i="37"/>
  <c r="I134" i="37" s="1"/>
  <c r="F134" i="37"/>
  <c r="E134" i="37"/>
  <c r="N133" i="37"/>
  <c r="O133" i="37" s="1"/>
  <c r="L133" i="37"/>
  <c r="K133" i="37"/>
  <c r="H133" i="37"/>
  <c r="I133" i="37" s="1"/>
  <c r="F133" i="37"/>
  <c r="E133" i="37"/>
  <c r="O132" i="37"/>
  <c r="N132" i="37"/>
  <c r="K132" i="37"/>
  <c r="L132" i="37" s="1"/>
  <c r="H132" i="37"/>
  <c r="I132" i="37" s="1"/>
  <c r="F132" i="37"/>
  <c r="E132" i="37"/>
  <c r="O131" i="37"/>
  <c r="N131" i="37"/>
  <c r="K131" i="37"/>
  <c r="L131" i="37" s="1"/>
  <c r="H131" i="37"/>
  <c r="I131" i="37" s="1"/>
  <c r="F131" i="37"/>
  <c r="E131" i="37"/>
  <c r="O130" i="37"/>
  <c r="N130" i="37"/>
  <c r="L130" i="37"/>
  <c r="K130" i="37"/>
  <c r="H130" i="37"/>
  <c r="I130" i="37" s="1"/>
  <c r="F130" i="37"/>
  <c r="E130" i="37"/>
  <c r="N129" i="37"/>
  <c r="O129" i="37" s="1"/>
  <c r="L129" i="37"/>
  <c r="K129" i="37"/>
  <c r="H129" i="37"/>
  <c r="I129" i="37" s="1"/>
  <c r="F129" i="37"/>
  <c r="E129" i="37"/>
  <c r="O128" i="37"/>
  <c r="N128" i="37"/>
  <c r="K128" i="37"/>
  <c r="L128" i="37" s="1"/>
  <c r="H128" i="37"/>
  <c r="I128" i="37" s="1"/>
  <c r="F128" i="37"/>
  <c r="E128" i="37"/>
  <c r="O127" i="37"/>
  <c r="N127" i="37"/>
  <c r="K127" i="37"/>
  <c r="L127" i="37" s="1"/>
  <c r="L18" i="37" s="1"/>
  <c r="H127" i="37"/>
  <c r="I127" i="37" s="1"/>
  <c r="I18" i="37" s="1"/>
  <c r="F127" i="37"/>
  <c r="E127" i="37"/>
  <c r="O126" i="37"/>
  <c r="N126" i="37"/>
  <c r="L126" i="37"/>
  <c r="K126" i="37"/>
  <c r="H126" i="37"/>
  <c r="I126" i="37" s="1"/>
  <c r="F126" i="37"/>
  <c r="E126" i="37"/>
  <c r="N125" i="37"/>
  <c r="L125" i="37"/>
  <c r="K125" i="37"/>
  <c r="H125" i="37"/>
  <c r="H145" i="37" s="1"/>
  <c r="F125" i="37"/>
  <c r="F145" i="37" s="1"/>
  <c r="E125" i="37"/>
  <c r="E145" i="37" s="1"/>
  <c r="M123" i="37"/>
  <c r="J123" i="37"/>
  <c r="G123" i="37"/>
  <c r="D123" i="37"/>
  <c r="B123" i="37"/>
  <c r="M122" i="37"/>
  <c r="G122" i="37"/>
  <c r="B118" i="37"/>
  <c r="O117" i="37"/>
  <c r="N117" i="37"/>
  <c r="K117" i="37"/>
  <c r="L117" i="37" s="1"/>
  <c r="H117" i="37"/>
  <c r="I117" i="37" s="1"/>
  <c r="F117" i="37"/>
  <c r="E117" i="37"/>
  <c r="N116" i="37"/>
  <c r="O116" i="37" s="1"/>
  <c r="K116" i="37"/>
  <c r="L116" i="37" s="1"/>
  <c r="H116" i="37"/>
  <c r="I116" i="37" s="1"/>
  <c r="F116" i="37"/>
  <c r="E116" i="37"/>
  <c r="O115" i="37"/>
  <c r="N115" i="37"/>
  <c r="L115" i="37"/>
  <c r="K115" i="37"/>
  <c r="H115" i="37"/>
  <c r="I115" i="37" s="1"/>
  <c r="F115" i="37"/>
  <c r="E115" i="37"/>
  <c r="N114" i="37"/>
  <c r="O114" i="37" s="1"/>
  <c r="L114" i="37"/>
  <c r="K114" i="37"/>
  <c r="H114" i="37"/>
  <c r="I114" i="37" s="1"/>
  <c r="F114" i="37"/>
  <c r="E114" i="37"/>
  <c r="N113" i="37"/>
  <c r="O113" i="37" s="1"/>
  <c r="K113" i="37"/>
  <c r="L113" i="37" s="1"/>
  <c r="H113" i="37"/>
  <c r="I113" i="37" s="1"/>
  <c r="F113" i="37"/>
  <c r="E113" i="37"/>
  <c r="O112" i="37"/>
  <c r="O31" i="37" s="1"/>
  <c r="N112" i="37"/>
  <c r="K112" i="37"/>
  <c r="L112" i="37" s="1"/>
  <c r="L31" i="37" s="1"/>
  <c r="H112" i="37"/>
  <c r="I112" i="37" s="1"/>
  <c r="I31" i="37" s="1"/>
  <c r="F112" i="37"/>
  <c r="E112" i="37"/>
  <c r="N111" i="37"/>
  <c r="O111" i="37" s="1"/>
  <c r="O30" i="37" s="1"/>
  <c r="L111" i="37"/>
  <c r="K111" i="37"/>
  <c r="H111" i="37"/>
  <c r="I111" i="37" s="1"/>
  <c r="I30" i="37" s="1"/>
  <c r="F111" i="37"/>
  <c r="F30" i="37" s="1"/>
  <c r="E111" i="37"/>
  <c r="N110" i="37"/>
  <c r="O110" i="37" s="1"/>
  <c r="L110" i="37"/>
  <c r="K110" i="37"/>
  <c r="H110" i="37"/>
  <c r="I110" i="37" s="1"/>
  <c r="F110" i="37"/>
  <c r="E110" i="37"/>
  <c r="O109" i="37"/>
  <c r="N109" i="37"/>
  <c r="K109" i="37"/>
  <c r="L109" i="37" s="1"/>
  <c r="L28" i="37" s="1"/>
  <c r="H109" i="37"/>
  <c r="I109" i="37" s="1"/>
  <c r="I28" i="37" s="1"/>
  <c r="F109" i="37"/>
  <c r="F28" i="37" s="1"/>
  <c r="E109" i="37"/>
  <c r="N108" i="37"/>
  <c r="O108" i="37" s="1"/>
  <c r="K108" i="37"/>
  <c r="L108" i="37" s="1"/>
  <c r="H108" i="37"/>
  <c r="I108" i="37" s="1"/>
  <c r="F108" i="37"/>
  <c r="E108" i="37"/>
  <c r="O107" i="37"/>
  <c r="N107" i="37"/>
  <c r="L107" i="37"/>
  <c r="K107" i="37"/>
  <c r="H107" i="37"/>
  <c r="I107" i="37" s="1"/>
  <c r="F107" i="37"/>
  <c r="E107" i="37"/>
  <c r="N106" i="37"/>
  <c r="N25" i="37" s="1"/>
  <c r="L106" i="37"/>
  <c r="L25" i="37" s="1"/>
  <c r="K106" i="37"/>
  <c r="H106" i="37"/>
  <c r="I106" i="37" s="1"/>
  <c r="I25" i="37" s="1"/>
  <c r="F106" i="37"/>
  <c r="F25" i="37" s="1"/>
  <c r="E106" i="37"/>
  <c r="N105" i="37"/>
  <c r="O105" i="37" s="1"/>
  <c r="K105" i="37"/>
  <c r="L105" i="37" s="1"/>
  <c r="H105" i="37"/>
  <c r="I105" i="37" s="1"/>
  <c r="F105" i="37"/>
  <c r="E105" i="37"/>
  <c r="O104" i="37"/>
  <c r="N104" i="37"/>
  <c r="K104" i="37"/>
  <c r="L104" i="37" s="1"/>
  <c r="H104" i="37"/>
  <c r="I104" i="37" s="1"/>
  <c r="F104" i="37"/>
  <c r="E104" i="37"/>
  <c r="N103" i="37"/>
  <c r="O103" i="37" s="1"/>
  <c r="L103" i="37"/>
  <c r="K103" i="37"/>
  <c r="H103" i="37"/>
  <c r="I103" i="37" s="1"/>
  <c r="F103" i="37"/>
  <c r="E103" i="37"/>
  <c r="N102" i="37"/>
  <c r="O102" i="37" s="1"/>
  <c r="L102" i="37"/>
  <c r="K102" i="37"/>
  <c r="H102" i="37"/>
  <c r="I102" i="37" s="1"/>
  <c r="F102" i="37"/>
  <c r="E102" i="37"/>
  <c r="O101" i="37"/>
  <c r="N101" i="37"/>
  <c r="K101" i="37"/>
  <c r="L101" i="37" s="1"/>
  <c r="H101" i="37"/>
  <c r="I101" i="37" s="1"/>
  <c r="F101" i="37"/>
  <c r="E101" i="37"/>
  <c r="N100" i="37"/>
  <c r="O100" i="37" s="1"/>
  <c r="O27" i="37" s="1"/>
  <c r="K100" i="37"/>
  <c r="L100" i="37" s="1"/>
  <c r="L27" i="37" s="1"/>
  <c r="H100" i="37"/>
  <c r="I100" i="37" s="1"/>
  <c r="I27" i="37" s="1"/>
  <c r="F100" i="37"/>
  <c r="F27" i="37" s="1"/>
  <c r="E100" i="37"/>
  <c r="O99" i="37"/>
  <c r="N99" i="37"/>
  <c r="L99" i="37"/>
  <c r="K99" i="37"/>
  <c r="H99" i="37"/>
  <c r="I99" i="37" s="1"/>
  <c r="F99" i="37"/>
  <c r="E99" i="37"/>
  <c r="N98" i="37"/>
  <c r="N118" i="37" s="1"/>
  <c r="L98" i="37"/>
  <c r="K98" i="37"/>
  <c r="H98" i="37"/>
  <c r="H118" i="37" s="1"/>
  <c r="F98" i="37"/>
  <c r="F118" i="37" s="1"/>
  <c r="E98" i="37"/>
  <c r="E118" i="37" s="1"/>
  <c r="M96" i="37"/>
  <c r="J96" i="37"/>
  <c r="G96" i="37"/>
  <c r="D96" i="37"/>
  <c r="B96" i="37"/>
  <c r="M95" i="37"/>
  <c r="G95" i="37"/>
  <c r="B91" i="37"/>
  <c r="O90" i="37"/>
  <c r="N90" i="37"/>
  <c r="K90" i="37"/>
  <c r="L90" i="37" s="1"/>
  <c r="H90" i="37"/>
  <c r="I90" i="37" s="1"/>
  <c r="E90" i="37"/>
  <c r="F90" i="37" s="1"/>
  <c r="N89" i="37"/>
  <c r="O89" i="37" s="1"/>
  <c r="L89" i="37"/>
  <c r="K89" i="37"/>
  <c r="H89" i="37"/>
  <c r="I89" i="37" s="1"/>
  <c r="E89" i="37"/>
  <c r="F89" i="37" s="1"/>
  <c r="N88" i="37"/>
  <c r="O88" i="37" s="1"/>
  <c r="K88" i="37"/>
  <c r="L88" i="37" s="1"/>
  <c r="I88" i="37"/>
  <c r="H88" i="37"/>
  <c r="E88" i="37"/>
  <c r="F88" i="37" s="1"/>
  <c r="N87" i="37"/>
  <c r="O87" i="37" s="1"/>
  <c r="K87" i="37"/>
  <c r="L87" i="37" s="1"/>
  <c r="H87" i="37"/>
  <c r="I87" i="37" s="1"/>
  <c r="E87" i="37"/>
  <c r="F87" i="37" s="1"/>
  <c r="O86" i="37"/>
  <c r="N86" i="37"/>
  <c r="L86" i="37"/>
  <c r="K86" i="37"/>
  <c r="H86" i="37"/>
  <c r="I86" i="37" s="1"/>
  <c r="E86" i="37"/>
  <c r="F86" i="37" s="1"/>
  <c r="O85" i="37"/>
  <c r="N85" i="37"/>
  <c r="K85" i="37"/>
  <c r="L85" i="37" s="1"/>
  <c r="H85" i="37"/>
  <c r="I85" i="37" s="1"/>
  <c r="E85" i="37"/>
  <c r="F85" i="37" s="1"/>
  <c r="N84" i="37"/>
  <c r="O84" i="37" s="1"/>
  <c r="L84" i="37"/>
  <c r="K84" i="37"/>
  <c r="I84" i="37"/>
  <c r="H84" i="37"/>
  <c r="E84" i="37"/>
  <c r="F84" i="37" s="1"/>
  <c r="O83" i="37"/>
  <c r="N83" i="37"/>
  <c r="K83" i="37"/>
  <c r="L83" i="37" s="1"/>
  <c r="H83" i="37"/>
  <c r="I83" i="37" s="1"/>
  <c r="E83" i="37"/>
  <c r="F83" i="37" s="1"/>
  <c r="N82" i="37"/>
  <c r="O82" i="37" s="1"/>
  <c r="L82" i="37"/>
  <c r="K82" i="37"/>
  <c r="H82" i="37"/>
  <c r="I82" i="37" s="1"/>
  <c r="E82" i="37"/>
  <c r="F82" i="37" s="1"/>
  <c r="N81" i="37"/>
  <c r="O81" i="37" s="1"/>
  <c r="K81" i="37"/>
  <c r="L81" i="37" s="1"/>
  <c r="H81" i="37"/>
  <c r="I81" i="37" s="1"/>
  <c r="E81" i="37"/>
  <c r="F81" i="37" s="1"/>
  <c r="O80" i="37"/>
  <c r="N80" i="37"/>
  <c r="L80" i="37"/>
  <c r="K80" i="37"/>
  <c r="I80" i="37"/>
  <c r="H80" i="37"/>
  <c r="E80" i="37"/>
  <c r="F80" i="37" s="1"/>
  <c r="N79" i="37"/>
  <c r="O79" i="37" s="1"/>
  <c r="L79" i="37"/>
  <c r="K79" i="37"/>
  <c r="H79" i="37"/>
  <c r="I79" i="37" s="1"/>
  <c r="E79" i="37"/>
  <c r="F79" i="37" s="1"/>
  <c r="N78" i="37"/>
  <c r="O78" i="37" s="1"/>
  <c r="O20" i="37" s="1"/>
  <c r="K78" i="37"/>
  <c r="L78" i="37" s="1"/>
  <c r="L20" i="37" s="1"/>
  <c r="H78" i="37"/>
  <c r="I78" i="37" s="1"/>
  <c r="I20" i="37" s="1"/>
  <c r="E78" i="37"/>
  <c r="F78" i="37" s="1"/>
  <c r="F20" i="37" s="1"/>
  <c r="O77" i="37"/>
  <c r="O29" i="37" s="1"/>
  <c r="N77" i="37"/>
  <c r="L77" i="37"/>
  <c r="L29" i="37" s="1"/>
  <c r="K77" i="37"/>
  <c r="H77" i="37"/>
  <c r="I77" i="37" s="1"/>
  <c r="I29" i="37" s="1"/>
  <c r="E77" i="37"/>
  <c r="F77" i="37" s="1"/>
  <c r="F29" i="37" s="1"/>
  <c r="O76" i="37"/>
  <c r="N76" i="37"/>
  <c r="K76" i="37"/>
  <c r="L76" i="37" s="1"/>
  <c r="L24" i="37" s="1"/>
  <c r="I76" i="37"/>
  <c r="H76" i="37"/>
  <c r="E76" i="37"/>
  <c r="F76" i="37" s="1"/>
  <c r="F24" i="37" s="1"/>
  <c r="O75" i="37"/>
  <c r="O23" i="37" s="1"/>
  <c r="N75" i="37"/>
  <c r="L75" i="37"/>
  <c r="K75" i="37"/>
  <c r="H75" i="37"/>
  <c r="I75" i="37" s="1"/>
  <c r="I23" i="37" s="1"/>
  <c r="E75" i="37"/>
  <c r="F75" i="37" s="1"/>
  <c r="F23" i="37" s="1"/>
  <c r="O74" i="37"/>
  <c r="N74" i="37"/>
  <c r="K74" i="37"/>
  <c r="K22" i="37" s="1"/>
  <c r="H74" i="37"/>
  <c r="I74" i="37" s="1"/>
  <c r="I22" i="37" s="1"/>
  <c r="E74" i="37"/>
  <c r="F74" i="37" s="1"/>
  <c r="F22" i="37" s="1"/>
  <c r="N73" i="37"/>
  <c r="O73" i="37" s="1"/>
  <c r="L73" i="37"/>
  <c r="K73" i="37"/>
  <c r="I73" i="37"/>
  <c r="H73" i="37"/>
  <c r="E73" i="37"/>
  <c r="F73" i="37" s="1"/>
  <c r="O72" i="37"/>
  <c r="N72" i="37"/>
  <c r="L72" i="37"/>
  <c r="K72" i="37"/>
  <c r="I72" i="37"/>
  <c r="H72" i="37"/>
  <c r="E72" i="37"/>
  <c r="F72" i="37" s="1"/>
  <c r="N71" i="37"/>
  <c r="K71" i="37"/>
  <c r="K91" i="37" s="1"/>
  <c r="H71" i="37"/>
  <c r="H91" i="37" s="1"/>
  <c r="E71" i="37"/>
  <c r="E91" i="37" s="1"/>
  <c r="M69" i="37"/>
  <c r="J69" i="37"/>
  <c r="G69" i="37"/>
  <c r="D69" i="37"/>
  <c r="B69" i="37"/>
  <c r="M68" i="37"/>
  <c r="G68" i="37"/>
  <c r="B64" i="37"/>
  <c r="N63" i="37"/>
  <c r="O63" i="37" s="1"/>
  <c r="L63" i="37"/>
  <c r="K63" i="37"/>
  <c r="H63" i="37"/>
  <c r="I63" i="37" s="1"/>
  <c r="E63" i="37"/>
  <c r="F63" i="37" s="1"/>
  <c r="O62" i="37"/>
  <c r="N62" i="37"/>
  <c r="K62" i="37"/>
  <c r="L62" i="37" s="1"/>
  <c r="H62" i="37"/>
  <c r="I62" i="37" s="1"/>
  <c r="E62" i="37"/>
  <c r="F62" i="37" s="1"/>
  <c r="N61" i="37"/>
  <c r="O61" i="37" s="1"/>
  <c r="L61" i="37"/>
  <c r="K61" i="37"/>
  <c r="I61" i="37"/>
  <c r="H61" i="37"/>
  <c r="E61" i="37"/>
  <c r="F61" i="37" s="1"/>
  <c r="O60" i="37"/>
  <c r="N60" i="37"/>
  <c r="L60" i="37"/>
  <c r="K60" i="37"/>
  <c r="H60" i="37"/>
  <c r="I60" i="37" s="1"/>
  <c r="E60" i="37"/>
  <c r="F60" i="37" s="1"/>
  <c r="N59" i="37"/>
  <c r="O59" i="37" s="1"/>
  <c r="L59" i="37"/>
  <c r="K59" i="37"/>
  <c r="H59" i="37"/>
  <c r="I59" i="37" s="1"/>
  <c r="E59" i="37"/>
  <c r="F59" i="37" s="1"/>
  <c r="O58" i="37"/>
  <c r="N58" i="37"/>
  <c r="L58" i="37"/>
  <c r="K58" i="37"/>
  <c r="I58" i="37"/>
  <c r="H58" i="37"/>
  <c r="E58" i="37"/>
  <c r="F58" i="37" s="1"/>
  <c r="N57" i="37"/>
  <c r="O57" i="37" s="1"/>
  <c r="K57" i="37"/>
  <c r="L57" i="37" s="1"/>
  <c r="I57" i="37"/>
  <c r="H57" i="37"/>
  <c r="E57" i="37"/>
  <c r="F57" i="37" s="1"/>
  <c r="N56" i="37"/>
  <c r="O56" i="37" s="1"/>
  <c r="L56" i="37"/>
  <c r="K56" i="37"/>
  <c r="H56" i="37"/>
  <c r="I56" i="37" s="1"/>
  <c r="E56" i="37"/>
  <c r="F56" i="37" s="1"/>
  <c r="N55" i="37"/>
  <c r="O55" i="37" s="1"/>
  <c r="L55" i="37"/>
  <c r="K55" i="37"/>
  <c r="H55" i="37"/>
  <c r="I55" i="37" s="1"/>
  <c r="E55" i="37"/>
  <c r="F55" i="37" s="1"/>
  <c r="N54" i="37"/>
  <c r="O54" i="37" s="1"/>
  <c r="L54" i="37"/>
  <c r="K54" i="37"/>
  <c r="I54" i="37"/>
  <c r="H54" i="37"/>
  <c r="E54" i="37"/>
  <c r="F54" i="37" s="1"/>
  <c r="O53" i="37"/>
  <c r="N53" i="37"/>
  <c r="L53" i="37"/>
  <c r="K53" i="37"/>
  <c r="I53" i="37"/>
  <c r="H53" i="37"/>
  <c r="E53" i="37"/>
  <c r="F53" i="37" s="1"/>
  <c r="N52" i="37"/>
  <c r="O52" i="37" s="1"/>
  <c r="L52" i="37"/>
  <c r="K52" i="37"/>
  <c r="H52" i="37"/>
  <c r="I52" i="37" s="1"/>
  <c r="E52" i="37"/>
  <c r="F52" i="37" s="1"/>
  <c r="N51" i="37"/>
  <c r="O51" i="37" s="1"/>
  <c r="L51" i="37"/>
  <c r="K51" i="37"/>
  <c r="H51" i="37"/>
  <c r="I51" i="37" s="1"/>
  <c r="E51" i="37"/>
  <c r="F51" i="37" s="1"/>
  <c r="N50" i="37"/>
  <c r="O50" i="37" s="1"/>
  <c r="L50" i="37"/>
  <c r="K50" i="37"/>
  <c r="I50" i="37"/>
  <c r="H50" i="37"/>
  <c r="E50" i="37"/>
  <c r="F50" i="37" s="1"/>
  <c r="N49" i="37"/>
  <c r="O49" i="37" s="1"/>
  <c r="O17" i="37" s="1"/>
  <c r="K49" i="37"/>
  <c r="L49" i="37" s="1"/>
  <c r="L17" i="37" s="1"/>
  <c r="I49" i="37"/>
  <c r="H49" i="37"/>
  <c r="E49" i="37"/>
  <c r="F49" i="37" s="1"/>
  <c r="F17" i="37" s="1"/>
  <c r="O48" i="37"/>
  <c r="N48" i="37"/>
  <c r="L48" i="37"/>
  <c r="K48" i="37"/>
  <c r="H48" i="37"/>
  <c r="I48" i="37" s="1"/>
  <c r="E48" i="37"/>
  <c r="F48" i="37" s="1"/>
  <c r="N47" i="37"/>
  <c r="O47" i="37" s="1"/>
  <c r="L47" i="37"/>
  <c r="K47" i="37"/>
  <c r="I47" i="37"/>
  <c r="H47" i="37"/>
  <c r="E47" i="37"/>
  <c r="F47" i="37" s="1"/>
  <c r="N46" i="37"/>
  <c r="O46" i="37" s="1"/>
  <c r="K46" i="37"/>
  <c r="L46" i="37" s="1"/>
  <c r="H46" i="37"/>
  <c r="I46" i="37" s="1"/>
  <c r="E46" i="37"/>
  <c r="F46" i="37" s="1"/>
  <c r="N45" i="37"/>
  <c r="O45" i="37" s="1"/>
  <c r="L45" i="37"/>
  <c r="K45" i="37"/>
  <c r="I45" i="37"/>
  <c r="H45" i="37"/>
  <c r="E45" i="37"/>
  <c r="F45" i="37" s="1"/>
  <c r="N44" i="37"/>
  <c r="L44" i="37"/>
  <c r="K44" i="37"/>
  <c r="H44" i="37"/>
  <c r="H64" i="37" s="1"/>
  <c r="E44" i="37"/>
  <c r="E64" i="37" s="1"/>
  <c r="M42" i="37"/>
  <c r="J42" i="37"/>
  <c r="G42" i="37"/>
  <c r="D42" i="37"/>
  <c r="B42" i="37"/>
  <c r="M41" i="37"/>
  <c r="G41" i="37"/>
  <c r="O36" i="37"/>
  <c r="N36" i="37"/>
  <c r="M36" i="37"/>
  <c r="L36" i="37"/>
  <c r="K36" i="37"/>
  <c r="J36" i="37"/>
  <c r="I36" i="37"/>
  <c r="H36" i="37"/>
  <c r="G36" i="37"/>
  <c r="F36" i="37"/>
  <c r="E36" i="37"/>
  <c r="D36" i="37"/>
  <c r="C36" i="37"/>
  <c r="B36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C35" i="37"/>
  <c r="B35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C34" i="37"/>
  <c r="B34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C33" i="37"/>
  <c r="B33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N31" i="37"/>
  <c r="M31" i="37"/>
  <c r="K31" i="37"/>
  <c r="J31" i="37"/>
  <c r="H31" i="37"/>
  <c r="G31" i="37"/>
  <c r="F31" i="37"/>
  <c r="E31" i="37"/>
  <c r="D31" i="37"/>
  <c r="C31" i="37"/>
  <c r="B31" i="37"/>
  <c r="N30" i="37"/>
  <c r="M30" i="37"/>
  <c r="L30" i="37"/>
  <c r="K30" i="37"/>
  <c r="J30" i="37"/>
  <c r="H30" i="37"/>
  <c r="G30" i="37"/>
  <c r="E30" i="37"/>
  <c r="D30" i="37"/>
  <c r="C30" i="37"/>
  <c r="B30" i="37"/>
  <c r="N29" i="37"/>
  <c r="M29" i="37"/>
  <c r="K29" i="37"/>
  <c r="J29" i="37"/>
  <c r="H29" i="37"/>
  <c r="G29" i="37"/>
  <c r="E29" i="37"/>
  <c r="D29" i="37"/>
  <c r="C29" i="37"/>
  <c r="B29" i="37"/>
  <c r="O28" i="37"/>
  <c r="N28" i="37"/>
  <c r="M28" i="37"/>
  <c r="J28" i="37"/>
  <c r="H28" i="37"/>
  <c r="G28" i="37"/>
  <c r="E28" i="37"/>
  <c r="D28" i="37"/>
  <c r="C28" i="37"/>
  <c r="B28" i="37"/>
  <c r="N27" i="37"/>
  <c r="M27" i="37"/>
  <c r="K27" i="37"/>
  <c r="J27" i="37"/>
  <c r="H27" i="37"/>
  <c r="G27" i="37"/>
  <c r="E27" i="37"/>
  <c r="D27" i="37"/>
  <c r="C27" i="37"/>
  <c r="B27" i="37"/>
  <c r="N26" i="37"/>
  <c r="M26" i="37"/>
  <c r="L26" i="37"/>
  <c r="K26" i="37"/>
  <c r="J26" i="37"/>
  <c r="H26" i="37"/>
  <c r="G26" i="37"/>
  <c r="E26" i="37"/>
  <c r="D26" i="37"/>
  <c r="C26" i="37"/>
  <c r="B26" i="37"/>
  <c r="M25" i="37"/>
  <c r="K25" i="37"/>
  <c r="J25" i="37"/>
  <c r="H25" i="37"/>
  <c r="G25" i="37"/>
  <c r="E25" i="37"/>
  <c r="D25" i="37"/>
  <c r="C25" i="37"/>
  <c r="B25" i="37"/>
  <c r="O24" i="37"/>
  <c r="N24" i="37"/>
  <c r="M24" i="37"/>
  <c r="J24" i="37"/>
  <c r="I24" i="37"/>
  <c r="H24" i="37"/>
  <c r="G24" i="37"/>
  <c r="E24" i="37"/>
  <c r="D24" i="37"/>
  <c r="C24" i="37"/>
  <c r="B24" i="37"/>
  <c r="N23" i="37"/>
  <c r="M23" i="37"/>
  <c r="L23" i="37"/>
  <c r="K23" i="37"/>
  <c r="J23" i="37"/>
  <c r="H23" i="37"/>
  <c r="G23" i="37"/>
  <c r="E23" i="37"/>
  <c r="D23" i="37"/>
  <c r="C23" i="37"/>
  <c r="B23" i="37"/>
  <c r="O22" i="37"/>
  <c r="N22" i="37"/>
  <c r="M22" i="37"/>
  <c r="J22" i="37"/>
  <c r="H22" i="37"/>
  <c r="G22" i="37"/>
  <c r="E22" i="37"/>
  <c r="D22" i="37"/>
  <c r="C22" i="37"/>
  <c r="B22" i="37"/>
  <c r="N21" i="37"/>
  <c r="M21" i="37"/>
  <c r="K21" i="37"/>
  <c r="J21" i="37"/>
  <c r="H21" i="37"/>
  <c r="G21" i="37"/>
  <c r="F21" i="37"/>
  <c r="E21" i="37"/>
  <c r="D21" i="37"/>
  <c r="C21" i="37"/>
  <c r="B21" i="37"/>
  <c r="N20" i="37"/>
  <c r="M20" i="37"/>
  <c r="K20" i="37"/>
  <c r="J20" i="37"/>
  <c r="H20" i="37"/>
  <c r="G20" i="37"/>
  <c r="E20" i="37"/>
  <c r="D20" i="37"/>
  <c r="C20" i="37"/>
  <c r="B20" i="37"/>
  <c r="O19" i="37"/>
  <c r="N19" i="37"/>
  <c r="M19" i="37"/>
  <c r="K19" i="37"/>
  <c r="J19" i="37"/>
  <c r="H19" i="37"/>
  <c r="G19" i="37"/>
  <c r="F19" i="37"/>
  <c r="E19" i="37"/>
  <c r="D19" i="37"/>
  <c r="C19" i="37"/>
  <c r="B19" i="37"/>
  <c r="O18" i="37"/>
  <c r="N18" i="37"/>
  <c r="M18" i="37"/>
  <c r="K18" i="37"/>
  <c r="J18" i="37"/>
  <c r="H18" i="37"/>
  <c r="G18" i="37"/>
  <c r="F18" i="37"/>
  <c r="E18" i="37"/>
  <c r="D18" i="37"/>
  <c r="C18" i="37"/>
  <c r="B18" i="37"/>
  <c r="N17" i="37"/>
  <c r="M17" i="37"/>
  <c r="K17" i="37"/>
  <c r="J17" i="37"/>
  <c r="I17" i="37"/>
  <c r="H17" i="37"/>
  <c r="G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O198" i="36" s="1"/>
  <c r="L198" i="36"/>
  <c r="K198" i="36"/>
  <c r="H198" i="36"/>
  <c r="I198" i="36" s="1"/>
  <c r="F198" i="36"/>
  <c r="E198" i="36"/>
  <c r="N197" i="36"/>
  <c r="O197" i="36" s="1"/>
  <c r="K197" i="36"/>
  <c r="L197" i="36" s="1"/>
  <c r="H197" i="36"/>
  <c r="I197" i="36" s="1"/>
  <c r="F197" i="36"/>
  <c r="E197" i="36"/>
  <c r="N196" i="36"/>
  <c r="O196" i="36" s="1"/>
  <c r="K196" i="36"/>
  <c r="L196" i="36" s="1"/>
  <c r="H196" i="36"/>
  <c r="I196" i="36" s="1"/>
  <c r="F196" i="36"/>
  <c r="E196" i="36"/>
  <c r="N195" i="36"/>
  <c r="O195" i="36" s="1"/>
  <c r="K195" i="36"/>
  <c r="L195" i="36" s="1"/>
  <c r="H195" i="36"/>
  <c r="I195" i="36" s="1"/>
  <c r="F195" i="36"/>
  <c r="E195" i="36"/>
  <c r="N194" i="36"/>
  <c r="O194" i="36" s="1"/>
  <c r="L194" i="36"/>
  <c r="K194" i="36"/>
  <c r="H194" i="36"/>
  <c r="I194" i="36" s="1"/>
  <c r="F194" i="36"/>
  <c r="E194" i="36"/>
  <c r="N193" i="36"/>
  <c r="O193" i="36" s="1"/>
  <c r="K193" i="36"/>
  <c r="L193" i="36" s="1"/>
  <c r="H193" i="36"/>
  <c r="I193" i="36" s="1"/>
  <c r="F193" i="36"/>
  <c r="E193" i="36"/>
  <c r="O192" i="36"/>
  <c r="N192" i="36"/>
  <c r="K192" i="36"/>
  <c r="L192" i="36" s="1"/>
  <c r="H192" i="36"/>
  <c r="I192" i="36" s="1"/>
  <c r="F192" i="36"/>
  <c r="E192" i="36"/>
  <c r="N191" i="36"/>
  <c r="O191" i="36" s="1"/>
  <c r="K191" i="36"/>
  <c r="L191" i="36" s="1"/>
  <c r="H191" i="36"/>
  <c r="I191" i="36" s="1"/>
  <c r="F191" i="36"/>
  <c r="E191" i="36"/>
  <c r="O190" i="36"/>
  <c r="N190" i="36"/>
  <c r="L190" i="36"/>
  <c r="K190" i="36"/>
  <c r="H190" i="36"/>
  <c r="I190" i="36" s="1"/>
  <c r="F190" i="36"/>
  <c r="E190" i="36"/>
  <c r="N189" i="36"/>
  <c r="O189" i="36" s="1"/>
  <c r="K189" i="36"/>
  <c r="L189" i="36" s="1"/>
  <c r="H189" i="36"/>
  <c r="I189" i="36" s="1"/>
  <c r="F189" i="36"/>
  <c r="E189" i="36"/>
  <c r="N188" i="36"/>
  <c r="O188" i="36" s="1"/>
  <c r="K188" i="36"/>
  <c r="L188" i="36" s="1"/>
  <c r="H188" i="36"/>
  <c r="I188" i="36" s="1"/>
  <c r="F188" i="36"/>
  <c r="E188" i="36"/>
  <c r="N187" i="36"/>
  <c r="O187" i="36" s="1"/>
  <c r="K187" i="36"/>
  <c r="L187" i="36" s="1"/>
  <c r="H187" i="36"/>
  <c r="I187" i="36" s="1"/>
  <c r="F187" i="36"/>
  <c r="E187" i="36"/>
  <c r="N186" i="36"/>
  <c r="O186" i="36" s="1"/>
  <c r="L186" i="36"/>
  <c r="K186" i="36"/>
  <c r="H186" i="36"/>
  <c r="I186" i="36" s="1"/>
  <c r="F186" i="36"/>
  <c r="E186" i="36"/>
  <c r="O185" i="36"/>
  <c r="N185" i="36"/>
  <c r="K185" i="36"/>
  <c r="L185" i="36" s="1"/>
  <c r="H185" i="36"/>
  <c r="I185" i="36" s="1"/>
  <c r="F185" i="36"/>
  <c r="E185" i="36"/>
  <c r="N184" i="36"/>
  <c r="O184" i="36" s="1"/>
  <c r="K184" i="36"/>
  <c r="L184" i="36" s="1"/>
  <c r="H184" i="36"/>
  <c r="I184" i="36" s="1"/>
  <c r="F184" i="36"/>
  <c r="E184" i="36"/>
  <c r="O183" i="36"/>
  <c r="N183" i="36"/>
  <c r="K183" i="36"/>
  <c r="L183" i="36" s="1"/>
  <c r="H183" i="36"/>
  <c r="I183" i="36" s="1"/>
  <c r="F183" i="36"/>
  <c r="E183" i="36"/>
  <c r="N182" i="36"/>
  <c r="O182" i="36" s="1"/>
  <c r="L182" i="36"/>
  <c r="K182" i="36"/>
  <c r="H182" i="36"/>
  <c r="I182" i="36" s="1"/>
  <c r="F182" i="36"/>
  <c r="E182" i="36"/>
  <c r="N181" i="36"/>
  <c r="O181" i="36" s="1"/>
  <c r="K181" i="36"/>
  <c r="L181" i="36" s="1"/>
  <c r="H181" i="36"/>
  <c r="I181" i="36" s="1"/>
  <c r="F181" i="36"/>
  <c r="E181" i="36"/>
  <c r="N180" i="36"/>
  <c r="O180" i="36" s="1"/>
  <c r="K180" i="36"/>
  <c r="L180" i="36" s="1"/>
  <c r="H180" i="36"/>
  <c r="I180" i="36" s="1"/>
  <c r="F180" i="36"/>
  <c r="E180" i="36"/>
  <c r="N179" i="36"/>
  <c r="K179" i="36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N171" i="36"/>
  <c r="O171" i="36" s="1"/>
  <c r="L171" i="36"/>
  <c r="K171" i="36"/>
  <c r="I171" i="36"/>
  <c r="H171" i="36"/>
  <c r="F171" i="36"/>
  <c r="E171" i="36"/>
  <c r="N170" i="36"/>
  <c r="O170" i="36" s="1"/>
  <c r="L170" i="36"/>
  <c r="K170" i="36"/>
  <c r="I170" i="36"/>
  <c r="H170" i="36"/>
  <c r="F170" i="36"/>
  <c r="E170" i="36"/>
  <c r="N169" i="36"/>
  <c r="O169" i="36" s="1"/>
  <c r="L169" i="36"/>
  <c r="K169" i="36"/>
  <c r="I169" i="36"/>
  <c r="H169" i="36"/>
  <c r="F169" i="36"/>
  <c r="E169" i="36"/>
  <c r="N168" i="36"/>
  <c r="O168" i="36" s="1"/>
  <c r="L168" i="36"/>
  <c r="K168" i="36"/>
  <c r="I168" i="36"/>
  <c r="H168" i="36"/>
  <c r="F168" i="36"/>
  <c r="E168" i="36"/>
  <c r="N167" i="36"/>
  <c r="O167" i="36" s="1"/>
  <c r="L167" i="36"/>
  <c r="K167" i="36"/>
  <c r="I167" i="36"/>
  <c r="H167" i="36"/>
  <c r="F167" i="36"/>
  <c r="E167" i="36"/>
  <c r="N166" i="36"/>
  <c r="O166" i="36" s="1"/>
  <c r="L166" i="36"/>
  <c r="K166" i="36"/>
  <c r="I166" i="36"/>
  <c r="H166" i="36"/>
  <c r="F166" i="36"/>
  <c r="E166" i="36"/>
  <c r="N165" i="36"/>
  <c r="O165" i="36" s="1"/>
  <c r="L165" i="36"/>
  <c r="K165" i="36"/>
  <c r="I165" i="36"/>
  <c r="H165" i="36"/>
  <c r="F165" i="36"/>
  <c r="E165" i="36"/>
  <c r="N164" i="36"/>
  <c r="O164" i="36" s="1"/>
  <c r="L164" i="36"/>
  <c r="K164" i="36"/>
  <c r="I164" i="36"/>
  <c r="H164" i="36"/>
  <c r="F164" i="36"/>
  <c r="E164" i="36"/>
  <c r="N163" i="36"/>
  <c r="O163" i="36" s="1"/>
  <c r="L163" i="36"/>
  <c r="K163" i="36"/>
  <c r="I163" i="36"/>
  <c r="H163" i="36"/>
  <c r="F163" i="36"/>
  <c r="E163" i="36"/>
  <c r="N162" i="36"/>
  <c r="O162" i="36" s="1"/>
  <c r="L162" i="36"/>
  <c r="K162" i="36"/>
  <c r="I162" i="36"/>
  <c r="H162" i="36"/>
  <c r="F162" i="36"/>
  <c r="E162" i="36"/>
  <c r="N161" i="36"/>
  <c r="O161" i="36" s="1"/>
  <c r="L161" i="36"/>
  <c r="K161" i="36"/>
  <c r="I161" i="36"/>
  <c r="H161" i="36"/>
  <c r="F161" i="36"/>
  <c r="E161" i="36"/>
  <c r="N160" i="36"/>
  <c r="O160" i="36" s="1"/>
  <c r="O21" i="36" s="1"/>
  <c r="L160" i="36"/>
  <c r="K160" i="36"/>
  <c r="I160" i="36"/>
  <c r="H160" i="36"/>
  <c r="F160" i="36"/>
  <c r="E160" i="36"/>
  <c r="N159" i="36"/>
  <c r="O159" i="36" s="1"/>
  <c r="L159" i="36"/>
  <c r="K159" i="36"/>
  <c r="I159" i="36"/>
  <c r="H159" i="36"/>
  <c r="F159" i="36"/>
  <c r="E159" i="36"/>
  <c r="N158" i="36"/>
  <c r="O158" i="36" s="1"/>
  <c r="L158" i="36"/>
  <c r="K158" i="36"/>
  <c r="I158" i="36"/>
  <c r="H158" i="36"/>
  <c r="F158" i="36"/>
  <c r="E158" i="36"/>
  <c r="N157" i="36"/>
  <c r="O157" i="36" s="1"/>
  <c r="L157" i="36"/>
  <c r="K157" i="36"/>
  <c r="I157" i="36"/>
  <c r="H157" i="36"/>
  <c r="F157" i="36"/>
  <c r="E157" i="36"/>
  <c r="N156" i="36"/>
  <c r="O156" i="36" s="1"/>
  <c r="L156" i="36"/>
  <c r="K156" i="36"/>
  <c r="I156" i="36"/>
  <c r="H156" i="36"/>
  <c r="F156" i="36"/>
  <c r="E156" i="36"/>
  <c r="N155" i="36"/>
  <c r="O155" i="36" s="1"/>
  <c r="L155" i="36"/>
  <c r="K155" i="36"/>
  <c r="I155" i="36"/>
  <c r="H155" i="36"/>
  <c r="F155" i="36"/>
  <c r="E155" i="36"/>
  <c r="N154" i="36"/>
  <c r="O154" i="36" s="1"/>
  <c r="L154" i="36"/>
  <c r="K154" i="36"/>
  <c r="I154" i="36"/>
  <c r="H154" i="36"/>
  <c r="F154" i="36"/>
  <c r="E154" i="36"/>
  <c r="N153" i="36"/>
  <c r="O153" i="36" s="1"/>
  <c r="L153" i="36"/>
  <c r="K153" i="36"/>
  <c r="I153" i="36"/>
  <c r="H153" i="36"/>
  <c r="F153" i="36"/>
  <c r="E153" i="36"/>
  <c r="N152" i="36"/>
  <c r="N172" i="36" s="1"/>
  <c r="L152" i="36"/>
  <c r="L172" i="36" s="1"/>
  <c r="K152" i="36"/>
  <c r="K172" i="36" s="1"/>
  <c r="I152" i="36"/>
  <c r="I172" i="36" s="1"/>
  <c r="H152" i="36"/>
  <c r="H172" i="36" s="1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O144" i="36"/>
  <c r="N144" i="36"/>
  <c r="K144" i="36"/>
  <c r="L144" i="36" s="1"/>
  <c r="H144" i="36"/>
  <c r="I144" i="36" s="1"/>
  <c r="F144" i="36"/>
  <c r="E144" i="36"/>
  <c r="N143" i="36"/>
  <c r="O143" i="36" s="1"/>
  <c r="L143" i="36"/>
  <c r="K143" i="36"/>
  <c r="H143" i="36"/>
  <c r="I143" i="36" s="1"/>
  <c r="F143" i="36"/>
  <c r="E143" i="36"/>
  <c r="N142" i="36"/>
  <c r="O142" i="36" s="1"/>
  <c r="K142" i="36"/>
  <c r="L142" i="36" s="1"/>
  <c r="H142" i="36"/>
  <c r="I142" i="36" s="1"/>
  <c r="F142" i="36"/>
  <c r="E142" i="36"/>
  <c r="N141" i="36"/>
  <c r="O141" i="36" s="1"/>
  <c r="L141" i="36"/>
  <c r="K141" i="36"/>
  <c r="H141" i="36"/>
  <c r="I141" i="36" s="1"/>
  <c r="F141" i="36"/>
  <c r="E141" i="36"/>
  <c r="N140" i="36"/>
  <c r="O140" i="36" s="1"/>
  <c r="K140" i="36"/>
  <c r="L140" i="36" s="1"/>
  <c r="H140" i="36"/>
  <c r="I140" i="36" s="1"/>
  <c r="F140" i="36"/>
  <c r="E140" i="36"/>
  <c r="O139" i="36"/>
  <c r="N139" i="36"/>
  <c r="L139" i="36"/>
  <c r="K139" i="36"/>
  <c r="H139" i="36"/>
  <c r="I139" i="36" s="1"/>
  <c r="F139" i="36"/>
  <c r="E139" i="36"/>
  <c r="N138" i="36"/>
  <c r="O138" i="36" s="1"/>
  <c r="K138" i="36"/>
  <c r="L138" i="36" s="1"/>
  <c r="H138" i="36"/>
  <c r="I138" i="36" s="1"/>
  <c r="F138" i="36"/>
  <c r="E138" i="36"/>
  <c r="N137" i="36"/>
  <c r="O137" i="36" s="1"/>
  <c r="L137" i="36"/>
  <c r="K137" i="36"/>
  <c r="H137" i="36"/>
  <c r="I137" i="36" s="1"/>
  <c r="F137" i="36"/>
  <c r="E137" i="36"/>
  <c r="O136" i="36"/>
  <c r="N136" i="36"/>
  <c r="K136" i="36"/>
  <c r="L136" i="36" s="1"/>
  <c r="H136" i="36"/>
  <c r="I136" i="36" s="1"/>
  <c r="F136" i="36"/>
  <c r="E136" i="36"/>
  <c r="N135" i="36"/>
  <c r="O135" i="36" s="1"/>
  <c r="L135" i="36"/>
  <c r="K135" i="36"/>
  <c r="H135" i="36"/>
  <c r="I135" i="36" s="1"/>
  <c r="F135" i="36"/>
  <c r="E135" i="36"/>
  <c r="N134" i="36"/>
  <c r="O134" i="36" s="1"/>
  <c r="K134" i="36"/>
  <c r="L134" i="36" s="1"/>
  <c r="H134" i="36"/>
  <c r="I134" i="36" s="1"/>
  <c r="F134" i="36"/>
  <c r="E134" i="36"/>
  <c r="N133" i="36"/>
  <c r="O133" i="36" s="1"/>
  <c r="K133" i="36"/>
  <c r="L133" i="36" s="1"/>
  <c r="H133" i="36"/>
  <c r="I133" i="36" s="1"/>
  <c r="F133" i="36"/>
  <c r="E133" i="36"/>
  <c r="N132" i="36"/>
  <c r="O132" i="36" s="1"/>
  <c r="K132" i="36"/>
  <c r="L132" i="36" s="1"/>
  <c r="H132" i="36"/>
  <c r="I132" i="36" s="1"/>
  <c r="F132" i="36"/>
  <c r="E132" i="36"/>
  <c r="N131" i="36"/>
  <c r="O131" i="36" s="1"/>
  <c r="L131" i="36"/>
  <c r="K131" i="36"/>
  <c r="H131" i="36"/>
  <c r="I131" i="36" s="1"/>
  <c r="F131" i="36"/>
  <c r="E131" i="36"/>
  <c r="N130" i="36"/>
  <c r="O130" i="36" s="1"/>
  <c r="K130" i="36"/>
  <c r="L130" i="36" s="1"/>
  <c r="H130" i="36"/>
  <c r="I130" i="36" s="1"/>
  <c r="F130" i="36"/>
  <c r="E130" i="36"/>
  <c r="O129" i="36"/>
  <c r="N129" i="36"/>
  <c r="L129" i="36"/>
  <c r="K129" i="36"/>
  <c r="H129" i="36"/>
  <c r="I129" i="36" s="1"/>
  <c r="F129" i="36"/>
  <c r="E129" i="36"/>
  <c r="N128" i="36"/>
  <c r="O128" i="36" s="1"/>
  <c r="K128" i="36"/>
  <c r="L128" i="36" s="1"/>
  <c r="H128" i="36"/>
  <c r="I128" i="36" s="1"/>
  <c r="F128" i="36"/>
  <c r="E128" i="36"/>
  <c r="N127" i="36"/>
  <c r="O127" i="36" s="1"/>
  <c r="L127" i="36"/>
  <c r="K127" i="36"/>
  <c r="H127" i="36"/>
  <c r="I127" i="36" s="1"/>
  <c r="F127" i="36"/>
  <c r="E127" i="36"/>
  <c r="O126" i="36"/>
  <c r="N126" i="36"/>
  <c r="K126" i="36"/>
  <c r="L126" i="36" s="1"/>
  <c r="H126" i="36"/>
  <c r="I126" i="36" s="1"/>
  <c r="F126" i="36"/>
  <c r="E126" i="36"/>
  <c r="N125" i="36"/>
  <c r="N145" i="36" s="1"/>
  <c r="K125" i="36"/>
  <c r="H125" i="36"/>
  <c r="H145" i="36" s="1"/>
  <c r="F125" i="36"/>
  <c r="F145" i="36" s="1"/>
  <c r="E125" i="36"/>
  <c r="E145" i="36" s="1"/>
  <c r="M123" i="36"/>
  <c r="J123" i="36"/>
  <c r="G123" i="36"/>
  <c r="D123" i="36"/>
  <c r="B123" i="36"/>
  <c r="M122" i="36"/>
  <c r="G122" i="36"/>
  <c r="B118" i="36"/>
  <c r="O117" i="36"/>
  <c r="N117" i="36"/>
  <c r="K117" i="36"/>
  <c r="L117" i="36" s="1"/>
  <c r="H117" i="36"/>
  <c r="I117" i="36" s="1"/>
  <c r="F117" i="36"/>
  <c r="E117" i="36"/>
  <c r="N116" i="36"/>
  <c r="O116" i="36" s="1"/>
  <c r="L116" i="36"/>
  <c r="K116" i="36"/>
  <c r="H116" i="36"/>
  <c r="I116" i="36" s="1"/>
  <c r="F116" i="36"/>
  <c r="E116" i="36"/>
  <c r="N115" i="36"/>
  <c r="O115" i="36" s="1"/>
  <c r="K115" i="36"/>
  <c r="L115" i="36" s="1"/>
  <c r="H115" i="36"/>
  <c r="I115" i="36" s="1"/>
  <c r="F115" i="36"/>
  <c r="E115" i="36"/>
  <c r="N114" i="36"/>
  <c r="O114" i="36" s="1"/>
  <c r="K114" i="36"/>
  <c r="L114" i="36" s="1"/>
  <c r="H114" i="36"/>
  <c r="I114" i="36" s="1"/>
  <c r="F114" i="36"/>
  <c r="E114" i="36"/>
  <c r="N113" i="36"/>
  <c r="O113" i="36" s="1"/>
  <c r="K113" i="36"/>
  <c r="L113" i="36" s="1"/>
  <c r="H113" i="36"/>
  <c r="I113" i="36" s="1"/>
  <c r="F113" i="36"/>
  <c r="E113" i="36"/>
  <c r="N112" i="36"/>
  <c r="O112" i="36" s="1"/>
  <c r="L112" i="36"/>
  <c r="K112" i="36"/>
  <c r="H112" i="36"/>
  <c r="I112" i="36" s="1"/>
  <c r="F112" i="36"/>
  <c r="E112" i="36"/>
  <c r="N111" i="36"/>
  <c r="O111" i="36" s="1"/>
  <c r="K111" i="36"/>
  <c r="L111" i="36" s="1"/>
  <c r="H111" i="36"/>
  <c r="I111" i="36" s="1"/>
  <c r="F111" i="36"/>
  <c r="E111" i="36"/>
  <c r="O110" i="36"/>
  <c r="N110" i="36"/>
  <c r="K110" i="36"/>
  <c r="L110" i="36" s="1"/>
  <c r="H110" i="36"/>
  <c r="I110" i="36" s="1"/>
  <c r="F110" i="36"/>
  <c r="E110" i="36"/>
  <c r="N109" i="36"/>
  <c r="O109" i="36" s="1"/>
  <c r="K109" i="36"/>
  <c r="L109" i="36" s="1"/>
  <c r="H109" i="36"/>
  <c r="I109" i="36" s="1"/>
  <c r="F109" i="36"/>
  <c r="E109" i="36"/>
  <c r="O108" i="36"/>
  <c r="N108" i="36"/>
  <c r="L108" i="36"/>
  <c r="K108" i="36"/>
  <c r="H108" i="36"/>
  <c r="I108" i="36" s="1"/>
  <c r="F108" i="36"/>
  <c r="E108" i="36"/>
  <c r="N107" i="36"/>
  <c r="O107" i="36" s="1"/>
  <c r="K107" i="36"/>
  <c r="L107" i="36" s="1"/>
  <c r="H107" i="36"/>
  <c r="I107" i="36" s="1"/>
  <c r="F107" i="36"/>
  <c r="E107" i="36"/>
  <c r="N106" i="36"/>
  <c r="O106" i="36" s="1"/>
  <c r="K106" i="36"/>
  <c r="L106" i="36" s="1"/>
  <c r="H106" i="36"/>
  <c r="I106" i="36" s="1"/>
  <c r="F106" i="36"/>
  <c r="E106" i="36"/>
  <c r="N105" i="36"/>
  <c r="O105" i="36" s="1"/>
  <c r="K105" i="36"/>
  <c r="L105" i="36" s="1"/>
  <c r="H105" i="36"/>
  <c r="I105" i="36" s="1"/>
  <c r="F105" i="36"/>
  <c r="E105" i="36"/>
  <c r="N104" i="36"/>
  <c r="O104" i="36" s="1"/>
  <c r="L104" i="36"/>
  <c r="K104" i="36"/>
  <c r="H104" i="36"/>
  <c r="I104" i="36" s="1"/>
  <c r="F104" i="36"/>
  <c r="E104" i="36"/>
  <c r="O103" i="36"/>
  <c r="N103" i="36"/>
  <c r="K103" i="36"/>
  <c r="L103" i="36" s="1"/>
  <c r="H103" i="36"/>
  <c r="I103" i="36" s="1"/>
  <c r="F103" i="36"/>
  <c r="E103" i="36"/>
  <c r="N102" i="36"/>
  <c r="O102" i="36" s="1"/>
  <c r="K102" i="36"/>
  <c r="L102" i="36" s="1"/>
  <c r="H102" i="36"/>
  <c r="I102" i="36" s="1"/>
  <c r="F102" i="36"/>
  <c r="E102" i="36"/>
  <c r="O101" i="36"/>
  <c r="N101" i="36"/>
  <c r="K101" i="36"/>
  <c r="L101" i="36" s="1"/>
  <c r="H101" i="36"/>
  <c r="I101" i="36" s="1"/>
  <c r="F101" i="36"/>
  <c r="E101" i="36"/>
  <c r="N100" i="36"/>
  <c r="O100" i="36" s="1"/>
  <c r="L100" i="36"/>
  <c r="K100" i="36"/>
  <c r="H100" i="36"/>
  <c r="I100" i="36" s="1"/>
  <c r="F100" i="36"/>
  <c r="E100" i="36"/>
  <c r="N99" i="36"/>
  <c r="O99" i="36" s="1"/>
  <c r="K99" i="36"/>
  <c r="L99" i="36" s="1"/>
  <c r="H99" i="36"/>
  <c r="I99" i="36" s="1"/>
  <c r="F99" i="36"/>
  <c r="E99" i="36"/>
  <c r="N98" i="36"/>
  <c r="N118" i="36" s="1"/>
  <c r="K98" i="36"/>
  <c r="H98" i="36"/>
  <c r="H118" i="36" s="1"/>
  <c r="F98" i="36"/>
  <c r="F118" i="36" s="1"/>
  <c r="E98" i="36"/>
  <c r="E118" i="36" s="1"/>
  <c r="M96" i="36"/>
  <c r="J96" i="36"/>
  <c r="G96" i="36"/>
  <c r="D96" i="36"/>
  <c r="B96" i="36"/>
  <c r="M95" i="36"/>
  <c r="G95" i="36"/>
  <c r="N91" i="36"/>
  <c r="B91" i="36"/>
  <c r="N90" i="36"/>
  <c r="O90" i="36" s="1"/>
  <c r="L90" i="36"/>
  <c r="K90" i="36"/>
  <c r="I90" i="36"/>
  <c r="H90" i="36"/>
  <c r="F90" i="36"/>
  <c r="E90" i="36"/>
  <c r="N89" i="36"/>
  <c r="O89" i="36" s="1"/>
  <c r="L89" i="36"/>
  <c r="K89" i="36"/>
  <c r="I89" i="36"/>
  <c r="H89" i="36"/>
  <c r="F89" i="36"/>
  <c r="E89" i="36"/>
  <c r="N88" i="36"/>
  <c r="O88" i="36" s="1"/>
  <c r="L88" i="36"/>
  <c r="K88" i="36"/>
  <c r="I88" i="36"/>
  <c r="H88" i="36"/>
  <c r="F88" i="36"/>
  <c r="E88" i="36"/>
  <c r="N87" i="36"/>
  <c r="O87" i="36" s="1"/>
  <c r="L87" i="36"/>
  <c r="K87" i="36"/>
  <c r="I87" i="36"/>
  <c r="H87" i="36"/>
  <c r="F87" i="36"/>
  <c r="E87" i="36"/>
  <c r="N86" i="36"/>
  <c r="O86" i="36" s="1"/>
  <c r="L86" i="36"/>
  <c r="K86" i="36"/>
  <c r="I86" i="36"/>
  <c r="H86" i="36"/>
  <c r="F86" i="36"/>
  <c r="E86" i="36"/>
  <c r="N85" i="36"/>
  <c r="O85" i="36" s="1"/>
  <c r="L85" i="36"/>
  <c r="K85" i="36"/>
  <c r="I85" i="36"/>
  <c r="H85" i="36"/>
  <c r="F85" i="36"/>
  <c r="E85" i="36"/>
  <c r="N84" i="36"/>
  <c r="O84" i="36" s="1"/>
  <c r="L84" i="36"/>
  <c r="K84" i="36"/>
  <c r="I84" i="36"/>
  <c r="H84" i="36"/>
  <c r="F84" i="36"/>
  <c r="E84" i="36"/>
  <c r="N83" i="36"/>
  <c r="O83" i="36" s="1"/>
  <c r="O20" i="36" s="1"/>
  <c r="L83" i="36"/>
  <c r="K83" i="36"/>
  <c r="I83" i="36"/>
  <c r="H83" i="36"/>
  <c r="F83" i="36"/>
  <c r="E83" i="36"/>
  <c r="N82" i="36"/>
  <c r="O82" i="36" s="1"/>
  <c r="L82" i="36"/>
  <c r="K82" i="36"/>
  <c r="I82" i="36"/>
  <c r="H82" i="36"/>
  <c r="F82" i="36"/>
  <c r="E82" i="36"/>
  <c r="N81" i="36"/>
  <c r="O81" i="36" s="1"/>
  <c r="L81" i="36"/>
  <c r="K81" i="36"/>
  <c r="I81" i="36"/>
  <c r="H81" i="36"/>
  <c r="F81" i="36"/>
  <c r="E81" i="36"/>
  <c r="N80" i="36"/>
  <c r="O80" i="36" s="1"/>
  <c r="L80" i="36"/>
  <c r="K80" i="36"/>
  <c r="I80" i="36"/>
  <c r="H80" i="36"/>
  <c r="F80" i="36"/>
  <c r="E80" i="36"/>
  <c r="N79" i="36"/>
  <c r="O79" i="36" s="1"/>
  <c r="L79" i="36"/>
  <c r="K79" i="36"/>
  <c r="I79" i="36"/>
  <c r="H79" i="36"/>
  <c r="F79" i="36"/>
  <c r="E79" i="36"/>
  <c r="N78" i="36"/>
  <c r="O78" i="36" s="1"/>
  <c r="L78" i="36"/>
  <c r="K78" i="36"/>
  <c r="I78" i="36"/>
  <c r="H78" i="36"/>
  <c r="F78" i="36"/>
  <c r="E78" i="36"/>
  <c r="N77" i="36"/>
  <c r="O77" i="36" s="1"/>
  <c r="L77" i="36"/>
  <c r="K77" i="36"/>
  <c r="I77" i="36"/>
  <c r="H77" i="36"/>
  <c r="F77" i="36"/>
  <c r="E77" i="36"/>
  <c r="N76" i="36"/>
  <c r="O76" i="36" s="1"/>
  <c r="L76" i="36"/>
  <c r="K76" i="36"/>
  <c r="I76" i="36"/>
  <c r="H76" i="36"/>
  <c r="F76" i="36"/>
  <c r="E76" i="36"/>
  <c r="N75" i="36"/>
  <c r="O75" i="36" s="1"/>
  <c r="L75" i="36"/>
  <c r="K75" i="36"/>
  <c r="I75" i="36"/>
  <c r="H75" i="36"/>
  <c r="F75" i="36"/>
  <c r="E75" i="36"/>
  <c r="N74" i="36"/>
  <c r="O74" i="36" s="1"/>
  <c r="L74" i="36"/>
  <c r="K74" i="36"/>
  <c r="I74" i="36"/>
  <c r="H74" i="36"/>
  <c r="F74" i="36"/>
  <c r="E74" i="36"/>
  <c r="N73" i="36"/>
  <c r="O73" i="36" s="1"/>
  <c r="L73" i="36"/>
  <c r="K73" i="36"/>
  <c r="I73" i="36"/>
  <c r="H73" i="36"/>
  <c r="F73" i="36"/>
  <c r="E73" i="36"/>
  <c r="N72" i="36"/>
  <c r="O72" i="36" s="1"/>
  <c r="L72" i="36"/>
  <c r="K72" i="36"/>
  <c r="I72" i="36"/>
  <c r="H72" i="36"/>
  <c r="F72" i="36"/>
  <c r="E72" i="36"/>
  <c r="N71" i="36"/>
  <c r="O71" i="36" s="1"/>
  <c r="O91" i="36" s="1"/>
  <c r="L71" i="36"/>
  <c r="L91" i="36" s="1"/>
  <c r="K71" i="36"/>
  <c r="K91" i="36" s="1"/>
  <c r="I71" i="36"/>
  <c r="I91" i="36" s="1"/>
  <c r="H71" i="36"/>
  <c r="H91" i="36" s="1"/>
  <c r="F71" i="36"/>
  <c r="F91" i="36" s="1"/>
  <c r="E71" i="36"/>
  <c r="E91" i="36" s="1"/>
  <c r="M69" i="36"/>
  <c r="J69" i="36"/>
  <c r="G69" i="36"/>
  <c r="D69" i="36"/>
  <c r="B69" i="36"/>
  <c r="M68" i="36"/>
  <c r="G68" i="36"/>
  <c r="B64" i="36"/>
  <c r="N63" i="36"/>
  <c r="O63" i="36" s="1"/>
  <c r="L63" i="36"/>
  <c r="K63" i="36"/>
  <c r="I63" i="36"/>
  <c r="H63" i="36"/>
  <c r="F63" i="36"/>
  <c r="E63" i="36"/>
  <c r="N62" i="36"/>
  <c r="O62" i="36" s="1"/>
  <c r="L62" i="36"/>
  <c r="K62" i="36"/>
  <c r="I62" i="36"/>
  <c r="H62" i="36"/>
  <c r="F62" i="36"/>
  <c r="E62" i="36"/>
  <c r="N61" i="36"/>
  <c r="O61" i="36" s="1"/>
  <c r="O19" i="36" s="1"/>
  <c r="L61" i="36"/>
  <c r="K61" i="36"/>
  <c r="I61" i="36"/>
  <c r="H61" i="36"/>
  <c r="F61" i="36"/>
  <c r="E61" i="36"/>
  <c r="N60" i="36"/>
  <c r="O60" i="36" s="1"/>
  <c r="L60" i="36"/>
  <c r="K60" i="36"/>
  <c r="I60" i="36"/>
  <c r="H60" i="36"/>
  <c r="F60" i="36"/>
  <c r="E60" i="36"/>
  <c r="N59" i="36"/>
  <c r="O59" i="36" s="1"/>
  <c r="L59" i="36"/>
  <c r="K59" i="36"/>
  <c r="I59" i="36"/>
  <c r="H59" i="36"/>
  <c r="F59" i="36"/>
  <c r="E59" i="36"/>
  <c r="N58" i="36"/>
  <c r="O58" i="36" s="1"/>
  <c r="L58" i="36"/>
  <c r="K58" i="36"/>
  <c r="I58" i="36"/>
  <c r="H58" i="36"/>
  <c r="F58" i="36"/>
  <c r="E58" i="36"/>
  <c r="N57" i="36"/>
  <c r="O57" i="36" s="1"/>
  <c r="O18" i="36" s="1"/>
  <c r="K57" i="36"/>
  <c r="L57" i="36" s="1"/>
  <c r="L18" i="36" s="1"/>
  <c r="I57" i="36"/>
  <c r="H57" i="36"/>
  <c r="F57" i="36"/>
  <c r="E57" i="36"/>
  <c r="N56" i="36"/>
  <c r="O56" i="36" s="1"/>
  <c r="L56" i="36"/>
  <c r="K56" i="36"/>
  <c r="I56" i="36"/>
  <c r="H56" i="36"/>
  <c r="F56" i="36"/>
  <c r="E56" i="36"/>
  <c r="N55" i="36"/>
  <c r="O55" i="36" s="1"/>
  <c r="L55" i="36"/>
  <c r="K55" i="36"/>
  <c r="I55" i="36"/>
  <c r="H55" i="36"/>
  <c r="F55" i="36"/>
  <c r="E55" i="36"/>
  <c r="N54" i="36"/>
  <c r="O54" i="36" s="1"/>
  <c r="O17" i="36" s="1"/>
  <c r="L54" i="36"/>
  <c r="K54" i="36"/>
  <c r="I54" i="36"/>
  <c r="H54" i="36"/>
  <c r="F54" i="36"/>
  <c r="E54" i="36"/>
  <c r="N53" i="36"/>
  <c r="O53" i="36" s="1"/>
  <c r="L53" i="36"/>
  <c r="K53" i="36"/>
  <c r="I53" i="36"/>
  <c r="H53" i="36"/>
  <c r="F53" i="36"/>
  <c r="E53" i="36"/>
  <c r="N52" i="36"/>
  <c r="O52" i="36" s="1"/>
  <c r="L52" i="36"/>
  <c r="K52" i="36"/>
  <c r="I52" i="36"/>
  <c r="H52" i="36"/>
  <c r="F52" i="36"/>
  <c r="E52" i="36"/>
  <c r="N51" i="36"/>
  <c r="O51" i="36" s="1"/>
  <c r="L51" i="36"/>
  <c r="K51" i="36"/>
  <c r="I51" i="36"/>
  <c r="H51" i="36"/>
  <c r="F51" i="36"/>
  <c r="E51" i="36"/>
  <c r="N50" i="36"/>
  <c r="O50" i="36" s="1"/>
  <c r="L50" i="36"/>
  <c r="K50" i="36"/>
  <c r="I50" i="36"/>
  <c r="H50" i="36"/>
  <c r="F50" i="36"/>
  <c r="E50" i="36"/>
  <c r="N49" i="36"/>
  <c r="O49" i="36" s="1"/>
  <c r="L49" i="36"/>
  <c r="K49" i="36"/>
  <c r="I49" i="36"/>
  <c r="H49" i="36"/>
  <c r="F49" i="36"/>
  <c r="E49" i="36"/>
  <c r="N48" i="36"/>
  <c r="O48" i="36" s="1"/>
  <c r="L48" i="36"/>
  <c r="K48" i="36"/>
  <c r="I48" i="36"/>
  <c r="H48" i="36"/>
  <c r="F48" i="36"/>
  <c r="E48" i="36"/>
  <c r="N47" i="36"/>
  <c r="O47" i="36" s="1"/>
  <c r="L47" i="36"/>
  <c r="K47" i="36"/>
  <c r="I47" i="36"/>
  <c r="H47" i="36"/>
  <c r="F47" i="36"/>
  <c r="E47" i="36"/>
  <c r="N46" i="36"/>
  <c r="O46" i="36" s="1"/>
  <c r="L46" i="36"/>
  <c r="K46" i="36"/>
  <c r="I46" i="36"/>
  <c r="H46" i="36"/>
  <c r="F46" i="36"/>
  <c r="E46" i="36"/>
  <c r="N45" i="36"/>
  <c r="O45" i="36" s="1"/>
  <c r="L45" i="36"/>
  <c r="K45" i="36"/>
  <c r="I45" i="36"/>
  <c r="H45" i="36"/>
  <c r="F45" i="36"/>
  <c r="E45" i="36"/>
  <c r="N44" i="36"/>
  <c r="N64" i="36" s="1"/>
  <c r="L44" i="36"/>
  <c r="K44" i="36"/>
  <c r="K64" i="36" s="1"/>
  <c r="I44" i="36"/>
  <c r="I64" i="36" s="1"/>
  <c r="H44" i="36"/>
  <c r="H64" i="36" s="1"/>
  <c r="F44" i="36"/>
  <c r="F64" i="36" s="1"/>
  <c r="E44" i="36"/>
  <c r="E64" i="36" s="1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N21" i="36"/>
  <c r="M21" i="36"/>
  <c r="L21" i="36"/>
  <c r="K21" i="36"/>
  <c r="J21" i="36"/>
  <c r="I21" i="36"/>
  <c r="H21" i="36"/>
  <c r="G21" i="36"/>
  <c r="F21" i="36"/>
  <c r="E21" i="36"/>
  <c r="D21" i="36"/>
  <c r="C21" i="36"/>
  <c r="B21" i="36"/>
  <c r="N20" i="36"/>
  <c r="M20" i="36"/>
  <c r="L20" i="36"/>
  <c r="K20" i="36"/>
  <c r="J20" i="36"/>
  <c r="I20" i="36"/>
  <c r="H20" i="36"/>
  <c r="G20" i="36"/>
  <c r="F20" i="36"/>
  <c r="E20" i="36"/>
  <c r="D20" i="36"/>
  <c r="C20" i="36"/>
  <c r="B20" i="36"/>
  <c r="N19" i="36"/>
  <c r="M19" i="36"/>
  <c r="L19" i="36"/>
  <c r="K19" i="36"/>
  <c r="J19" i="36"/>
  <c r="I19" i="36"/>
  <c r="H19" i="36"/>
  <c r="G19" i="36"/>
  <c r="F19" i="36"/>
  <c r="E19" i="36"/>
  <c r="D19" i="36"/>
  <c r="C19" i="36"/>
  <c r="B19" i="36"/>
  <c r="N18" i="36"/>
  <c r="M18" i="36"/>
  <c r="K18" i="36"/>
  <c r="J18" i="36"/>
  <c r="I18" i="36"/>
  <c r="H18" i="36"/>
  <c r="G18" i="36"/>
  <c r="F18" i="36"/>
  <c r="E18" i="36"/>
  <c r="D18" i="36"/>
  <c r="C18" i="36"/>
  <c r="B18" i="36"/>
  <c r="N17" i="36"/>
  <c r="M17" i="36"/>
  <c r="L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N198" i="35"/>
  <c r="O198" i="35" s="1"/>
  <c r="L198" i="35"/>
  <c r="K198" i="35"/>
  <c r="H198" i="35"/>
  <c r="I198" i="35" s="1"/>
  <c r="F198" i="35"/>
  <c r="E198" i="35"/>
  <c r="N197" i="35"/>
  <c r="O197" i="35" s="1"/>
  <c r="K197" i="35"/>
  <c r="L197" i="35" s="1"/>
  <c r="H197" i="35"/>
  <c r="I197" i="35" s="1"/>
  <c r="F197" i="35"/>
  <c r="E197" i="35"/>
  <c r="O196" i="35"/>
  <c r="N196" i="35"/>
  <c r="L196" i="35"/>
  <c r="K196" i="35"/>
  <c r="H196" i="35"/>
  <c r="I196" i="35" s="1"/>
  <c r="F196" i="35"/>
  <c r="E196" i="35"/>
  <c r="N195" i="35"/>
  <c r="O195" i="35" s="1"/>
  <c r="K195" i="35"/>
  <c r="L195" i="35" s="1"/>
  <c r="H195" i="35"/>
  <c r="I195" i="35" s="1"/>
  <c r="F195" i="35"/>
  <c r="E195" i="35"/>
  <c r="N194" i="35"/>
  <c r="O194" i="35" s="1"/>
  <c r="L194" i="35"/>
  <c r="K194" i="35"/>
  <c r="H194" i="35"/>
  <c r="I194" i="35" s="1"/>
  <c r="F194" i="35"/>
  <c r="E194" i="35"/>
  <c r="O193" i="35"/>
  <c r="N193" i="35"/>
  <c r="K193" i="35"/>
  <c r="L193" i="35" s="1"/>
  <c r="H193" i="35"/>
  <c r="I193" i="35" s="1"/>
  <c r="F193" i="35"/>
  <c r="E193" i="35"/>
  <c r="N192" i="35"/>
  <c r="O192" i="35" s="1"/>
  <c r="L192" i="35"/>
  <c r="K192" i="35"/>
  <c r="H192" i="35"/>
  <c r="I192" i="35" s="1"/>
  <c r="F192" i="35"/>
  <c r="E192" i="35"/>
  <c r="N191" i="35"/>
  <c r="O191" i="35" s="1"/>
  <c r="K191" i="35"/>
  <c r="L191" i="35" s="1"/>
  <c r="H191" i="35"/>
  <c r="I191" i="35" s="1"/>
  <c r="F191" i="35"/>
  <c r="E191" i="35"/>
  <c r="N190" i="35"/>
  <c r="O190" i="35" s="1"/>
  <c r="L190" i="35"/>
  <c r="K190" i="35"/>
  <c r="H190" i="35"/>
  <c r="I190" i="35" s="1"/>
  <c r="F190" i="35"/>
  <c r="E190" i="35"/>
  <c r="N189" i="35"/>
  <c r="O189" i="35" s="1"/>
  <c r="K189" i="35"/>
  <c r="L189" i="35" s="1"/>
  <c r="H189" i="35"/>
  <c r="I189" i="35" s="1"/>
  <c r="F189" i="35"/>
  <c r="E189" i="35"/>
  <c r="O188" i="35"/>
  <c r="N188" i="35"/>
  <c r="L188" i="35"/>
  <c r="K188" i="35"/>
  <c r="H188" i="35"/>
  <c r="I188" i="35" s="1"/>
  <c r="F188" i="35"/>
  <c r="E188" i="35"/>
  <c r="N187" i="35"/>
  <c r="O187" i="35" s="1"/>
  <c r="K187" i="35"/>
  <c r="L187" i="35" s="1"/>
  <c r="H187" i="35"/>
  <c r="I187" i="35" s="1"/>
  <c r="F187" i="35"/>
  <c r="E187" i="35"/>
  <c r="N186" i="35"/>
  <c r="O186" i="35" s="1"/>
  <c r="L186" i="35"/>
  <c r="K186" i="35"/>
  <c r="H186" i="35"/>
  <c r="I186" i="35" s="1"/>
  <c r="F186" i="35"/>
  <c r="E186" i="35"/>
  <c r="O185" i="35"/>
  <c r="N185" i="35"/>
  <c r="K185" i="35"/>
  <c r="L185" i="35" s="1"/>
  <c r="H185" i="35"/>
  <c r="I185" i="35" s="1"/>
  <c r="F185" i="35"/>
  <c r="E185" i="35"/>
  <c r="N184" i="35"/>
  <c r="O184" i="35" s="1"/>
  <c r="L184" i="35"/>
  <c r="K184" i="35"/>
  <c r="H184" i="35"/>
  <c r="I184" i="35" s="1"/>
  <c r="F184" i="35"/>
  <c r="E184" i="35"/>
  <c r="N183" i="35"/>
  <c r="O183" i="35" s="1"/>
  <c r="K183" i="35"/>
  <c r="L183" i="35" s="1"/>
  <c r="H183" i="35"/>
  <c r="I183" i="35" s="1"/>
  <c r="F183" i="35"/>
  <c r="E183" i="35"/>
  <c r="N182" i="35"/>
  <c r="O182" i="35" s="1"/>
  <c r="L182" i="35"/>
  <c r="K182" i="35"/>
  <c r="H182" i="35"/>
  <c r="I182" i="35" s="1"/>
  <c r="F182" i="35"/>
  <c r="E182" i="35"/>
  <c r="N181" i="35"/>
  <c r="O181" i="35" s="1"/>
  <c r="K181" i="35"/>
  <c r="L181" i="35" s="1"/>
  <c r="H181" i="35"/>
  <c r="I181" i="35" s="1"/>
  <c r="F181" i="35"/>
  <c r="E181" i="35"/>
  <c r="O180" i="35"/>
  <c r="N180" i="35"/>
  <c r="L180" i="35"/>
  <c r="K180" i="35"/>
  <c r="H180" i="35"/>
  <c r="I180" i="35" s="1"/>
  <c r="F180" i="35"/>
  <c r="E180" i="35"/>
  <c r="N179" i="35"/>
  <c r="N199" i="35" s="1"/>
  <c r="K179" i="35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N171" i="35"/>
  <c r="O171" i="35" s="1"/>
  <c r="L171" i="35"/>
  <c r="K171" i="35"/>
  <c r="I171" i="35"/>
  <c r="H171" i="35"/>
  <c r="F171" i="35"/>
  <c r="E171" i="35"/>
  <c r="N170" i="35"/>
  <c r="O170" i="35" s="1"/>
  <c r="L170" i="35"/>
  <c r="K170" i="35"/>
  <c r="I170" i="35"/>
  <c r="H170" i="35"/>
  <c r="F170" i="35"/>
  <c r="E170" i="35"/>
  <c r="N169" i="35"/>
  <c r="O169" i="35" s="1"/>
  <c r="L169" i="35"/>
  <c r="K169" i="35"/>
  <c r="I169" i="35"/>
  <c r="H169" i="35"/>
  <c r="F169" i="35"/>
  <c r="E169" i="35"/>
  <c r="N168" i="35"/>
  <c r="O168" i="35" s="1"/>
  <c r="L168" i="35"/>
  <c r="K168" i="35"/>
  <c r="I168" i="35"/>
  <c r="H168" i="35"/>
  <c r="F168" i="35"/>
  <c r="E168" i="35"/>
  <c r="N167" i="35"/>
  <c r="O167" i="35" s="1"/>
  <c r="L167" i="35"/>
  <c r="K167" i="35"/>
  <c r="I167" i="35"/>
  <c r="H167" i="35"/>
  <c r="F167" i="35"/>
  <c r="E167" i="35"/>
  <c r="N166" i="35"/>
  <c r="O166" i="35" s="1"/>
  <c r="L166" i="35"/>
  <c r="K166" i="35"/>
  <c r="I166" i="35"/>
  <c r="H166" i="35"/>
  <c r="F166" i="35"/>
  <c r="E166" i="35"/>
  <c r="N165" i="35"/>
  <c r="O165" i="35" s="1"/>
  <c r="L165" i="35"/>
  <c r="K165" i="35"/>
  <c r="I165" i="35"/>
  <c r="H165" i="35"/>
  <c r="F165" i="35"/>
  <c r="E165" i="35"/>
  <c r="N164" i="35"/>
  <c r="O164" i="35" s="1"/>
  <c r="L164" i="35"/>
  <c r="K164" i="35"/>
  <c r="I164" i="35"/>
  <c r="H164" i="35"/>
  <c r="F164" i="35"/>
  <c r="E164" i="35"/>
  <c r="N163" i="35"/>
  <c r="O163" i="35" s="1"/>
  <c r="O21" i="35" s="1"/>
  <c r="L163" i="35"/>
  <c r="L21" i="35" s="1"/>
  <c r="K163" i="35"/>
  <c r="I163" i="35"/>
  <c r="H163" i="35"/>
  <c r="F163" i="35"/>
  <c r="E163" i="35"/>
  <c r="N162" i="35"/>
  <c r="O162" i="35" s="1"/>
  <c r="L162" i="35"/>
  <c r="K162" i="35"/>
  <c r="I162" i="35"/>
  <c r="H162" i="35"/>
  <c r="F162" i="35"/>
  <c r="E162" i="35"/>
  <c r="O161" i="35"/>
  <c r="N161" i="35"/>
  <c r="L161" i="35"/>
  <c r="K161" i="35"/>
  <c r="I161" i="35"/>
  <c r="H161" i="35"/>
  <c r="F161" i="35"/>
  <c r="E161" i="35"/>
  <c r="O160" i="35"/>
  <c r="N160" i="35"/>
  <c r="L160" i="35"/>
  <c r="K160" i="35"/>
  <c r="I160" i="35"/>
  <c r="H160" i="35"/>
  <c r="F160" i="35"/>
  <c r="E160" i="35"/>
  <c r="O159" i="35"/>
  <c r="N159" i="35"/>
  <c r="L159" i="35"/>
  <c r="K159" i="35"/>
  <c r="I159" i="35"/>
  <c r="H159" i="35"/>
  <c r="F159" i="35"/>
  <c r="E159" i="35"/>
  <c r="O158" i="35"/>
  <c r="N158" i="35"/>
  <c r="L158" i="35"/>
  <c r="K158" i="35"/>
  <c r="I158" i="35"/>
  <c r="H158" i="35"/>
  <c r="F158" i="35"/>
  <c r="E158" i="35"/>
  <c r="O157" i="35"/>
  <c r="N157" i="35"/>
  <c r="L157" i="35"/>
  <c r="K157" i="35"/>
  <c r="I157" i="35"/>
  <c r="H157" i="35"/>
  <c r="F157" i="35"/>
  <c r="E157" i="35"/>
  <c r="N156" i="35"/>
  <c r="O156" i="35" s="1"/>
  <c r="L156" i="35"/>
  <c r="K156" i="35"/>
  <c r="I156" i="35"/>
  <c r="H156" i="35"/>
  <c r="F156" i="35"/>
  <c r="E156" i="35"/>
  <c r="N155" i="35"/>
  <c r="O155" i="35" s="1"/>
  <c r="L155" i="35"/>
  <c r="K155" i="35"/>
  <c r="I155" i="35"/>
  <c r="H155" i="35"/>
  <c r="F155" i="35"/>
  <c r="E155" i="35"/>
  <c r="N154" i="35"/>
  <c r="O154" i="35" s="1"/>
  <c r="O19" i="35" s="1"/>
  <c r="L154" i="35"/>
  <c r="K154" i="35"/>
  <c r="I154" i="35"/>
  <c r="H154" i="35"/>
  <c r="F154" i="35"/>
  <c r="E154" i="35"/>
  <c r="N153" i="35"/>
  <c r="O153" i="35" s="1"/>
  <c r="L153" i="35"/>
  <c r="K153" i="35"/>
  <c r="I153" i="35"/>
  <c r="H153" i="35"/>
  <c r="F153" i="35"/>
  <c r="E153" i="35"/>
  <c r="N152" i="35"/>
  <c r="N172" i="35" s="1"/>
  <c r="L152" i="35"/>
  <c r="L172" i="35" s="1"/>
  <c r="K152" i="35"/>
  <c r="K172" i="35" s="1"/>
  <c r="I152" i="35"/>
  <c r="I172" i="35" s="1"/>
  <c r="H152" i="35"/>
  <c r="H172" i="35" s="1"/>
  <c r="F152" i="35"/>
  <c r="F172" i="35" s="1"/>
  <c r="E152" i="35"/>
  <c r="E172" i="35" s="1"/>
  <c r="M150" i="35"/>
  <c r="J150" i="35"/>
  <c r="G150" i="35"/>
  <c r="D150" i="35"/>
  <c r="B150" i="35"/>
  <c r="M149" i="35"/>
  <c r="G149" i="35"/>
  <c r="B145" i="35"/>
  <c r="N144" i="35"/>
  <c r="O144" i="35" s="1"/>
  <c r="L144" i="35"/>
  <c r="K144" i="35"/>
  <c r="I144" i="35"/>
  <c r="H144" i="35"/>
  <c r="F144" i="35"/>
  <c r="E144" i="35"/>
  <c r="N143" i="35"/>
  <c r="O143" i="35" s="1"/>
  <c r="L143" i="35"/>
  <c r="K143" i="35"/>
  <c r="I143" i="35"/>
  <c r="H143" i="35"/>
  <c r="F143" i="35"/>
  <c r="E143" i="35"/>
  <c r="N142" i="35"/>
  <c r="O142" i="35" s="1"/>
  <c r="L142" i="35"/>
  <c r="K142" i="35"/>
  <c r="I142" i="35"/>
  <c r="H142" i="35"/>
  <c r="F142" i="35"/>
  <c r="E142" i="35"/>
  <c r="N141" i="35"/>
  <c r="O141" i="35" s="1"/>
  <c r="L141" i="35"/>
  <c r="K141" i="35"/>
  <c r="I141" i="35"/>
  <c r="H141" i="35"/>
  <c r="F141" i="35"/>
  <c r="E141" i="35"/>
  <c r="N140" i="35"/>
  <c r="O140" i="35" s="1"/>
  <c r="L140" i="35"/>
  <c r="K140" i="35"/>
  <c r="I140" i="35"/>
  <c r="H140" i="35"/>
  <c r="F140" i="35"/>
  <c r="E140" i="35"/>
  <c r="N139" i="35"/>
  <c r="O139" i="35" s="1"/>
  <c r="L139" i="35"/>
  <c r="K139" i="35"/>
  <c r="I139" i="35"/>
  <c r="H139" i="35"/>
  <c r="F139" i="35"/>
  <c r="E139" i="35"/>
  <c r="N138" i="35"/>
  <c r="O138" i="35" s="1"/>
  <c r="L138" i="35"/>
  <c r="K138" i="35"/>
  <c r="I138" i="35"/>
  <c r="H138" i="35"/>
  <c r="F138" i="35"/>
  <c r="E138" i="35"/>
  <c r="N137" i="35"/>
  <c r="O137" i="35" s="1"/>
  <c r="L137" i="35"/>
  <c r="K137" i="35"/>
  <c r="I137" i="35"/>
  <c r="H137" i="35"/>
  <c r="F137" i="35"/>
  <c r="E137" i="35"/>
  <c r="N136" i="35"/>
  <c r="O136" i="35" s="1"/>
  <c r="L136" i="35"/>
  <c r="K136" i="35"/>
  <c r="I136" i="35"/>
  <c r="H136" i="35"/>
  <c r="F136" i="35"/>
  <c r="E136" i="35"/>
  <c r="N135" i="35"/>
  <c r="O135" i="35" s="1"/>
  <c r="L135" i="35"/>
  <c r="K135" i="35"/>
  <c r="I135" i="35"/>
  <c r="H135" i="35"/>
  <c r="F135" i="35"/>
  <c r="E135" i="35"/>
  <c r="N134" i="35"/>
  <c r="O134" i="35" s="1"/>
  <c r="L134" i="35"/>
  <c r="K134" i="35"/>
  <c r="I134" i="35"/>
  <c r="H134" i="35"/>
  <c r="F134" i="35"/>
  <c r="E134" i="35"/>
  <c r="N133" i="35"/>
  <c r="O133" i="35" s="1"/>
  <c r="L133" i="35"/>
  <c r="K133" i="35"/>
  <c r="I133" i="35"/>
  <c r="H133" i="35"/>
  <c r="F133" i="35"/>
  <c r="E133" i="35"/>
  <c r="N132" i="35"/>
  <c r="O132" i="35" s="1"/>
  <c r="L132" i="35"/>
  <c r="K132" i="35"/>
  <c r="I132" i="35"/>
  <c r="H132" i="35"/>
  <c r="F132" i="35"/>
  <c r="E132" i="35"/>
  <c r="N131" i="35"/>
  <c r="O131" i="35" s="1"/>
  <c r="L131" i="35"/>
  <c r="K131" i="35"/>
  <c r="I131" i="35"/>
  <c r="H131" i="35"/>
  <c r="F131" i="35"/>
  <c r="E131" i="35"/>
  <c r="N130" i="35"/>
  <c r="O130" i="35" s="1"/>
  <c r="L130" i="35"/>
  <c r="K130" i="35"/>
  <c r="I130" i="35"/>
  <c r="H130" i="35"/>
  <c r="F130" i="35"/>
  <c r="E130" i="35"/>
  <c r="N129" i="35"/>
  <c r="O129" i="35" s="1"/>
  <c r="L129" i="35"/>
  <c r="K129" i="35"/>
  <c r="I129" i="35"/>
  <c r="H129" i="35"/>
  <c r="F129" i="35"/>
  <c r="E129" i="35"/>
  <c r="N128" i="35"/>
  <c r="O128" i="35" s="1"/>
  <c r="L128" i="35"/>
  <c r="K128" i="35"/>
  <c r="I128" i="35"/>
  <c r="H128" i="35"/>
  <c r="F128" i="35"/>
  <c r="E128" i="35"/>
  <c r="N127" i="35"/>
  <c r="O127" i="35" s="1"/>
  <c r="L127" i="35"/>
  <c r="K127" i="35"/>
  <c r="I127" i="35"/>
  <c r="H127" i="35"/>
  <c r="F127" i="35"/>
  <c r="E127" i="35"/>
  <c r="N126" i="35"/>
  <c r="O126" i="35" s="1"/>
  <c r="L126" i="35"/>
  <c r="K126" i="35"/>
  <c r="I126" i="35"/>
  <c r="H126" i="35"/>
  <c r="F126" i="35"/>
  <c r="E126" i="35"/>
  <c r="N125" i="35"/>
  <c r="N145" i="35" s="1"/>
  <c r="L125" i="35"/>
  <c r="L145" i="35" s="1"/>
  <c r="K125" i="35"/>
  <c r="K145" i="35" s="1"/>
  <c r="I125" i="35"/>
  <c r="I145" i="35" s="1"/>
  <c r="H125" i="35"/>
  <c r="H145" i="35" s="1"/>
  <c r="F125" i="35"/>
  <c r="F145" i="35" s="1"/>
  <c r="E125" i="35"/>
  <c r="E145" i="35" s="1"/>
  <c r="M123" i="35"/>
  <c r="J123" i="35"/>
  <c r="G123" i="35"/>
  <c r="D123" i="35"/>
  <c r="B123" i="35"/>
  <c r="M122" i="35"/>
  <c r="G122" i="35"/>
  <c r="B118" i="35"/>
  <c r="N117" i="35"/>
  <c r="O117" i="35" s="1"/>
  <c r="L117" i="35"/>
  <c r="K117" i="35"/>
  <c r="H117" i="35"/>
  <c r="I117" i="35" s="1"/>
  <c r="E117" i="35"/>
  <c r="F117" i="35" s="1"/>
  <c r="N116" i="35"/>
  <c r="O116" i="35" s="1"/>
  <c r="K116" i="35"/>
  <c r="L116" i="35" s="1"/>
  <c r="H116" i="35"/>
  <c r="I116" i="35" s="1"/>
  <c r="E116" i="35"/>
  <c r="F116" i="35" s="1"/>
  <c r="O115" i="35"/>
  <c r="N115" i="35"/>
  <c r="L115" i="35"/>
  <c r="K115" i="35"/>
  <c r="I115" i="35"/>
  <c r="H115" i="35"/>
  <c r="E115" i="35"/>
  <c r="F115" i="35" s="1"/>
  <c r="N114" i="35"/>
  <c r="O114" i="35" s="1"/>
  <c r="K114" i="35"/>
  <c r="L114" i="35" s="1"/>
  <c r="H114" i="35"/>
  <c r="I114" i="35" s="1"/>
  <c r="E114" i="35"/>
  <c r="F114" i="35" s="1"/>
  <c r="O113" i="35"/>
  <c r="N113" i="35"/>
  <c r="K113" i="35"/>
  <c r="L113" i="35" s="1"/>
  <c r="H113" i="35"/>
  <c r="I113" i="35" s="1"/>
  <c r="E113" i="35"/>
  <c r="F113" i="35" s="1"/>
  <c r="N112" i="35"/>
  <c r="O112" i="35" s="1"/>
  <c r="K112" i="35"/>
  <c r="L112" i="35" s="1"/>
  <c r="H112" i="35"/>
  <c r="I112" i="35" s="1"/>
  <c r="E112" i="35"/>
  <c r="F112" i="35" s="1"/>
  <c r="N111" i="35"/>
  <c r="O111" i="35" s="1"/>
  <c r="K111" i="35"/>
  <c r="L111" i="35" s="1"/>
  <c r="I111" i="35"/>
  <c r="H111" i="35"/>
  <c r="E111" i="35"/>
  <c r="F111" i="35" s="1"/>
  <c r="O110" i="35"/>
  <c r="N110" i="35"/>
  <c r="L110" i="35"/>
  <c r="K110" i="35"/>
  <c r="H110" i="35"/>
  <c r="I110" i="35" s="1"/>
  <c r="E110" i="35"/>
  <c r="F110" i="35" s="1"/>
  <c r="N109" i="35"/>
  <c r="O109" i="35" s="1"/>
  <c r="K109" i="35"/>
  <c r="L109" i="35" s="1"/>
  <c r="H109" i="35"/>
  <c r="I109" i="35" s="1"/>
  <c r="E109" i="35"/>
  <c r="F109" i="35" s="1"/>
  <c r="N108" i="35"/>
  <c r="O108" i="35" s="1"/>
  <c r="L108" i="35"/>
  <c r="K108" i="35"/>
  <c r="H108" i="35"/>
  <c r="I108" i="35" s="1"/>
  <c r="E108" i="35"/>
  <c r="F108" i="35" s="1"/>
  <c r="N107" i="35"/>
  <c r="O107" i="35" s="1"/>
  <c r="K107" i="35"/>
  <c r="L107" i="35" s="1"/>
  <c r="I107" i="35"/>
  <c r="H107" i="35"/>
  <c r="E107" i="35"/>
  <c r="F107" i="35" s="1"/>
  <c r="N106" i="35"/>
  <c r="O106" i="35" s="1"/>
  <c r="K106" i="35"/>
  <c r="L106" i="35" s="1"/>
  <c r="H106" i="35"/>
  <c r="I106" i="35" s="1"/>
  <c r="E106" i="35"/>
  <c r="F106" i="35" s="1"/>
  <c r="O105" i="35"/>
  <c r="N105" i="35"/>
  <c r="K105" i="35"/>
  <c r="L105" i="35" s="1"/>
  <c r="H105" i="35"/>
  <c r="I105" i="35" s="1"/>
  <c r="E105" i="35"/>
  <c r="F105" i="35" s="1"/>
  <c r="N104" i="35"/>
  <c r="O104" i="35" s="1"/>
  <c r="K104" i="35"/>
  <c r="L104" i="35" s="1"/>
  <c r="H104" i="35"/>
  <c r="I104" i="35" s="1"/>
  <c r="E104" i="35"/>
  <c r="F104" i="35" s="1"/>
  <c r="N103" i="35"/>
  <c r="O103" i="35" s="1"/>
  <c r="K103" i="35"/>
  <c r="L103" i="35" s="1"/>
  <c r="I103" i="35"/>
  <c r="H103" i="35"/>
  <c r="E103" i="35"/>
  <c r="F103" i="35" s="1"/>
  <c r="O102" i="35"/>
  <c r="N102" i="35"/>
  <c r="K102" i="35"/>
  <c r="L102" i="35" s="1"/>
  <c r="H102" i="35"/>
  <c r="I102" i="35" s="1"/>
  <c r="E102" i="35"/>
  <c r="F102" i="35" s="1"/>
  <c r="N101" i="35"/>
  <c r="O101" i="35" s="1"/>
  <c r="L101" i="35"/>
  <c r="K101" i="35"/>
  <c r="H101" i="35"/>
  <c r="I101" i="35" s="1"/>
  <c r="E101" i="35"/>
  <c r="F101" i="35" s="1"/>
  <c r="N100" i="35"/>
  <c r="O100" i="35" s="1"/>
  <c r="K100" i="35"/>
  <c r="L100" i="35" s="1"/>
  <c r="H100" i="35"/>
  <c r="I100" i="35" s="1"/>
  <c r="E100" i="35"/>
  <c r="F100" i="35" s="1"/>
  <c r="O99" i="35"/>
  <c r="N99" i="35"/>
  <c r="L99" i="35"/>
  <c r="K99" i="35"/>
  <c r="I99" i="35"/>
  <c r="H99" i="35"/>
  <c r="E99" i="35"/>
  <c r="F99" i="35" s="1"/>
  <c r="N98" i="35"/>
  <c r="N118" i="35" s="1"/>
  <c r="K98" i="35"/>
  <c r="K118" i="35" s="1"/>
  <c r="H98" i="35"/>
  <c r="H118" i="35" s="1"/>
  <c r="E98" i="35"/>
  <c r="M96" i="35"/>
  <c r="J96" i="35"/>
  <c r="G96" i="35"/>
  <c r="D96" i="35"/>
  <c r="B96" i="35"/>
  <c r="M95" i="35"/>
  <c r="G95" i="35"/>
  <c r="B91" i="35"/>
  <c r="O90" i="35"/>
  <c r="N90" i="35"/>
  <c r="K90" i="35"/>
  <c r="L90" i="35" s="1"/>
  <c r="I90" i="35"/>
  <c r="H90" i="35"/>
  <c r="E90" i="35"/>
  <c r="F90" i="35" s="1"/>
  <c r="N89" i="35"/>
  <c r="O89" i="35" s="1"/>
  <c r="L89" i="35"/>
  <c r="K89" i="35"/>
  <c r="H89" i="35"/>
  <c r="I89" i="35" s="1"/>
  <c r="E89" i="35"/>
  <c r="F89" i="35" s="1"/>
  <c r="O88" i="35"/>
  <c r="N88" i="35"/>
  <c r="L88" i="35"/>
  <c r="K88" i="35"/>
  <c r="I88" i="35"/>
  <c r="H88" i="35"/>
  <c r="E88" i="35"/>
  <c r="F88" i="35" s="1"/>
  <c r="N87" i="35"/>
  <c r="O87" i="35" s="1"/>
  <c r="K87" i="35"/>
  <c r="L87" i="35" s="1"/>
  <c r="H87" i="35"/>
  <c r="I87" i="35" s="1"/>
  <c r="E87" i="35"/>
  <c r="F87" i="35" s="1"/>
  <c r="O86" i="35"/>
  <c r="N86" i="35"/>
  <c r="K86" i="35"/>
  <c r="L86" i="35" s="1"/>
  <c r="I86" i="35"/>
  <c r="H86" i="35"/>
  <c r="E86" i="35"/>
  <c r="F86" i="35" s="1"/>
  <c r="N85" i="35"/>
  <c r="O85" i="35" s="1"/>
  <c r="L85" i="35"/>
  <c r="K85" i="35"/>
  <c r="H85" i="35"/>
  <c r="I85" i="35" s="1"/>
  <c r="E85" i="35"/>
  <c r="F85" i="35" s="1"/>
  <c r="O84" i="35"/>
  <c r="N84" i="35"/>
  <c r="L84" i="35"/>
  <c r="K84" i="35"/>
  <c r="I84" i="35"/>
  <c r="H84" i="35"/>
  <c r="E84" i="35"/>
  <c r="F84" i="35" s="1"/>
  <c r="N83" i="35"/>
  <c r="O83" i="35" s="1"/>
  <c r="K83" i="35"/>
  <c r="L83" i="35" s="1"/>
  <c r="H83" i="35"/>
  <c r="I83" i="35" s="1"/>
  <c r="E83" i="35"/>
  <c r="F83" i="35" s="1"/>
  <c r="O82" i="35"/>
  <c r="N82" i="35"/>
  <c r="K82" i="35"/>
  <c r="L82" i="35" s="1"/>
  <c r="I82" i="35"/>
  <c r="H82" i="35"/>
  <c r="E82" i="35"/>
  <c r="F82" i="35" s="1"/>
  <c r="N81" i="35"/>
  <c r="O81" i="35" s="1"/>
  <c r="L81" i="35"/>
  <c r="K81" i="35"/>
  <c r="H81" i="35"/>
  <c r="I81" i="35" s="1"/>
  <c r="E81" i="35"/>
  <c r="F81" i="35" s="1"/>
  <c r="O80" i="35"/>
  <c r="N80" i="35"/>
  <c r="L80" i="35"/>
  <c r="K80" i="35"/>
  <c r="I80" i="35"/>
  <c r="H80" i="35"/>
  <c r="E80" i="35"/>
  <c r="F80" i="35" s="1"/>
  <c r="N79" i="35"/>
  <c r="O79" i="35" s="1"/>
  <c r="K79" i="35"/>
  <c r="L79" i="35" s="1"/>
  <c r="H79" i="35"/>
  <c r="I79" i="35" s="1"/>
  <c r="E79" i="35"/>
  <c r="F79" i="35" s="1"/>
  <c r="O78" i="35"/>
  <c r="N78" i="35"/>
  <c r="K78" i="35"/>
  <c r="L78" i="35" s="1"/>
  <c r="I78" i="35"/>
  <c r="H78" i="35"/>
  <c r="E78" i="35"/>
  <c r="F78" i="35" s="1"/>
  <c r="N77" i="35"/>
  <c r="O77" i="35" s="1"/>
  <c r="L77" i="35"/>
  <c r="K77" i="35"/>
  <c r="H77" i="35"/>
  <c r="I77" i="35" s="1"/>
  <c r="E77" i="35"/>
  <c r="F77" i="35" s="1"/>
  <c r="O76" i="35"/>
  <c r="N76" i="35"/>
  <c r="L76" i="35"/>
  <c r="K76" i="35"/>
  <c r="I76" i="35"/>
  <c r="I20" i="35" s="1"/>
  <c r="H76" i="35"/>
  <c r="E76" i="35"/>
  <c r="F76" i="35" s="1"/>
  <c r="N75" i="35"/>
  <c r="O75" i="35" s="1"/>
  <c r="K75" i="35"/>
  <c r="L75" i="35" s="1"/>
  <c r="H75" i="35"/>
  <c r="I75" i="35" s="1"/>
  <c r="E75" i="35"/>
  <c r="F75" i="35" s="1"/>
  <c r="O74" i="35"/>
  <c r="N74" i="35"/>
  <c r="K74" i="35"/>
  <c r="L74" i="35" s="1"/>
  <c r="I74" i="35"/>
  <c r="H74" i="35"/>
  <c r="E74" i="35"/>
  <c r="F74" i="35" s="1"/>
  <c r="N73" i="35"/>
  <c r="O73" i="35" s="1"/>
  <c r="L73" i="35"/>
  <c r="K73" i="35"/>
  <c r="H73" i="35"/>
  <c r="I73" i="35" s="1"/>
  <c r="E73" i="35"/>
  <c r="F73" i="35" s="1"/>
  <c r="O72" i="35"/>
  <c r="N72" i="35"/>
  <c r="L72" i="35"/>
  <c r="K72" i="35"/>
  <c r="I72" i="35"/>
  <c r="H72" i="35"/>
  <c r="E72" i="35"/>
  <c r="F72" i="35" s="1"/>
  <c r="N71" i="35"/>
  <c r="N91" i="35" s="1"/>
  <c r="K71" i="35"/>
  <c r="H71" i="35"/>
  <c r="H91" i="35" s="1"/>
  <c r="E71" i="35"/>
  <c r="M69" i="35"/>
  <c r="J69" i="35"/>
  <c r="G69" i="35"/>
  <c r="D69" i="35"/>
  <c r="B69" i="35"/>
  <c r="M68" i="35"/>
  <c r="G68" i="35"/>
  <c r="B64" i="35"/>
  <c r="O63" i="35"/>
  <c r="N63" i="35"/>
  <c r="L63" i="35"/>
  <c r="K63" i="35"/>
  <c r="H63" i="35"/>
  <c r="I63" i="35" s="1"/>
  <c r="E63" i="35"/>
  <c r="F63" i="35" s="1"/>
  <c r="O62" i="35"/>
  <c r="N62" i="35"/>
  <c r="K62" i="35"/>
  <c r="L62" i="35" s="1"/>
  <c r="I62" i="35"/>
  <c r="H62" i="35"/>
  <c r="E62" i="35"/>
  <c r="F62" i="35" s="1"/>
  <c r="O61" i="35"/>
  <c r="N61" i="35"/>
  <c r="L61" i="35"/>
  <c r="K61" i="35"/>
  <c r="H61" i="35"/>
  <c r="I61" i="35" s="1"/>
  <c r="E61" i="35"/>
  <c r="F61" i="35" s="1"/>
  <c r="O60" i="35"/>
  <c r="N60" i="35"/>
  <c r="K60" i="35"/>
  <c r="L60" i="35" s="1"/>
  <c r="I60" i="35"/>
  <c r="H60" i="35"/>
  <c r="E60" i="35"/>
  <c r="F60" i="35" s="1"/>
  <c r="O59" i="35"/>
  <c r="O18" i="35" s="1"/>
  <c r="N59" i="35"/>
  <c r="K59" i="35"/>
  <c r="L59" i="35" s="1"/>
  <c r="L18" i="35" s="1"/>
  <c r="H59" i="35"/>
  <c r="I59" i="35" s="1"/>
  <c r="I18" i="35" s="1"/>
  <c r="E59" i="35"/>
  <c r="F59" i="35" s="1"/>
  <c r="N58" i="35"/>
  <c r="O58" i="35" s="1"/>
  <c r="L58" i="35"/>
  <c r="K58" i="35"/>
  <c r="I58" i="35"/>
  <c r="H58" i="35"/>
  <c r="E58" i="35"/>
  <c r="F58" i="35" s="1"/>
  <c r="O57" i="35"/>
  <c r="N57" i="35"/>
  <c r="K57" i="35"/>
  <c r="L57" i="35" s="1"/>
  <c r="H57" i="35"/>
  <c r="I57" i="35" s="1"/>
  <c r="E57" i="35"/>
  <c r="F57" i="35" s="1"/>
  <c r="N56" i="35"/>
  <c r="O56" i="35" s="1"/>
  <c r="L56" i="35"/>
  <c r="K56" i="35"/>
  <c r="I56" i="35"/>
  <c r="H56" i="35"/>
  <c r="E56" i="35"/>
  <c r="F56" i="35" s="1"/>
  <c r="O55" i="35"/>
  <c r="N55" i="35"/>
  <c r="L55" i="35"/>
  <c r="K55" i="35"/>
  <c r="H55" i="35"/>
  <c r="I55" i="35" s="1"/>
  <c r="E55" i="35"/>
  <c r="F55" i="35" s="1"/>
  <c r="O54" i="35"/>
  <c r="N54" i="35"/>
  <c r="K54" i="35"/>
  <c r="L54" i="35" s="1"/>
  <c r="I54" i="35"/>
  <c r="H54" i="35"/>
  <c r="E54" i="35"/>
  <c r="F54" i="35" s="1"/>
  <c r="O53" i="35"/>
  <c r="N53" i="35"/>
  <c r="L53" i="35"/>
  <c r="K53" i="35"/>
  <c r="H53" i="35"/>
  <c r="I53" i="35" s="1"/>
  <c r="E53" i="35"/>
  <c r="F53" i="35" s="1"/>
  <c r="O52" i="35"/>
  <c r="N52" i="35"/>
  <c r="K52" i="35"/>
  <c r="L52" i="35" s="1"/>
  <c r="I52" i="35"/>
  <c r="H52" i="35"/>
  <c r="E52" i="35"/>
  <c r="F52" i="35" s="1"/>
  <c r="O51" i="35"/>
  <c r="N51" i="35"/>
  <c r="K51" i="35"/>
  <c r="L51" i="35" s="1"/>
  <c r="L17" i="35" s="1"/>
  <c r="H51" i="35"/>
  <c r="I51" i="35" s="1"/>
  <c r="I17" i="35" s="1"/>
  <c r="E51" i="35"/>
  <c r="F51" i="35" s="1"/>
  <c r="N50" i="35"/>
  <c r="O50" i="35" s="1"/>
  <c r="L50" i="35"/>
  <c r="K50" i="35"/>
  <c r="I50" i="35"/>
  <c r="H50" i="35"/>
  <c r="E50" i="35"/>
  <c r="F50" i="35" s="1"/>
  <c r="O49" i="35"/>
  <c r="N49" i="35"/>
  <c r="K49" i="35"/>
  <c r="L49" i="35" s="1"/>
  <c r="H49" i="35"/>
  <c r="I49" i="35" s="1"/>
  <c r="E49" i="35"/>
  <c r="F49" i="35" s="1"/>
  <c r="N48" i="35"/>
  <c r="O48" i="35" s="1"/>
  <c r="L48" i="35"/>
  <c r="K48" i="35"/>
  <c r="I48" i="35"/>
  <c r="H48" i="35"/>
  <c r="E48" i="35"/>
  <c r="F48" i="35" s="1"/>
  <c r="O47" i="35"/>
  <c r="N47" i="35"/>
  <c r="L47" i="35"/>
  <c r="K47" i="35"/>
  <c r="H47" i="35"/>
  <c r="I47" i="35" s="1"/>
  <c r="E47" i="35"/>
  <c r="F47" i="35" s="1"/>
  <c r="O46" i="35"/>
  <c r="N46" i="35"/>
  <c r="K46" i="35"/>
  <c r="L46" i="35" s="1"/>
  <c r="I46" i="35"/>
  <c r="H46" i="35"/>
  <c r="E46" i="35"/>
  <c r="F46" i="35" s="1"/>
  <c r="O45" i="35"/>
  <c r="N45" i="35"/>
  <c r="L45" i="35"/>
  <c r="K45" i="35"/>
  <c r="H45" i="35"/>
  <c r="I45" i="35" s="1"/>
  <c r="E45" i="35"/>
  <c r="F45" i="35" s="1"/>
  <c r="O44" i="35"/>
  <c r="N44" i="35"/>
  <c r="K44" i="35"/>
  <c r="L44" i="35" s="1"/>
  <c r="I44" i="35"/>
  <c r="H44" i="35"/>
  <c r="E44" i="35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N21" i="35"/>
  <c r="M21" i="35"/>
  <c r="K21" i="35"/>
  <c r="J21" i="35"/>
  <c r="I21" i="35"/>
  <c r="H21" i="35"/>
  <c r="G21" i="35"/>
  <c r="F21" i="35"/>
  <c r="E21" i="35"/>
  <c r="D21" i="35"/>
  <c r="C21" i="35"/>
  <c r="B21" i="35"/>
  <c r="O20" i="35"/>
  <c r="N20" i="35"/>
  <c r="M20" i="35"/>
  <c r="L20" i="35"/>
  <c r="K20" i="35"/>
  <c r="J20" i="35"/>
  <c r="H20" i="35"/>
  <c r="G20" i="35"/>
  <c r="F20" i="35"/>
  <c r="E20" i="35"/>
  <c r="D20" i="35"/>
  <c r="C20" i="35"/>
  <c r="B20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N18" i="35"/>
  <c r="M18" i="35"/>
  <c r="J18" i="35"/>
  <c r="H18" i="35"/>
  <c r="G18" i="35"/>
  <c r="F18" i="35"/>
  <c r="E18" i="35"/>
  <c r="D18" i="35"/>
  <c r="C18" i="35"/>
  <c r="B18" i="35"/>
  <c r="O17" i="35"/>
  <c r="N17" i="35"/>
  <c r="M17" i="35"/>
  <c r="K17" i="35"/>
  <c r="J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N198" i="34"/>
  <c r="O198" i="34" s="1"/>
  <c r="L198" i="34"/>
  <c r="K198" i="34"/>
  <c r="I198" i="34"/>
  <c r="H198" i="34"/>
  <c r="F198" i="34"/>
  <c r="E198" i="34"/>
  <c r="N197" i="34"/>
  <c r="O197" i="34" s="1"/>
  <c r="L197" i="34"/>
  <c r="K197" i="34"/>
  <c r="I197" i="34"/>
  <c r="H197" i="34"/>
  <c r="F197" i="34"/>
  <c r="E197" i="34"/>
  <c r="N196" i="34"/>
  <c r="O196" i="34" s="1"/>
  <c r="L196" i="34"/>
  <c r="K196" i="34"/>
  <c r="H196" i="34"/>
  <c r="I196" i="34" s="1"/>
  <c r="F196" i="34"/>
  <c r="E196" i="34"/>
  <c r="N195" i="34"/>
  <c r="O195" i="34" s="1"/>
  <c r="K195" i="34"/>
  <c r="L195" i="34" s="1"/>
  <c r="H195" i="34"/>
  <c r="I195" i="34" s="1"/>
  <c r="F195" i="34"/>
  <c r="E195" i="34"/>
  <c r="O194" i="34"/>
  <c r="N194" i="34"/>
  <c r="L194" i="34"/>
  <c r="K194" i="34"/>
  <c r="H194" i="34"/>
  <c r="I194" i="34" s="1"/>
  <c r="F194" i="34"/>
  <c r="E194" i="34"/>
  <c r="N193" i="34"/>
  <c r="O193" i="34" s="1"/>
  <c r="K193" i="34"/>
  <c r="L193" i="34" s="1"/>
  <c r="H193" i="34"/>
  <c r="I193" i="34" s="1"/>
  <c r="F193" i="34"/>
  <c r="E193" i="34"/>
  <c r="O192" i="34"/>
  <c r="N192" i="34"/>
  <c r="L192" i="34"/>
  <c r="K192" i="34"/>
  <c r="H192" i="34"/>
  <c r="I192" i="34" s="1"/>
  <c r="F192" i="34"/>
  <c r="E192" i="34"/>
  <c r="O191" i="34"/>
  <c r="N191" i="34"/>
  <c r="K191" i="34"/>
  <c r="L191" i="34" s="1"/>
  <c r="H191" i="34"/>
  <c r="I191" i="34" s="1"/>
  <c r="F191" i="34"/>
  <c r="E191" i="34"/>
  <c r="N190" i="34"/>
  <c r="O190" i="34" s="1"/>
  <c r="L190" i="34"/>
  <c r="K190" i="34"/>
  <c r="H190" i="34"/>
  <c r="I190" i="34" s="1"/>
  <c r="F190" i="34"/>
  <c r="E190" i="34"/>
  <c r="O189" i="34"/>
  <c r="N189" i="34"/>
  <c r="K189" i="34"/>
  <c r="L189" i="34" s="1"/>
  <c r="H189" i="34"/>
  <c r="I189" i="34" s="1"/>
  <c r="F189" i="34"/>
  <c r="E189" i="34"/>
  <c r="N188" i="34"/>
  <c r="O188" i="34" s="1"/>
  <c r="L188" i="34"/>
  <c r="K188" i="34"/>
  <c r="H188" i="34"/>
  <c r="I188" i="34" s="1"/>
  <c r="F188" i="34"/>
  <c r="E188" i="34"/>
  <c r="N187" i="34"/>
  <c r="O187" i="34" s="1"/>
  <c r="K187" i="34"/>
  <c r="L187" i="34" s="1"/>
  <c r="H187" i="34"/>
  <c r="I187" i="34" s="1"/>
  <c r="F187" i="34"/>
  <c r="E187" i="34"/>
  <c r="O186" i="34"/>
  <c r="N186" i="34"/>
  <c r="L186" i="34"/>
  <c r="K186" i="34"/>
  <c r="H186" i="34"/>
  <c r="I186" i="34" s="1"/>
  <c r="F186" i="34"/>
  <c r="E186" i="34"/>
  <c r="N185" i="34"/>
  <c r="O185" i="34" s="1"/>
  <c r="K185" i="34"/>
  <c r="L185" i="34" s="1"/>
  <c r="H185" i="34"/>
  <c r="I185" i="34" s="1"/>
  <c r="F185" i="34"/>
  <c r="E185" i="34"/>
  <c r="O184" i="34"/>
  <c r="N184" i="34"/>
  <c r="L184" i="34"/>
  <c r="K184" i="34"/>
  <c r="H184" i="34"/>
  <c r="I184" i="34" s="1"/>
  <c r="F184" i="34"/>
  <c r="E184" i="34"/>
  <c r="O183" i="34"/>
  <c r="N183" i="34"/>
  <c r="K183" i="34"/>
  <c r="L183" i="34" s="1"/>
  <c r="H183" i="34"/>
  <c r="I183" i="34" s="1"/>
  <c r="F183" i="34"/>
  <c r="E183" i="34"/>
  <c r="N182" i="34"/>
  <c r="O182" i="34" s="1"/>
  <c r="L182" i="34"/>
  <c r="K182" i="34"/>
  <c r="H182" i="34"/>
  <c r="I182" i="34" s="1"/>
  <c r="F182" i="34"/>
  <c r="E182" i="34"/>
  <c r="O181" i="34"/>
  <c r="N181" i="34"/>
  <c r="K181" i="34"/>
  <c r="L181" i="34" s="1"/>
  <c r="H181" i="34"/>
  <c r="I181" i="34" s="1"/>
  <c r="F181" i="34"/>
  <c r="E181" i="34"/>
  <c r="N180" i="34"/>
  <c r="O180" i="34" s="1"/>
  <c r="L180" i="34"/>
  <c r="K180" i="34"/>
  <c r="H180" i="34"/>
  <c r="I180" i="34" s="1"/>
  <c r="F180" i="34"/>
  <c r="E180" i="34"/>
  <c r="N179" i="34"/>
  <c r="K179" i="34"/>
  <c r="K199" i="34" s="1"/>
  <c r="H179" i="34"/>
  <c r="H199" i="34" s="1"/>
  <c r="F179" i="34"/>
  <c r="F199" i="34" s="1"/>
  <c r="E179" i="34"/>
  <c r="E199" i="34" s="1"/>
  <c r="M177" i="34"/>
  <c r="J177" i="34"/>
  <c r="G177" i="34"/>
  <c r="D177" i="34"/>
  <c r="B177" i="34"/>
  <c r="M176" i="34"/>
  <c r="G176" i="34"/>
  <c r="B172" i="34"/>
  <c r="N171" i="34"/>
  <c r="O171" i="34" s="1"/>
  <c r="K171" i="34"/>
  <c r="L171" i="34" s="1"/>
  <c r="I171" i="34"/>
  <c r="H171" i="34"/>
  <c r="F171" i="34"/>
  <c r="E171" i="34"/>
  <c r="N170" i="34"/>
  <c r="O170" i="34" s="1"/>
  <c r="K170" i="34"/>
  <c r="L170" i="34" s="1"/>
  <c r="I170" i="34"/>
  <c r="H170" i="34"/>
  <c r="F170" i="34"/>
  <c r="E170" i="34"/>
  <c r="N169" i="34"/>
  <c r="O169" i="34" s="1"/>
  <c r="K169" i="34"/>
  <c r="L169" i="34" s="1"/>
  <c r="I169" i="34"/>
  <c r="H169" i="34"/>
  <c r="F169" i="34"/>
  <c r="E169" i="34"/>
  <c r="O168" i="34"/>
  <c r="N168" i="34"/>
  <c r="K168" i="34"/>
  <c r="L168" i="34" s="1"/>
  <c r="I168" i="34"/>
  <c r="H168" i="34"/>
  <c r="F168" i="34"/>
  <c r="E168" i="34"/>
  <c r="N167" i="34"/>
  <c r="O167" i="34" s="1"/>
  <c r="K167" i="34"/>
  <c r="L167" i="34" s="1"/>
  <c r="I167" i="34"/>
  <c r="H167" i="34"/>
  <c r="F167" i="34"/>
  <c r="E167" i="34"/>
  <c r="N166" i="34"/>
  <c r="O166" i="34" s="1"/>
  <c r="K166" i="34"/>
  <c r="L166" i="34" s="1"/>
  <c r="I166" i="34"/>
  <c r="H166" i="34"/>
  <c r="F166" i="34"/>
  <c r="E166" i="34"/>
  <c r="N165" i="34"/>
  <c r="O165" i="34" s="1"/>
  <c r="K165" i="34"/>
  <c r="L165" i="34" s="1"/>
  <c r="I165" i="34"/>
  <c r="H165" i="34"/>
  <c r="F165" i="34"/>
  <c r="E165" i="34"/>
  <c r="O164" i="34"/>
  <c r="N164" i="34"/>
  <c r="K164" i="34"/>
  <c r="L164" i="34" s="1"/>
  <c r="I164" i="34"/>
  <c r="H164" i="34"/>
  <c r="F164" i="34"/>
  <c r="E164" i="34"/>
  <c r="N163" i="34"/>
  <c r="O163" i="34" s="1"/>
  <c r="K163" i="34"/>
  <c r="L163" i="34" s="1"/>
  <c r="I163" i="34"/>
  <c r="H163" i="34"/>
  <c r="F163" i="34"/>
  <c r="E163" i="34"/>
  <c r="N162" i="34"/>
  <c r="O162" i="34" s="1"/>
  <c r="K162" i="34"/>
  <c r="L162" i="34" s="1"/>
  <c r="I162" i="34"/>
  <c r="H162" i="34"/>
  <c r="F162" i="34"/>
  <c r="E162" i="34"/>
  <c r="N161" i="34"/>
  <c r="O161" i="34" s="1"/>
  <c r="O20" i="34" s="1"/>
  <c r="K161" i="34"/>
  <c r="K20" i="34" s="1"/>
  <c r="I161" i="34"/>
  <c r="H161" i="34"/>
  <c r="F161" i="34"/>
  <c r="F20" i="34" s="1"/>
  <c r="E161" i="34"/>
  <c r="O160" i="34"/>
  <c r="N160" i="34"/>
  <c r="L160" i="34"/>
  <c r="K160" i="34"/>
  <c r="I160" i="34"/>
  <c r="H160" i="34"/>
  <c r="F160" i="34"/>
  <c r="E160" i="34"/>
  <c r="O159" i="34"/>
  <c r="N159" i="34"/>
  <c r="L159" i="34"/>
  <c r="K159" i="34"/>
  <c r="I159" i="34"/>
  <c r="H159" i="34"/>
  <c r="F159" i="34"/>
  <c r="E159" i="34"/>
  <c r="O158" i="34"/>
  <c r="N158" i="34"/>
  <c r="L158" i="34"/>
  <c r="K158" i="34"/>
  <c r="I158" i="34"/>
  <c r="H158" i="34"/>
  <c r="F158" i="34"/>
  <c r="E158" i="34"/>
  <c r="O157" i="34"/>
  <c r="N157" i="34"/>
  <c r="L157" i="34"/>
  <c r="K157" i="34"/>
  <c r="I157" i="34"/>
  <c r="H157" i="34"/>
  <c r="F157" i="34"/>
  <c r="E157" i="34"/>
  <c r="O156" i="34"/>
  <c r="N156" i="34"/>
  <c r="L156" i="34"/>
  <c r="K156" i="34"/>
  <c r="I156" i="34"/>
  <c r="H156" i="34"/>
  <c r="F156" i="34"/>
  <c r="E156" i="34"/>
  <c r="O155" i="34"/>
  <c r="N155" i="34"/>
  <c r="L155" i="34"/>
  <c r="K155" i="34"/>
  <c r="I155" i="34"/>
  <c r="H155" i="34"/>
  <c r="F155" i="34"/>
  <c r="E155" i="34"/>
  <c r="O154" i="34"/>
  <c r="N154" i="34"/>
  <c r="L154" i="34"/>
  <c r="K154" i="34"/>
  <c r="I154" i="34"/>
  <c r="H154" i="34"/>
  <c r="F154" i="34"/>
  <c r="E154" i="34"/>
  <c r="O153" i="34"/>
  <c r="N153" i="34"/>
  <c r="L153" i="34"/>
  <c r="K153" i="34"/>
  <c r="I153" i="34"/>
  <c r="H153" i="34"/>
  <c r="F153" i="34"/>
  <c r="E153" i="34"/>
  <c r="O152" i="34"/>
  <c r="N152" i="34"/>
  <c r="L152" i="34"/>
  <c r="K152" i="34"/>
  <c r="K172" i="34" s="1"/>
  <c r="I152" i="34"/>
  <c r="I172" i="34" s="1"/>
  <c r="H152" i="34"/>
  <c r="H172" i="34" s="1"/>
  <c r="F152" i="34"/>
  <c r="F172" i="34" s="1"/>
  <c r="E152" i="34"/>
  <c r="E172" i="34" s="1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H144" i="34"/>
  <c r="I144" i="34" s="1"/>
  <c r="F144" i="34"/>
  <c r="E144" i="34"/>
  <c r="N143" i="34"/>
  <c r="O143" i="34" s="1"/>
  <c r="K143" i="34"/>
  <c r="L143" i="34" s="1"/>
  <c r="H143" i="34"/>
  <c r="I143" i="34" s="1"/>
  <c r="F143" i="34"/>
  <c r="E143" i="34"/>
  <c r="N142" i="34"/>
  <c r="O142" i="34" s="1"/>
  <c r="L142" i="34"/>
  <c r="K142" i="34"/>
  <c r="H142" i="34"/>
  <c r="I142" i="34" s="1"/>
  <c r="F142" i="34"/>
  <c r="E142" i="34"/>
  <c r="O141" i="34"/>
  <c r="N141" i="34"/>
  <c r="K141" i="34"/>
  <c r="L141" i="34" s="1"/>
  <c r="H141" i="34"/>
  <c r="I141" i="34" s="1"/>
  <c r="F141" i="34"/>
  <c r="E141" i="34"/>
  <c r="N140" i="34"/>
  <c r="O140" i="34" s="1"/>
  <c r="L140" i="34"/>
  <c r="K140" i="34"/>
  <c r="H140" i="34"/>
  <c r="I140" i="34" s="1"/>
  <c r="F140" i="34"/>
  <c r="E140" i="34"/>
  <c r="N139" i="34"/>
  <c r="O139" i="34" s="1"/>
  <c r="O17" i="34" s="1"/>
  <c r="K139" i="34"/>
  <c r="L139" i="34" s="1"/>
  <c r="L17" i="34" s="1"/>
  <c r="H139" i="34"/>
  <c r="I139" i="34" s="1"/>
  <c r="I17" i="34" s="1"/>
  <c r="F139" i="34"/>
  <c r="E139" i="34"/>
  <c r="N138" i="34"/>
  <c r="O138" i="34" s="1"/>
  <c r="L138" i="34"/>
  <c r="K138" i="34"/>
  <c r="H138" i="34"/>
  <c r="I138" i="34" s="1"/>
  <c r="F138" i="34"/>
  <c r="E138" i="34"/>
  <c r="N137" i="34"/>
  <c r="O137" i="34" s="1"/>
  <c r="K137" i="34"/>
  <c r="L137" i="34" s="1"/>
  <c r="H137" i="34"/>
  <c r="I137" i="34" s="1"/>
  <c r="F137" i="34"/>
  <c r="E137" i="34"/>
  <c r="O136" i="34"/>
  <c r="N136" i="34"/>
  <c r="K136" i="34"/>
  <c r="L136" i="34" s="1"/>
  <c r="H136" i="34"/>
  <c r="I136" i="34" s="1"/>
  <c r="F136" i="34"/>
  <c r="E136" i="34"/>
  <c r="N135" i="34"/>
  <c r="O135" i="34" s="1"/>
  <c r="K135" i="34"/>
  <c r="L135" i="34" s="1"/>
  <c r="H135" i="34"/>
  <c r="I135" i="34" s="1"/>
  <c r="F135" i="34"/>
  <c r="E135" i="34"/>
  <c r="O134" i="34"/>
  <c r="N134" i="34"/>
  <c r="L134" i="34"/>
  <c r="K134" i="34"/>
  <c r="H134" i="34"/>
  <c r="I134" i="34" s="1"/>
  <c r="F134" i="34"/>
  <c r="E134" i="34"/>
  <c r="N133" i="34"/>
  <c r="O133" i="34" s="1"/>
  <c r="K133" i="34"/>
  <c r="L133" i="34" s="1"/>
  <c r="H133" i="34"/>
  <c r="I133" i="34" s="1"/>
  <c r="F133" i="34"/>
  <c r="E133" i="34"/>
  <c r="N132" i="34"/>
  <c r="O132" i="34" s="1"/>
  <c r="K132" i="34"/>
  <c r="L132" i="34" s="1"/>
  <c r="H132" i="34"/>
  <c r="I132" i="34" s="1"/>
  <c r="F132" i="34"/>
  <c r="E132" i="34"/>
  <c r="N131" i="34"/>
  <c r="O131" i="34" s="1"/>
  <c r="K131" i="34"/>
  <c r="L131" i="34" s="1"/>
  <c r="H131" i="34"/>
  <c r="I131" i="34" s="1"/>
  <c r="F131" i="34"/>
  <c r="E131" i="34"/>
  <c r="N130" i="34"/>
  <c r="O130" i="34" s="1"/>
  <c r="L130" i="34"/>
  <c r="K130" i="34"/>
  <c r="H130" i="34"/>
  <c r="I130" i="34" s="1"/>
  <c r="F130" i="34"/>
  <c r="E130" i="34"/>
  <c r="O129" i="34"/>
  <c r="N129" i="34"/>
  <c r="K129" i="34"/>
  <c r="L129" i="34" s="1"/>
  <c r="H129" i="34"/>
  <c r="I129" i="34" s="1"/>
  <c r="F129" i="34"/>
  <c r="E129" i="34"/>
  <c r="N128" i="34"/>
  <c r="O128" i="34" s="1"/>
  <c r="K128" i="34"/>
  <c r="L128" i="34" s="1"/>
  <c r="H128" i="34"/>
  <c r="I128" i="34" s="1"/>
  <c r="F128" i="34"/>
  <c r="E128" i="34"/>
  <c r="O127" i="34"/>
  <c r="N127" i="34"/>
  <c r="K127" i="34"/>
  <c r="L127" i="34" s="1"/>
  <c r="H127" i="34"/>
  <c r="I127" i="34" s="1"/>
  <c r="F127" i="34"/>
  <c r="E127" i="34"/>
  <c r="N126" i="34"/>
  <c r="O126" i="34" s="1"/>
  <c r="L126" i="34"/>
  <c r="K126" i="34"/>
  <c r="H126" i="34"/>
  <c r="I126" i="34" s="1"/>
  <c r="F126" i="34"/>
  <c r="E126" i="34"/>
  <c r="N125" i="34"/>
  <c r="K125" i="34"/>
  <c r="L125" i="34" s="1"/>
  <c r="H125" i="34"/>
  <c r="H145" i="34" s="1"/>
  <c r="F125" i="34"/>
  <c r="F145" i="34" s="1"/>
  <c r="E125" i="34"/>
  <c r="E145" i="34" s="1"/>
  <c r="M123" i="34"/>
  <c r="J123" i="34"/>
  <c r="G123" i="34"/>
  <c r="D123" i="34"/>
  <c r="B123" i="34"/>
  <c r="M122" i="34"/>
  <c r="G122" i="34"/>
  <c r="B118" i="34"/>
  <c r="N117" i="34"/>
  <c r="O117" i="34" s="1"/>
  <c r="K117" i="34"/>
  <c r="L117" i="34" s="1"/>
  <c r="H117" i="34"/>
  <c r="I117" i="34" s="1"/>
  <c r="F117" i="34"/>
  <c r="E117" i="34"/>
  <c r="N116" i="34"/>
  <c r="O116" i="34" s="1"/>
  <c r="K116" i="34"/>
  <c r="L116" i="34" s="1"/>
  <c r="H116" i="34"/>
  <c r="I116" i="34" s="1"/>
  <c r="F116" i="34"/>
  <c r="E116" i="34"/>
  <c r="N115" i="34"/>
  <c r="O115" i="34" s="1"/>
  <c r="L115" i="34"/>
  <c r="K115" i="34"/>
  <c r="H115" i="34"/>
  <c r="I115" i="34" s="1"/>
  <c r="F115" i="34"/>
  <c r="E115" i="34"/>
  <c r="N114" i="34"/>
  <c r="O114" i="34" s="1"/>
  <c r="K114" i="34"/>
  <c r="L114" i="34" s="1"/>
  <c r="H114" i="34"/>
  <c r="I114" i="34" s="1"/>
  <c r="F114" i="34"/>
  <c r="E114" i="34"/>
  <c r="O113" i="34"/>
  <c r="N113" i="34"/>
  <c r="K113" i="34"/>
  <c r="L113" i="34" s="1"/>
  <c r="H113" i="34"/>
  <c r="I113" i="34" s="1"/>
  <c r="F113" i="34"/>
  <c r="E113" i="34"/>
  <c r="N112" i="34"/>
  <c r="O112" i="34" s="1"/>
  <c r="K112" i="34"/>
  <c r="L112" i="34" s="1"/>
  <c r="H112" i="34"/>
  <c r="I112" i="34" s="1"/>
  <c r="F112" i="34"/>
  <c r="E112" i="34"/>
  <c r="O111" i="34"/>
  <c r="N111" i="34"/>
  <c r="L111" i="34"/>
  <c r="K111" i="34"/>
  <c r="H111" i="34"/>
  <c r="I111" i="34" s="1"/>
  <c r="F111" i="34"/>
  <c r="E111" i="34"/>
  <c r="N110" i="34"/>
  <c r="O110" i="34" s="1"/>
  <c r="K110" i="34"/>
  <c r="L110" i="34" s="1"/>
  <c r="H110" i="34"/>
  <c r="I110" i="34" s="1"/>
  <c r="F110" i="34"/>
  <c r="E110" i="34"/>
  <c r="N109" i="34"/>
  <c r="O109" i="34" s="1"/>
  <c r="K109" i="34"/>
  <c r="L109" i="34" s="1"/>
  <c r="H109" i="34"/>
  <c r="I109" i="34" s="1"/>
  <c r="F109" i="34"/>
  <c r="E109" i="34"/>
  <c r="N108" i="34"/>
  <c r="O108" i="34" s="1"/>
  <c r="K108" i="34"/>
  <c r="L108" i="34" s="1"/>
  <c r="H108" i="34"/>
  <c r="I108" i="34" s="1"/>
  <c r="F108" i="34"/>
  <c r="E108" i="34"/>
  <c r="N107" i="34"/>
  <c r="O107" i="34" s="1"/>
  <c r="L107" i="34"/>
  <c r="K107" i="34"/>
  <c r="H107" i="34"/>
  <c r="I107" i="34" s="1"/>
  <c r="F107" i="34"/>
  <c r="E107" i="34"/>
  <c r="O106" i="34"/>
  <c r="N106" i="34"/>
  <c r="K106" i="34"/>
  <c r="L106" i="34" s="1"/>
  <c r="H106" i="34"/>
  <c r="I106" i="34" s="1"/>
  <c r="F106" i="34"/>
  <c r="E106" i="34"/>
  <c r="N105" i="34"/>
  <c r="O105" i="34" s="1"/>
  <c r="K105" i="34"/>
  <c r="L105" i="34" s="1"/>
  <c r="H105" i="34"/>
  <c r="I105" i="34" s="1"/>
  <c r="F105" i="34"/>
  <c r="E105" i="34"/>
  <c r="O104" i="34"/>
  <c r="N104" i="34"/>
  <c r="K104" i="34"/>
  <c r="L104" i="34" s="1"/>
  <c r="H104" i="34"/>
  <c r="I104" i="34" s="1"/>
  <c r="F104" i="34"/>
  <c r="E104" i="34"/>
  <c r="N103" i="34"/>
  <c r="O103" i="34" s="1"/>
  <c r="L103" i="34"/>
  <c r="K103" i="34"/>
  <c r="H103" i="34"/>
  <c r="I103" i="34" s="1"/>
  <c r="F103" i="34"/>
  <c r="E103" i="34"/>
  <c r="N102" i="34"/>
  <c r="O102" i="34" s="1"/>
  <c r="K102" i="34"/>
  <c r="L102" i="34" s="1"/>
  <c r="H102" i="34"/>
  <c r="I102" i="34" s="1"/>
  <c r="F102" i="34"/>
  <c r="E102" i="34"/>
  <c r="N101" i="34"/>
  <c r="O101" i="34" s="1"/>
  <c r="K101" i="34"/>
  <c r="L101" i="34" s="1"/>
  <c r="H101" i="34"/>
  <c r="I101" i="34" s="1"/>
  <c r="F101" i="34"/>
  <c r="E101" i="34"/>
  <c r="N100" i="34"/>
  <c r="O100" i="34" s="1"/>
  <c r="K100" i="34"/>
  <c r="L100" i="34" s="1"/>
  <c r="H100" i="34"/>
  <c r="I100" i="34" s="1"/>
  <c r="F100" i="34"/>
  <c r="E100" i="34"/>
  <c r="N99" i="34"/>
  <c r="O99" i="34" s="1"/>
  <c r="L99" i="34"/>
  <c r="K99" i="34"/>
  <c r="H99" i="34"/>
  <c r="I99" i="34" s="1"/>
  <c r="F99" i="34"/>
  <c r="E99" i="34"/>
  <c r="N98" i="34"/>
  <c r="K98" i="34"/>
  <c r="K118" i="34" s="1"/>
  <c r="H98" i="34"/>
  <c r="H118" i="34" s="1"/>
  <c r="F98" i="34"/>
  <c r="F118" i="34" s="1"/>
  <c r="E98" i="34"/>
  <c r="E118" i="34" s="1"/>
  <c r="M96" i="34"/>
  <c r="J96" i="34"/>
  <c r="G96" i="34"/>
  <c r="D96" i="34"/>
  <c r="B96" i="34"/>
  <c r="M95" i="34"/>
  <c r="G95" i="34"/>
  <c r="B91" i="34"/>
  <c r="O90" i="34"/>
  <c r="N90" i="34"/>
  <c r="K90" i="34"/>
  <c r="L90" i="34" s="1"/>
  <c r="I90" i="34"/>
  <c r="H90" i="34"/>
  <c r="F90" i="34"/>
  <c r="E90" i="34"/>
  <c r="N89" i="34"/>
  <c r="O89" i="34" s="1"/>
  <c r="K89" i="34"/>
  <c r="L89" i="34" s="1"/>
  <c r="I89" i="34"/>
  <c r="H89" i="34"/>
  <c r="F89" i="34"/>
  <c r="E89" i="34"/>
  <c r="N88" i="34"/>
  <c r="O88" i="34" s="1"/>
  <c r="K88" i="34"/>
  <c r="L88" i="34" s="1"/>
  <c r="I88" i="34"/>
  <c r="H88" i="34"/>
  <c r="F88" i="34"/>
  <c r="E88" i="34"/>
  <c r="N87" i="34"/>
  <c r="O87" i="34" s="1"/>
  <c r="K87" i="34"/>
  <c r="L87" i="34" s="1"/>
  <c r="I87" i="34"/>
  <c r="H87" i="34"/>
  <c r="F87" i="34"/>
  <c r="E87" i="34"/>
  <c r="O86" i="34"/>
  <c r="N86" i="34"/>
  <c r="K86" i="34"/>
  <c r="L86" i="34" s="1"/>
  <c r="I86" i="34"/>
  <c r="H86" i="34"/>
  <c r="F86" i="34"/>
  <c r="E86" i="34"/>
  <c r="N85" i="34"/>
  <c r="O85" i="34" s="1"/>
  <c r="K85" i="34"/>
  <c r="L85" i="34" s="1"/>
  <c r="I85" i="34"/>
  <c r="H85" i="34"/>
  <c r="F85" i="34"/>
  <c r="E85" i="34"/>
  <c r="N84" i="34"/>
  <c r="O84" i="34" s="1"/>
  <c r="K84" i="34"/>
  <c r="L84" i="34" s="1"/>
  <c r="I84" i="34"/>
  <c r="H84" i="34"/>
  <c r="F84" i="34"/>
  <c r="E84" i="34"/>
  <c r="N83" i="34"/>
  <c r="O83" i="34" s="1"/>
  <c r="O21" i="34" s="1"/>
  <c r="K83" i="34"/>
  <c r="L83" i="34" s="1"/>
  <c r="L21" i="34" s="1"/>
  <c r="I83" i="34"/>
  <c r="H83" i="34"/>
  <c r="F83" i="34"/>
  <c r="E83" i="34"/>
  <c r="O82" i="34"/>
  <c r="N82" i="34"/>
  <c r="K82" i="34"/>
  <c r="L82" i="34" s="1"/>
  <c r="I82" i="34"/>
  <c r="H82" i="34"/>
  <c r="F82" i="34"/>
  <c r="E82" i="34"/>
  <c r="N81" i="34"/>
  <c r="O81" i="34" s="1"/>
  <c r="K81" i="34"/>
  <c r="L81" i="34" s="1"/>
  <c r="I81" i="34"/>
  <c r="H81" i="34"/>
  <c r="F81" i="34"/>
  <c r="E81" i="34"/>
  <c r="N80" i="34"/>
  <c r="O80" i="34" s="1"/>
  <c r="K80" i="34"/>
  <c r="L80" i="34" s="1"/>
  <c r="I80" i="34"/>
  <c r="H80" i="34"/>
  <c r="F80" i="34"/>
  <c r="E80" i="34"/>
  <c r="N79" i="34"/>
  <c r="O79" i="34" s="1"/>
  <c r="O19" i="34" s="1"/>
  <c r="K79" i="34"/>
  <c r="L79" i="34" s="1"/>
  <c r="L19" i="34" s="1"/>
  <c r="I79" i="34"/>
  <c r="H79" i="34"/>
  <c r="F79" i="34"/>
  <c r="E79" i="34"/>
  <c r="O78" i="34"/>
  <c r="N78" i="34"/>
  <c r="K78" i="34"/>
  <c r="L78" i="34" s="1"/>
  <c r="I78" i="34"/>
  <c r="H78" i="34"/>
  <c r="F78" i="34"/>
  <c r="E78" i="34"/>
  <c r="N77" i="34"/>
  <c r="O77" i="34" s="1"/>
  <c r="K77" i="34"/>
  <c r="L77" i="34" s="1"/>
  <c r="I77" i="34"/>
  <c r="H77" i="34"/>
  <c r="F77" i="34"/>
  <c r="E77" i="34"/>
  <c r="N76" i="34"/>
  <c r="O76" i="34" s="1"/>
  <c r="K76" i="34"/>
  <c r="L76" i="34" s="1"/>
  <c r="I76" i="34"/>
  <c r="H76" i="34"/>
  <c r="F76" i="34"/>
  <c r="E76" i="34"/>
  <c r="N75" i="34"/>
  <c r="O75" i="34" s="1"/>
  <c r="K75" i="34"/>
  <c r="L75" i="34" s="1"/>
  <c r="I75" i="34"/>
  <c r="H75" i="34"/>
  <c r="F75" i="34"/>
  <c r="E75" i="34"/>
  <c r="O74" i="34"/>
  <c r="N74" i="34"/>
  <c r="K74" i="34"/>
  <c r="L74" i="34" s="1"/>
  <c r="I74" i="34"/>
  <c r="H74" i="34"/>
  <c r="F74" i="34"/>
  <c r="E74" i="34"/>
  <c r="N73" i="34"/>
  <c r="O73" i="34" s="1"/>
  <c r="K73" i="34"/>
  <c r="L73" i="34" s="1"/>
  <c r="I73" i="34"/>
  <c r="H73" i="34"/>
  <c r="F73" i="34"/>
  <c r="E73" i="34"/>
  <c r="N72" i="34"/>
  <c r="O72" i="34" s="1"/>
  <c r="K72" i="34"/>
  <c r="L72" i="34" s="1"/>
  <c r="I72" i="34"/>
  <c r="H72" i="34"/>
  <c r="F72" i="34"/>
  <c r="E72" i="34"/>
  <c r="N71" i="34"/>
  <c r="K71" i="34"/>
  <c r="K91" i="34" s="1"/>
  <c r="I71" i="34"/>
  <c r="I91" i="34" s="1"/>
  <c r="H71" i="34"/>
  <c r="H91" i="34" s="1"/>
  <c r="F71" i="34"/>
  <c r="F91" i="34" s="1"/>
  <c r="E71" i="34"/>
  <c r="E91" i="34" s="1"/>
  <c r="M69" i="34"/>
  <c r="J69" i="34"/>
  <c r="G69" i="34"/>
  <c r="D69" i="34"/>
  <c r="B69" i="34"/>
  <c r="M68" i="34"/>
  <c r="G68" i="34"/>
  <c r="B64" i="34"/>
  <c r="O63" i="34"/>
  <c r="N63" i="34"/>
  <c r="K63" i="34"/>
  <c r="L63" i="34" s="1"/>
  <c r="H63" i="34"/>
  <c r="I63" i="34" s="1"/>
  <c r="F63" i="34"/>
  <c r="E63" i="34"/>
  <c r="N62" i="34"/>
  <c r="O62" i="34" s="1"/>
  <c r="K62" i="34"/>
  <c r="L62" i="34" s="1"/>
  <c r="H62" i="34"/>
  <c r="I62" i="34" s="1"/>
  <c r="F62" i="34"/>
  <c r="E62" i="34"/>
  <c r="O61" i="34"/>
  <c r="N61" i="34"/>
  <c r="L61" i="34"/>
  <c r="K61" i="34"/>
  <c r="H61" i="34"/>
  <c r="I61" i="34" s="1"/>
  <c r="F61" i="34"/>
  <c r="E61" i="34"/>
  <c r="N60" i="34"/>
  <c r="O60" i="34" s="1"/>
  <c r="K60" i="34"/>
  <c r="L60" i="34" s="1"/>
  <c r="H60" i="34"/>
  <c r="I60" i="34" s="1"/>
  <c r="F60" i="34"/>
  <c r="E60" i="34"/>
  <c r="N59" i="34"/>
  <c r="O59" i="34" s="1"/>
  <c r="K59" i="34"/>
  <c r="L59" i="34" s="1"/>
  <c r="H59" i="34"/>
  <c r="I59" i="34" s="1"/>
  <c r="F59" i="34"/>
  <c r="E59" i="34"/>
  <c r="N58" i="34"/>
  <c r="O58" i="34" s="1"/>
  <c r="O18" i="34" s="1"/>
  <c r="K58" i="34"/>
  <c r="L58" i="34" s="1"/>
  <c r="L18" i="34" s="1"/>
  <c r="H58" i="34"/>
  <c r="I58" i="34" s="1"/>
  <c r="I18" i="34" s="1"/>
  <c r="F58" i="34"/>
  <c r="E58" i="34"/>
  <c r="N57" i="34"/>
  <c r="O57" i="34" s="1"/>
  <c r="L57" i="34"/>
  <c r="K57" i="34"/>
  <c r="H57" i="34"/>
  <c r="I57" i="34" s="1"/>
  <c r="F57" i="34"/>
  <c r="E57" i="34"/>
  <c r="O56" i="34"/>
  <c r="N56" i="34"/>
  <c r="K56" i="34"/>
  <c r="L56" i="34" s="1"/>
  <c r="H56" i="34"/>
  <c r="I56" i="34" s="1"/>
  <c r="F56" i="34"/>
  <c r="E56" i="34"/>
  <c r="N55" i="34"/>
  <c r="O55" i="34" s="1"/>
  <c r="K55" i="34"/>
  <c r="L55" i="34" s="1"/>
  <c r="H55" i="34"/>
  <c r="I55" i="34" s="1"/>
  <c r="F55" i="34"/>
  <c r="E55" i="34"/>
  <c r="O54" i="34"/>
  <c r="N54" i="34"/>
  <c r="K54" i="34"/>
  <c r="L54" i="34" s="1"/>
  <c r="H54" i="34"/>
  <c r="I54" i="34" s="1"/>
  <c r="E54" i="34"/>
  <c r="F54" i="34" s="1"/>
  <c r="N53" i="34"/>
  <c r="O53" i="34" s="1"/>
  <c r="K53" i="34"/>
  <c r="L53" i="34" s="1"/>
  <c r="H53" i="34"/>
  <c r="I53" i="34" s="1"/>
  <c r="F53" i="34"/>
  <c r="E53" i="34"/>
  <c r="N52" i="34"/>
  <c r="O52" i="34" s="1"/>
  <c r="K52" i="34"/>
  <c r="L52" i="34" s="1"/>
  <c r="H52" i="34"/>
  <c r="I52" i="34" s="1"/>
  <c r="F52" i="34"/>
  <c r="E52" i="34"/>
  <c r="N51" i="34"/>
  <c r="O51" i="34" s="1"/>
  <c r="K51" i="34"/>
  <c r="L51" i="34" s="1"/>
  <c r="H51" i="34"/>
  <c r="I51" i="34" s="1"/>
  <c r="F51" i="34"/>
  <c r="E51" i="34"/>
  <c r="N50" i="34"/>
  <c r="O50" i="34" s="1"/>
  <c r="L50" i="34"/>
  <c r="K50" i="34"/>
  <c r="H50" i="34"/>
  <c r="I50" i="34" s="1"/>
  <c r="F50" i="34"/>
  <c r="E50" i="34"/>
  <c r="N49" i="34"/>
  <c r="O49" i="34" s="1"/>
  <c r="K49" i="34"/>
  <c r="L49" i="34" s="1"/>
  <c r="H49" i="34"/>
  <c r="I49" i="34" s="1"/>
  <c r="F49" i="34"/>
  <c r="E49" i="34"/>
  <c r="O48" i="34"/>
  <c r="N48" i="34"/>
  <c r="K48" i="34"/>
  <c r="L48" i="34" s="1"/>
  <c r="H48" i="34"/>
  <c r="I48" i="34" s="1"/>
  <c r="F48" i="34"/>
  <c r="E48" i="34"/>
  <c r="N47" i="34"/>
  <c r="O47" i="34" s="1"/>
  <c r="K47" i="34"/>
  <c r="L47" i="34" s="1"/>
  <c r="H47" i="34"/>
  <c r="I47" i="34" s="1"/>
  <c r="F47" i="34"/>
  <c r="E47" i="34"/>
  <c r="O46" i="34"/>
  <c r="N46" i="34"/>
  <c r="L46" i="34"/>
  <c r="K46" i="34"/>
  <c r="H46" i="34"/>
  <c r="I46" i="34" s="1"/>
  <c r="F46" i="34"/>
  <c r="E46" i="34"/>
  <c r="N45" i="34"/>
  <c r="O45" i="34" s="1"/>
  <c r="K45" i="34"/>
  <c r="L45" i="34" s="1"/>
  <c r="H45" i="34"/>
  <c r="I45" i="34" s="1"/>
  <c r="F45" i="34"/>
  <c r="E45" i="34"/>
  <c r="N44" i="34"/>
  <c r="K44" i="34"/>
  <c r="H44" i="34"/>
  <c r="H64" i="34" s="1"/>
  <c r="F44" i="34"/>
  <c r="E44" i="34"/>
  <c r="E64" i="34" s="1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N21" i="34"/>
  <c r="M21" i="34"/>
  <c r="K21" i="34"/>
  <c r="J21" i="34"/>
  <c r="I21" i="34"/>
  <c r="H21" i="34"/>
  <c r="G21" i="34"/>
  <c r="F21" i="34"/>
  <c r="E21" i="34"/>
  <c r="D21" i="34"/>
  <c r="C21" i="34"/>
  <c r="B21" i="34"/>
  <c r="N20" i="34"/>
  <c r="M20" i="34"/>
  <c r="J20" i="34"/>
  <c r="I20" i="34"/>
  <c r="H20" i="34"/>
  <c r="G20" i="34"/>
  <c r="E20" i="34"/>
  <c r="D20" i="34"/>
  <c r="C20" i="34"/>
  <c r="B20" i="34"/>
  <c r="N19" i="34"/>
  <c r="M19" i="34"/>
  <c r="K19" i="34"/>
  <c r="J19" i="34"/>
  <c r="I19" i="34"/>
  <c r="H19" i="34"/>
  <c r="G19" i="34"/>
  <c r="F19" i="34"/>
  <c r="E19" i="34"/>
  <c r="D19" i="34"/>
  <c r="C19" i="34"/>
  <c r="B19" i="34"/>
  <c r="N18" i="34"/>
  <c r="M18" i="34"/>
  <c r="K18" i="34"/>
  <c r="J18" i="34"/>
  <c r="H18" i="34"/>
  <c r="G18" i="34"/>
  <c r="F18" i="34"/>
  <c r="E18" i="34"/>
  <c r="D18" i="34"/>
  <c r="C18" i="34"/>
  <c r="B18" i="34"/>
  <c r="N17" i="34"/>
  <c r="M17" i="34"/>
  <c r="K17" i="34"/>
  <c r="J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N198" i="33"/>
  <c r="O198" i="33" s="1"/>
  <c r="L198" i="33"/>
  <c r="K198" i="33"/>
  <c r="H198" i="33"/>
  <c r="I198" i="33" s="1"/>
  <c r="F198" i="33"/>
  <c r="E198" i="33"/>
  <c r="N197" i="33"/>
  <c r="O197" i="33" s="1"/>
  <c r="K197" i="33"/>
  <c r="L197" i="33" s="1"/>
  <c r="H197" i="33"/>
  <c r="I197" i="33" s="1"/>
  <c r="F197" i="33"/>
  <c r="E197" i="33"/>
  <c r="N196" i="33"/>
  <c r="O196" i="33" s="1"/>
  <c r="K196" i="33"/>
  <c r="L196" i="33" s="1"/>
  <c r="H196" i="33"/>
  <c r="I196" i="33" s="1"/>
  <c r="F196" i="33"/>
  <c r="E196" i="33"/>
  <c r="N195" i="33"/>
  <c r="O195" i="33" s="1"/>
  <c r="L195" i="33"/>
  <c r="K195" i="33"/>
  <c r="H195" i="33"/>
  <c r="I195" i="33" s="1"/>
  <c r="F195" i="33"/>
  <c r="E195" i="33"/>
  <c r="O194" i="33"/>
  <c r="N194" i="33"/>
  <c r="L194" i="33"/>
  <c r="K194" i="33"/>
  <c r="H194" i="33"/>
  <c r="I194" i="33" s="1"/>
  <c r="F194" i="33"/>
  <c r="E194" i="33"/>
  <c r="N193" i="33"/>
  <c r="O193" i="33" s="1"/>
  <c r="K193" i="33"/>
  <c r="L193" i="33" s="1"/>
  <c r="H193" i="33"/>
  <c r="I193" i="33" s="1"/>
  <c r="F193" i="33"/>
  <c r="E193" i="33"/>
  <c r="N192" i="33"/>
  <c r="O192" i="33" s="1"/>
  <c r="K192" i="33"/>
  <c r="L192" i="33" s="1"/>
  <c r="H192" i="33"/>
  <c r="I192" i="33" s="1"/>
  <c r="F192" i="33"/>
  <c r="E192" i="33"/>
  <c r="N191" i="33"/>
  <c r="O191" i="33" s="1"/>
  <c r="K191" i="33"/>
  <c r="L191" i="33" s="1"/>
  <c r="H191" i="33"/>
  <c r="I191" i="33" s="1"/>
  <c r="F191" i="33"/>
  <c r="E191" i="33"/>
  <c r="N190" i="33"/>
  <c r="O190" i="33" s="1"/>
  <c r="L190" i="33"/>
  <c r="K190" i="33"/>
  <c r="H190" i="33"/>
  <c r="I190" i="33" s="1"/>
  <c r="F190" i="33"/>
  <c r="E190" i="33"/>
  <c r="O189" i="33"/>
  <c r="N189" i="33"/>
  <c r="K189" i="33"/>
  <c r="L189" i="33" s="1"/>
  <c r="H189" i="33"/>
  <c r="I189" i="33" s="1"/>
  <c r="F189" i="33"/>
  <c r="E189" i="33"/>
  <c r="N188" i="33"/>
  <c r="O188" i="33" s="1"/>
  <c r="K188" i="33"/>
  <c r="L188" i="33" s="1"/>
  <c r="H188" i="33"/>
  <c r="I188" i="33" s="1"/>
  <c r="F188" i="33"/>
  <c r="E188" i="33"/>
  <c r="O187" i="33"/>
  <c r="N187" i="33"/>
  <c r="K187" i="33"/>
  <c r="L187" i="33" s="1"/>
  <c r="H187" i="33"/>
  <c r="I187" i="33" s="1"/>
  <c r="F187" i="33"/>
  <c r="E187" i="33"/>
  <c r="N186" i="33"/>
  <c r="O186" i="33" s="1"/>
  <c r="L186" i="33"/>
  <c r="K186" i="33"/>
  <c r="H186" i="33"/>
  <c r="I186" i="33" s="1"/>
  <c r="F186" i="33"/>
  <c r="E186" i="33"/>
  <c r="N185" i="33"/>
  <c r="O185" i="33" s="1"/>
  <c r="K185" i="33"/>
  <c r="L185" i="33" s="1"/>
  <c r="H185" i="33"/>
  <c r="I185" i="33" s="1"/>
  <c r="F185" i="33"/>
  <c r="E185" i="33"/>
  <c r="N184" i="33"/>
  <c r="O184" i="33" s="1"/>
  <c r="K184" i="33"/>
  <c r="L184" i="33" s="1"/>
  <c r="H184" i="33"/>
  <c r="I184" i="33" s="1"/>
  <c r="F184" i="33"/>
  <c r="E184" i="33"/>
  <c r="N183" i="33"/>
  <c r="O183" i="33" s="1"/>
  <c r="K183" i="33"/>
  <c r="L183" i="33" s="1"/>
  <c r="H183" i="33"/>
  <c r="I183" i="33" s="1"/>
  <c r="F183" i="33"/>
  <c r="E183" i="33"/>
  <c r="N182" i="33"/>
  <c r="O182" i="33" s="1"/>
  <c r="L182" i="33"/>
  <c r="K182" i="33"/>
  <c r="H182" i="33"/>
  <c r="I182" i="33" s="1"/>
  <c r="F182" i="33"/>
  <c r="E182" i="33"/>
  <c r="N181" i="33"/>
  <c r="O181" i="33" s="1"/>
  <c r="K181" i="33"/>
  <c r="L181" i="33" s="1"/>
  <c r="H181" i="33"/>
  <c r="I181" i="33" s="1"/>
  <c r="F181" i="33"/>
  <c r="E181" i="33"/>
  <c r="O180" i="33"/>
  <c r="N180" i="33"/>
  <c r="K180" i="33"/>
  <c r="L180" i="33" s="1"/>
  <c r="H180" i="33"/>
  <c r="I180" i="33" s="1"/>
  <c r="F180" i="33"/>
  <c r="E180" i="33"/>
  <c r="N179" i="33"/>
  <c r="O179" i="33" s="1"/>
  <c r="O199" i="33" s="1"/>
  <c r="K179" i="33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O171" i="33"/>
  <c r="N171" i="33"/>
  <c r="L171" i="33"/>
  <c r="K171" i="33"/>
  <c r="H171" i="33"/>
  <c r="I171" i="33" s="1"/>
  <c r="F171" i="33"/>
  <c r="E171" i="33"/>
  <c r="N170" i="33"/>
  <c r="O170" i="33" s="1"/>
  <c r="K170" i="33"/>
  <c r="L170" i="33" s="1"/>
  <c r="H170" i="33"/>
  <c r="I170" i="33" s="1"/>
  <c r="F170" i="33"/>
  <c r="E170" i="33"/>
  <c r="N169" i="33"/>
  <c r="O169" i="33" s="1"/>
  <c r="K169" i="33"/>
  <c r="L169" i="33" s="1"/>
  <c r="H169" i="33"/>
  <c r="I169" i="33" s="1"/>
  <c r="F169" i="33"/>
  <c r="E169" i="33"/>
  <c r="N168" i="33"/>
  <c r="O168" i="33" s="1"/>
  <c r="K168" i="33"/>
  <c r="L168" i="33" s="1"/>
  <c r="H168" i="33"/>
  <c r="I168" i="33" s="1"/>
  <c r="F168" i="33"/>
  <c r="E168" i="33"/>
  <c r="N167" i="33"/>
  <c r="O167" i="33" s="1"/>
  <c r="L167" i="33"/>
  <c r="K167" i="33"/>
  <c r="H167" i="33"/>
  <c r="I167" i="33" s="1"/>
  <c r="F167" i="33"/>
  <c r="E167" i="33"/>
  <c r="O166" i="33"/>
  <c r="N166" i="33"/>
  <c r="K166" i="33"/>
  <c r="L166" i="33" s="1"/>
  <c r="H166" i="33"/>
  <c r="I166" i="33" s="1"/>
  <c r="F166" i="33"/>
  <c r="E166" i="33"/>
  <c r="N165" i="33"/>
  <c r="O165" i="33" s="1"/>
  <c r="K165" i="33"/>
  <c r="L165" i="33" s="1"/>
  <c r="H165" i="33"/>
  <c r="I165" i="33" s="1"/>
  <c r="F165" i="33"/>
  <c r="E165" i="33"/>
  <c r="O164" i="33"/>
  <c r="N164" i="33"/>
  <c r="K164" i="33"/>
  <c r="L164" i="33" s="1"/>
  <c r="H164" i="33"/>
  <c r="I164" i="33" s="1"/>
  <c r="F164" i="33"/>
  <c r="E164" i="33"/>
  <c r="N163" i="33"/>
  <c r="O163" i="33" s="1"/>
  <c r="L163" i="33"/>
  <c r="K163" i="33"/>
  <c r="H163" i="33"/>
  <c r="I163" i="33" s="1"/>
  <c r="F163" i="33"/>
  <c r="E163" i="33"/>
  <c r="N162" i="33"/>
  <c r="O162" i="33" s="1"/>
  <c r="O19" i="33" s="1"/>
  <c r="K162" i="33"/>
  <c r="L162" i="33" s="1"/>
  <c r="L19" i="33" s="1"/>
  <c r="H162" i="33"/>
  <c r="I162" i="33" s="1"/>
  <c r="I19" i="33" s="1"/>
  <c r="F162" i="33"/>
  <c r="E162" i="33"/>
  <c r="N161" i="33"/>
  <c r="O161" i="33" s="1"/>
  <c r="K161" i="33"/>
  <c r="L161" i="33" s="1"/>
  <c r="H161" i="33"/>
  <c r="I161" i="33" s="1"/>
  <c r="F161" i="33"/>
  <c r="E161" i="33"/>
  <c r="N160" i="33"/>
  <c r="O160" i="33" s="1"/>
  <c r="L160" i="33"/>
  <c r="K160" i="33"/>
  <c r="H160" i="33"/>
  <c r="I160" i="33" s="1"/>
  <c r="F160" i="33"/>
  <c r="E160" i="33"/>
  <c r="O159" i="33"/>
  <c r="N159" i="33"/>
  <c r="L159" i="33"/>
  <c r="K159" i="33"/>
  <c r="H159" i="33"/>
  <c r="I159" i="33" s="1"/>
  <c r="F159" i="33"/>
  <c r="E159" i="33"/>
  <c r="N158" i="33"/>
  <c r="O158" i="33" s="1"/>
  <c r="K158" i="33"/>
  <c r="L158" i="33" s="1"/>
  <c r="H158" i="33"/>
  <c r="I158" i="33" s="1"/>
  <c r="F158" i="33"/>
  <c r="E158" i="33"/>
  <c r="N157" i="33"/>
  <c r="O157" i="33" s="1"/>
  <c r="K157" i="33"/>
  <c r="L157" i="33" s="1"/>
  <c r="H157" i="33"/>
  <c r="I157" i="33" s="1"/>
  <c r="F157" i="33"/>
  <c r="E157" i="33"/>
  <c r="N156" i="33"/>
  <c r="O156" i="33" s="1"/>
  <c r="L156" i="33"/>
  <c r="K156" i="33"/>
  <c r="H156" i="33"/>
  <c r="I156" i="33" s="1"/>
  <c r="F156" i="33"/>
  <c r="E156" i="33"/>
  <c r="N155" i="33"/>
  <c r="O155" i="33" s="1"/>
  <c r="L155" i="33"/>
  <c r="K155" i="33"/>
  <c r="H155" i="33"/>
  <c r="I155" i="33" s="1"/>
  <c r="F155" i="33"/>
  <c r="E155" i="33"/>
  <c r="N154" i="33"/>
  <c r="O154" i="33" s="1"/>
  <c r="K154" i="33"/>
  <c r="L154" i="33" s="1"/>
  <c r="H154" i="33"/>
  <c r="I154" i="33" s="1"/>
  <c r="F154" i="33"/>
  <c r="E154" i="33"/>
  <c r="N153" i="33"/>
  <c r="O153" i="33" s="1"/>
  <c r="K153" i="33"/>
  <c r="L153" i="33" s="1"/>
  <c r="H153" i="33"/>
  <c r="I153" i="33" s="1"/>
  <c r="F153" i="33"/>
  <c r="E153" i="33"/>
  <c r="N152" i="33"/>
  <c r="L152" i="33"/>
  <c r="K152" i="33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H144" i="33"/>
  <c r="I144" i="33" s="1"/>
  <c r="F144" i="33"/>
  <c r="E144" i="33"/>
  <c r="N143" i="33"/>
  <c r="O143" i="33" s="1"/>
  <c r="K143" i="33"/>
  <c r="L143" i="33" s="1"/>
  <c r="H143" i="33"/>
  <c r="I143" i="33" s="1"/>
  <c r="F143" i="33"/>
  <c r="E143" i="33"/>
  <c r="O142" i="33"/>
  <c r="N142" i="33"/>
  <c r="K142" i="33"/>
  <c r="L142" i="33" s="1"/>
  <c r="H142" i="33"/>
  <c r="I142" i="33" s="1"/>
  <c r="F142" i="33"/>
  <c r="E142" i="33"/>
  <c r="N141" i="33"/>
  <c r="O141" i="33" s="1"/>
  <c r="L141" i="33"/>
  <c r="K141" i="33"/>
  <c r="H141" i="33"/>
  <c r="I141" i="33" s="1"/>
  <c r="F141" i="33"/>
  <c r="E141" i="33"/>
  <c r="N140" i="33"/>
  <c r="O140" i="33" s="1"/>
  <c r="O18" i="33" s="1"/>
  <c r="L140" i="33"/>
  <c r="K140" i="33"/>
  <c r="H140" i="33"/>
  <c r="I140" i="33" s="1"/>
  <c r="I18" i="33" s="1"/>
  <c r="F140" i="33"/>
  <c r="E140" i="33"/>
  <c r="N139" i="33"/>
  <c r="O139" i="33" s="1"/>
  <c r="K139" i="33"/>
  <c r="L139" i="33" s="1"/>
  <c r="H139" i="33"/>
  <c r="I139" i="33" s="1"/>
  <c r="F139" i="33"/>
  <c r="E139" i="33"/>
  <c r="N138" i="33"/>
  <c r="O138" i="33" s="1"/>
  <c r="L138" i="33"/>
  <c r="K138" i="33"/>
  <c r="H138" i="33"/>
  <c r="I138" i="33" s="1"/>
  <c r="F138" i="33"/>
  <c r="E138" i="33"/>
  <c r="N137" i="33"/>
  <c r="O137" i="33" s="1"/>
  <c r="L137" i="33"/>
  <c r="K137" i="33"/>
  <c r="H137" i="33"/>
  <c r="I137" i="33" s="1"/>
  <c r="F137" i="33"/>
  <c r="E137" i="33"/>
  <c r="N136" i="33"/>
  <c r="O136" i="33" s="1"/>
  <c r="L136" i="33"/>
  <c r="K136" i="33"/>
  <c r="H136" i="33"/>
  <c r="I136" i="33" s="1"/>
  <c r="F136" i="33"/>
  <c r="E136" i="33"/>
  <c r="O135" i="33"/>
  <c r="N135" i="33"/>
  <c r="K135" i="33"/>
  <c r="L135" i="33" s="1"/>
  <c r="H135" i="33"/>
  <c r="I135" i="33" s="1"/>
  <c r="F135" i="33"/>
  <c r="E135" i="33"/>
  <c r="N134" i="33"/>
  <c r="O134" i="33" s="1"/>
  <c r="L134" i="33"/>
  <c r="K134" i="33"/>
  <c r="H134" i="33"/>
  <c r="I134" i="33" s="1"/>
  <c r="F134" i="33"/>
  <c r="E134" i="33"/>
  <c r="N133" i="33"/>
  <c r="O133" i="33" s="1"/>
  <c r="L133" i="33"/>
  <c r="K133" i="33"/>
  <c r="H133" i="33"/>
  <c r="I133" i="33" s="1"/>
  <c r="F133" i="33"/>
  <c r="E133" i="33"/>
  <c r="O132" i="33"/>
  <c r="N132" i="33"/>
  <c r="L132" i="33"/>
  <c r="K132" i="33"/>
  <c r="H132" i="33"/>
  <c r="I132" i="33" s="1"/>
  <c r="F132" i="33"/>
  <c r="E132" i="33"/>
  <c r="N131" i="33"/>
  <c r="O131" i="33" s="1"/>
  <c r="K131" i="33"/>
  <c r="L131" i="33" s="1"/>
  <c r="H131" i="33"/>
  <c r="I131" i="33" s="1"/>
  <c r="F131" i="33"/>
  <c r="E131" i="33"/>
  <c r="N130" i="33"/>
  <c r="O130" i="33" s="1"/>
  <c r="L130" i="33"/>
  <c r="K130" i="33"/>
  <c r="H130" i="33"/>
  <c r="I130" i="33" s="1"/>
  <c r="F130" i="33"/>
  <c r="E130" i="33"/>
  <c r="O129" i="33"/>
  <c r="N129" i="33"/>
  <c r="L129" i="33"/>
  <c r="K129" i="33"/>
  <c r="H129" i="33"/>
  <c r="I129" i="33" s="1"/>
  <c r="F129" i="33"/>
  <c r="E129" i="33"/>
  <c r="N128" i="33"/>
  <c r="O128" i="33" s="1"/>
  <c r="L128" i="33"/>
  <c r="K128" i="33"/>
  <c r="H128" i="33"/>
  <c r="I128" i="33" s="1"/>
  <c r="F128" i="33"/>
  <c r="E128" i="33"/>
  <c r="N127" i="33"/>
  <c r="O127" i="33" s="1"/>
  <c r="K127" i="33"/>
  <c r="L127" i="33" s="1"/>
  <c r="H127" i="33"/>
  <c r="I127" i="33" s="1"/>
  <c r="F127" i="33"/>
  <c r="E127" i="33"/>
  <c r="O126" i="33"/>
  <c r="N126" i="33"/>
  <c r="L126" i="33"/>
  <c r="K126" i="33"/>
  <c r="H126" i="33"/>
  <c r="I126" i="33" s="1"/>
  <c r="F126" i="33"/>
  <c r="E126" i="33"/>
  <c r="N125" i="33"/>
  <c r="N145" i="33" s="1"/>
  <c r="L125" i="33"/>
  <c r="K125" i="33"/>
  <c r="H125" i="33"/>
  <c r="H145" i="33" s="1"/>
  <c r="F125" i="33"/>
  <c r="F145" i="33" s="1"/>
  <c r="E125" i="33"/>
  <c r="E145" i="33" s="1"/>
  <c r="M123" i="33"/>
  <c r="J123" i="33"/>
  <c r="G123" i="33"/>
  <c r="D123" i="33"/>
  <c r="B123" i="33"/>
  <c r="M122" i="33"/>
  <c r="G122" i="33"/>
  <c r="B118" i="33"/>
  <c r="N117" i="33"/>
  <c r="O117" i="33" s="1"/>
  <c r="L117" i="33"/>
  <c r="K117" i="33"/>
  <c r="I117" i="33"/>
  <c r="H117" i="33"/>
  <c r="F117" i="33"/>
  <c r="E117" i="33"/>
  <c r="N116" i="33"/>
  <c r="O116" i="33" s="1"/>
  <c r="L116" i="33"/>
  <c r="K116" i="33"/>
  <c r="I116" i="33"/>
  <c r="H116" i="33"/>
  <c r="F116" i="33"/>
  <c r="E116" i="33"/>
  <c r="N115" i="33"/>
  <c r="O115" i="33" s="1"/>
  <c r="L115" i="33"/>
  <c r="K115" i="33"/>
  <c r="I115" i="33"/>
  <c r="H115" i="33"/>
  <c r="F115" i="33"/>
  <c r="E115" i="33"/>
  <c r="N114" i="33"/>
  <c r="O114" i="33" s="1"/>
  <c r="L114" i="33"/>
  <c r="K114" i="33"/>
  <c r="I114" i="33"/>
  <c r="H114" i="33"/>
  <c r="F114" i="33"/>
  <c r="E114" i="33"/>
  <c r="N113" i="33"/>
  <c r="O113" i="33" s="1"/>
  <c r="L113" i="33"/>
  <c r="K113" i="33"/>
  <c r="I113" i="33"/>
  <c r="H113" i="33"/>
  <c r="F113" i="33"/>
  <c r="E113" i="33"/>
  <c r="N112" i="33"/>
  <c r="O112" i="33" s="1"/>
  <c r="O31" i="33" s="1"/>
  <c r="L112" i="33"/>
  <c r="L31" i="33" s="1"/>
  <c r="K112" i="33"/>
  <c r="I112" i="33"/>
  <c r="H112" i="33"/>
  <c r="F112" i="33"/>
  <c r="E112" i="33"/>
  <c r="N111" i="33"/>
  <c r="O111" i="33" s="1"/>
  <c r="L111" i="33"/>
  <c r="K111" i="33"/>
  <c r="I111" i="33"/>
  <c r="H111" i="33"/>
  <c r="F111" i="33"/>
  <c r="E111" i="33"/>
  <c r="N110" i="33"/>
  <c r="O110" i="33" s="1"/>
  <c r="O29" i="33" s="1"/>
  <c r="L110" i="33"/>
  <c r="L29" i="33" s="1"/>
  <c r="K110" i="33"/>
  <c r="I110" i="33"/>
  <c r="H110" i="33"/>
  <c r="F110" i="33"/>
  <c r="F29" i="33" s="1"/>
  <c r="E110" i="33"/>
  <c r="N109" i="33"/>
  <c r="O109" i="33" s="1"/>
  <c r="L109" i="33"/>
  <c r="K109" i="33"/>
  <c r="I109" i="33"/>
  <c r="H109" i="33"/>
  <c r="F109" i="33"/>
  <c r="E109" i="33"/>
  <c r="N108" i="33"/>
  <c r="O108" i="33" s="1"/>
  <c r="O27" i="33" s="1"/>
  <c r="L108" i="33"/>
  <c r="K108" i="33"/>
  <c r="I108" i="33"/>
  <c r="H108" i="33"/>
  <c r="F108" i="33"/>
  <c r="E108" i="33"/>
  <c r="N107" i="33"/>
  <c r="O107" i="33" s="1"/>
  <c r="O26" i="33" s="1"/>
  <c r="L107" i="33"/>
  <c r="L26" i="33" s="1"/>
  <c r="K107" i="33"/>
  <c r="I107" i="33"/>
  <c r="H107" i="33"/>
  <c r="F107" i="33"/>
  <c r="E107" i="33"/>
  <c r="N106" i="33"/>
  <c r="O106" i="33" s="1"/>
  <c r="O25" i="33" s="1"/>
  <c r="L106" i="33"/>
  <c r="K106" i="33"/>
  <c r="I106" i="33"/>
  <c r="H106" i="33"/>
  <c r="F106" i="33"/>
  <c r="E106" i="33"/>
  <c r="N105" i="33"/>
  <c r="O105" i="33" s="1"/>
  <c r="L105" i="33"/>
  <c r="K105" i="33"/>
  <c r="I105" i="33"/>
  <c r="H105" i="33"/>
  <c r="F105" i="33"/>
  <c r="E105" i="33"/>
  <c r="N104" i="33"/>
  <c r="O104" i="33" s="1"/>
  <c r="L104" i="33"/>
  <c r="K104" i="33"/>
  <c r="I104" i="33"/>
  <c r="H104" i="33"/>
  <c r="F104" i="33"/>
  <c r="E104" i="33"/>
  <c r="N103" i="33"/>
  <c r="O103" i="33" s="1"/>
  <c r="O22" i="33" s="1"/>
  <c r="L103" i="33"/>
  <c r="K103" i="33"/>
  <c r="I103" i="33"/>
  <c r="H103" i="33"/>
  <c r="F103" i="33"/>
  <c r="E103" i="33"/>
  <c r="N102" i="33"/>
  <c r="O102" i="33" s="1"/>
  <c r="L102" i="33"/>
  <c r="K102" i="33"/>
  <c r="I102" i="33"/>
  <c r="H102" i="33"/>
  <c r="F102" i="33"/>
  <c r="E102" i="33"/>
  <c r="N101" i="33"/>
  <c r="O101" i="33" s="1"/>
  <c r="L101" i="33"/>
  <c r="K101" i="33"/>
  <c r="I101" i="33"/>
  <c r="H101" i="33"/>
  <c r="F101" i="33"/>
  <c r="E101" i="33"/>
  <c r="N100" i="33"/>
  <c r="O100" i="33" s="1"/>
  <c r="L100" i="33"/>
  <c r="K100" i="33"/>
  <c r="I100" i="33"/>
  <c r="H100" i="33"/>
  <c r="F100" i="33"/>
  <c r="E100" i="33"/>
  <c r="N99" i="33"/>
  <c r="O99" i="33" s="1"/>
  <c r="L99" i="33"/>
  <c r="K99" i="33"/>
  <c r="I99" i="33"/>
  <c r="H99" i="33"/>
  <c r="F99" i="33"/>
  <c r="E99" i="33"/>
  <c r="N98" i="33"/>
  <c r="N118" i="33" s="1"/>
  <c r="L98" i="33"/>
  <c r="L118" i="33" s="1"/>
  <c r="K98" i="33"/>
  <c r="K118" i="33" s="1"/>
  <c r="I98" i="33"/>
  <c r="I118" i="33" s="1"/>
  <c r="H98" i="33"/>
  <c r="H118" i="33" s="1"/>
  <c r="F98" i="33"/>
  <c r="F118" i="33" s="1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L90" i="33"/>
  <c r="K90" i="33"/>
  <c r="I90" i="33"/>
  <c r="H90" i="33"/>
  <c r="F90" i="33"/>
  <c r="E90" i="33"/>
  <c r="N89" i="33"/>
  <c r="O89" i="33" s="1"/>
  <c r="L89" i="33"/>
  <c r="K89" i="33"/>
  <c r="I89" i="33"/>
  <c r="H89" i="33"/>
  <c r="F89" i="33"/>
  <c r="E89" i="33"/>
  <c r="N88" i="33"/>
  <c r="O88" i="33" s="1"/>
  <c r="O21" i="33" s="1"/>
  <c r="L88" i="33"/>
  <c r="K88" i="33"/>
  <c r="I88" i="33"/>
  <c r="H88" i="33"/>
  <c r="F88" i="33"/>
  <c r="E88" i="33"/>
  <c r="N87" i="33"/>
  <c r="O87" i="33" s="1"/>
  <c r="L87" i="33"/>
  <c r="K87" i="33"/>
  <c r="I87" i="33"/>
  <c r="H87" i="33"/>
  <c r="F87" i="33"/>
  <c r="E87" i="33"/>
  <c r="N86" i="33"/>
  <c r="O86" i="33" s="1"/>
  <c r="L86" i="33"/>
  <c r="K86" i="33"/>
  <c r="I86" i="33"/>
  <c r="H86" i="33"/>
  <c r="F86" i="33"/>
  <c r="E86" i="33"/>
  <c r="N85" i="33"/>
  <c r="O85" i="33" s="1"/>
  <c r="L85" i="33"/>
  <c r="K85" i="33"/>
  <c r="I85" i="33"/>
  <c r="H85" i="33"/>
  <c r="F85" i="33"/>
  <c r="E85" i="33"/>
  <c r="N84" i="33"/>
  <c r="O84" i="33" s="1"/>
  <c r="L84" i="33"/>
  <c r="K84" i="33"/>
  <c r="I84" i="33"/>
  <c r="H84" i="33"/>
  <c r="F84" i="33"/>
  <c r="E84" i="33"/>
  <c r="N83" i="33"/>
  <c r="O83" i="33" s="1"/>
  <c r="L83" i="33"/>
  <c r="K83" i="33"/>
  <c r="I83" i="33"/>
  <c r="H83" i="33"/>
  <c r="F83" i="33"/>
  <c r="E83" i="33"/>
  <c r="N82" i="33"/>
  <c r="O82" i="33" s="1"/>
  <c r="L82" i="33"/>
  <c r="K82" i="33"/>
  <c r="I82" i="33"/>
  <c r="H82" i="33"/>
  <c r="F82" i="33"/>
  <c r="E82" i="33"/>
  <c r="N81" i="33"/>
  <c r="O81" i="33" s="1"/>
  <c r="L81" i="33"/>
  <c r="K81" i="33"/>
  <c r="I81" i="33"/>
  <c r="H81" i="33"/>
  <c r="F81" i="33"/>
  <c r="E81" i="33"/>
  <c r="N80" i="33"/>
  <c r="O80" i="33" s="1"/>
  <c r="L80" i="33"/>
  <c r="K80" i="33"/>
  <c r="I80" i="33"/>
  <c r="H80" i="33"/>
  <c r="F80" i="33"/>
  <c r="E80" i="33"/>
  <c r="N79" i="33"/>
  <c r="O79" i="33" s="1"/>
  <c r="L79" i="33"/>
  <c r="K79" i="33"/>
  <c r="I79" i="33"/>
  <c r="H79" i="33"/>
  <c r="F79" i="33"/>
  <c r="E79" i="33"/>
  <c r="N78" i="33"/>
  <c r="O78" i="33" s="1"/>
  <c r="L78" i="33"/>
  <c r="K78" i="33"/>
  <c r="I78" i="33"/>
  <c r="H78" i="33"/>
  <c r="F78" i="33"/>
  <c r="E78" i="33"/>
  <c r="N77" i="33"/>
  <c r="O77" i="33" s="1"/>
  <c r="L77" i="33"/>
  <c r="K77" i="33"/>
  <c r="I77" i="33"/>
  <c r="H77" i="33"/>
  <c r="F77" i="33"/>
  <c r="E77" i="33"/>
  <c r="N76" i="33"/>
  <c r="O76" i="33" s="1"/>
  <c r="O20" i="33" s="1"/>
  <c r="L76" i="33"/>
  <c r="K76" i="33"/>
  <c r="I76" i="33"/>
  <c r="H76" i="33"/>
  <c r="F76" i="33"/>
  <c r="E76" i="33"/>
  <c r="N75" i="33"/>
  <c r="O75" i="33" s="1"/>
  <c r="O30" i="33" s="1"/>
  <c r="L75" i="33"/>
  <c r="L30" i="33" s="1"/>
  <c r="K75" i="33"/>
  <c r="I75" i="33"/>
  <c r="H75" i="33"/>
  <c r="F75" i="33"/>
  <c r="F30" i="33" s="1"/>
  <c r="E75" i="33"/>
  <c r="N74" i="33"/>
  <c r="O74" i="33" s="1"/>
  <c r="O28" i="33" s="1"/>
  <c r="L74" i="33"/>
  <c r="L28" i="33" s="1"/>
  <c r="K74" i="33"/>
  <c r="I74" i="33"/>
  <c r="H74" i="33"/>
  <c r="F74" i="33"/>
  <c r="F28" i="33" s="1"/>
  <c r="E74" i="33"/>
  <c r="N73" i="33"/>
  <c r="O73" i="33" s="1"/>
  <c r="O24" i="33" s="1"/>
  <c r="L73" i="33"/>
  <c r="K73" i="33"/>
  <c r="I73" i="33"/>
  <c r="H73" i="33"/>
  <c r="F73" i="33"/>
  <c r="E73" i="33"/>
  <c r="N72" i="33"/>
  <c r="O72" i="33" s="1"/>
  <c r="L72" i="33"/>
  <c r="K72" i="33"/>
  <c r="I72" i="33"/>
  <c r="H72" i="33"/>
  <c r="F72" i="33"/>
  <c r="E72" i="33"/>
  <c r="N71" i="33"/>
  <c r="N91" i="33" s="1"/>
  <c r="L71" i="33"/>
  <c r="L91" i="33" s="1"/>
  <c r="K71" i="33"/>
  <c r="K91" i="33" s="1"/>
  <c r="I71" i="33"/>
  <c r="I91" i="33" s="1"/>
  <c r="H71" i="33"/>
  <c r="H91" i="33" s="1"/>
  <c r="F71" i="33"/>
  <c r="F91" i="33" s="1"/>
  <c r="E71" i="33"/>
  <c r="E91" i="33" s="1"/>
  <c r="M69" i="33"/>
  <c r="J69" i="33"/>
  <c r="G69" i="33"/>
  <c r="D69" i="33"/>
  <c r="B69" i="33"/>
  <c r="M68" i="33"/>
  <c r="G68" i="33"/>
  <c r="B64" i="33"/>
  <c r="N63" i="33"/>
  <c r="O63" i="33" s="1"/>
  <c r="L63" i="33"/>
  <c r="K63" i="33"/>
  <c r="H63" i="33"/>
  <c r="I63" i="33" s="1"/>
  <c r="F63" i="33"/>
  <c r="E63" i="33"/>
  <c r="N62" i="33"/>
  <c r="O62" i="33" s="1"/>
  <c r="K62" i="33"/>
  <c r="L62" i="33" s="1"/>
  <c r="H62" i="33"/>
  <c r="I62" i="33" s="1"/>
  <c r="F62" i="33"/>
  <c r="E62" i="33"/>
  <c r="N61" i="33"/>
  <c r="O61" i="33" s="1"/>
  <c r="L61" i="33"/>
  <c r="K61" i="33"/>
  <c r="H61" i="33"/>
  <c r="I61" i="33" s="1"/>
  <c r="F61" i="33"/>
  <c r="E61" i="33"/>
  <c r="N60" i="33"/>
  <c r="O60" i="33" s="1"/>
  <c r="L60" i="33"/>
  <c r="K60" i="33"/>
  <c r="H60" i="33"/>
  <c r="I60" i="33" s="1"/>
  <c r="F60" i="33"/>
  <c r="E60" i="33"/>
  <c r="N59" i="33"/>
  <c r="O59" i="33" s="1"/>
  <c r="L59" i="33"/>
  <c r="K59" i="33"/>
  <c r="H59" i="33"/>
  <c r="I59" i="33" s="1"/>
  <c r="F59" i="33"/>
  <c r="E59" i="33"/>
  <c r="O58" i="33"/>
  <c r="N58" i="33"/>
  <c r="K58" i="33"/>
  <c r="L58" i="33" s="1"/>
  <c r="H58" i="33"/>
  <c r="I58" i="33" s="1"/>
  <c r="F58" i="33"/>
  <c r="E58" i="33"/>
  <c r="N57" i="33"/>
  <c r="O57" i="33" s="1"/>
  <c r="L57" i="33"/>
  <c r="K57" i="33"/>
  <c r="H57" i="33"/>
  <c r="I57" i="33" s="1"/>
  <c r="F57" i="33"/>
  <c r="E57" i="33"/>
  <c r="N56" i="33"/>
  <c r="O56" i="33" s="1"/>
  <c r="L56" i="33"/>
  <c r="K56" i="33"/>
  <c r="H56" i="33"/>
  <c r="I56" i="33" s="1"/>
  <c r="F56" i="33"/>
  <c r="E56" i="33"/>
  <c r="O55" i="33"/>
  <c r="N55" i="33"/>
  <c r="L55" i="33"/>
  <c r="K55" i="33"/>
  <c r="H55" i="33"/>
  <c r="I55" i="33" s="1"/>
  <c r="F55" i="33"/>
  <c r="E55" i="33"/>
  <c r="N54" i="33"/>
  <c r="O54" i="33" s="1"/>
  <c r="O17" i="33" s="1"/>
  <c r="K54" i="33"/>
  <c r="L54" i="33" s="1"/>
  <c r="L17" i="33" s="1"/>
  <c r="H54" i="33"/>
  <c r="I54" i="33" s="1"/>
  <c r="I17" i="33" s="1"/>
  <c r="F54" i="33"/>
  <c r="E54" i="33"/>
  <c r="O53" i="33"/>
  <c r="N53" i="33"/>
  <c r="L53" i="33"/>
  <c r="K53" i="33"/>
  <c r="H53" i="33"/>
  <c r="I53" i="33" s="1"/>
  <c r="F53" i="33"/>
  <c r="E53" i="33"/>
  <c r="O52" i="33"/>
  <c r="N52" i="33"/>
  <c r="L52" i="33"/>
  <c r="K52" i="33"/>
  <c r="H52" i="33"/>
  <c r="I52" i="33" s="1"/>
  <c r="F52" i="33"/>
  <c r="E52" i="33"/>
  <c r="N51" i="33"/>
  <c r="O51" i="33" s="1"/>
  <c r="L51" i="33"/>
  <c r="K51" i="33"/>
  <c r="H51" i="33"/>
  <c r="I51" i="33" s="1"/>
  <c r="F51" i="33"/>
  <c r="E51" i="33"/>
  <c r="N50" i="33"/>
  <c r="O50" i="33" s="1"/>
  <c r="K50" i="33"/>
  <c r="L50" i="33" s="1"/>
  <c r="H50" i="33"/>
  <c r="I50" i="33" s="1"/>
  <c r="F50" i="33"/>
  <c r="E50" i="33"/>
  <c r="O49" i="33"/>
  <c r="N49" i="33"/>
  <c r="L49" i="33"/>
  <c r="K49" i="33"/>
  <c r="H49" i="33"/>
  <c r="I49" i="33" s="1"/>
  <c r="F49" i="33"/>
  <c r="E49" i="33"/>
  <c r="N48" i="33"/>
  <c r="O48" i="33" s="1"/>
  <c r="L48" i="33"/>
  <c r="K48" i="33"/>
  <c r="H48" i="33"/>
  <c r="I48" i="33" s="1"/>
  <c r="F48" i="33"/>
  <c r="E48" i="33"/>
  <c r="N47" i="33"/>
  <c r="O47" i="33" s="1"/>
  <c r="L47" i="33"/>
  <c r="K47" i="33"/>
  <c r="H47" i="33"/>
  <c r="I47" i="33" s="1"/>
  <c r="F47" i="33"/>
  <c r="E47" i="33"/>
  <c r="O46" i="33"/>
  <c r="N46" i="33"/>
  <c r="K46" i="33"/>
  <c r="L46" i="33" s="1"/>
  <c r="H46" i="33"/>
  <c r="I46" i="33" s="1"/>
  <c r="F46" i="33"/>
  <c r="E46" i="33"/>
  <c r="N45" i="33"/>
  <c r="O45" i="33" s="1"/>
  <c r="L45" i="33"/>
  <c r="K45" i="33"/>
  <c r="H45" i="33"/>
  <c r="I45" i="33" s="1"/>
  <c r="F45" i="33"/>
  <c r="E45" i="33"/>
  <c r="N44" i="33"/>
  <c r="L44" i="33"/>
  <c r="K44" i="33"/>
  <c r="H44" i="33"/>
  <c r="H64" i="33" s="1"/>
  <c r="F44" i="33"/>
  <c r="F64" i="33" s="1"/>
  <c r="E44" i="33"/>
  <c r="E64" i="33" s="1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N31" i="33"/>
  <c r="M31" i="33"/>
  <c r="K31" i="33"/>
  <c r="J31" i="33"/>
  <c r="I31" i="33"/>
  <c r="H31" i="33"/>
  <c r="G31" i="33"/>
  <c r="F31" i="33"/>
  <c r="E31" i="33"/>
  <c r="D31" i="33"/>
  <c r="C31" i="33"/>
  <c r="B31" i="33"/>
  <c r="N30" i="33"/>
  <c r="M30" i="33"/>
  <c r="K30" i="33"/>
  <c r="J30" i="33"/>
  <c r="I30" i="33"/>
  <c r="H30" i="33"/>
  <c r="G30" i="33"/>
  <c r="E30" i="33"/>
  <c r="D30" i="33"/>
  <c r="C30" i="33"/>
  <c r="B30" i="33"/>
  <c r="N29" i="33"/>
  <c r="M29" i="33"/>
  <c r="K29" i="33"/>
  <c r="J29" i="33"/>
  <c r="I29" i="33"/>
  <c r="H29" i="33"/>
  <c r="G29" i="33"/>
  <c r="E29" i="33"/>
  <c r="D29" i="33"/>
  <c r="C29" i="33"/>
  <c r="B29" i="33"/>
  <c r="N28" i="33"/>
  <c r="M28" i="33"/>
  <c r="K28" i="33"/>
  <c r="J28" i="33"/>
  <c r="I28" i="33"/>
  <c r="H28" i="33"/>
  <c r="G28" i="33"/>
  <c r="E28" i="33"/>
  <c r="D28" i="33"/>
  <c r="C28" i="33"/>
  <c r="B28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N26" i="33"/>
  <c r="M26" i="33"/>
  <c r="K26" i="33"/>
  <c r="J26" i="33"/>
  <c r="I26" i="33"/>
  <c r="H26" i="33"/>
  <c r="G26" i="33"/>
  <c r="F26" i="33"/>
  <c r="E26" i="33"/>
  <c r="D26" i="33"/>
  <c r="C26" i="33"/>
  <c r="B26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N23" i="33"/>
  <c r="M23" i="33"/>
  <c r="L23" i="33"/>
  <c r="K23" i="33"/>
  <c r="J23" i="33"/>
  <c r="H23" i="33"/>
  <c r="G23" i="33"/>
  <c r="F23" i="33"/>
  <c r="E23" i="33"/>
  <c r="D23" i="33"/>
  <c r="C23" i="33"/>
  <c r="B23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N19" i="33"/>
  <c r="M19" i="33"/>
  <c r="K19" i="33"/>
  <c r="J19" i="33"/>
  <c r="H19" i="33"/>
  <c r="G19" i="33"/>
  <c r="F19" i="33"/>
  <c r="E19" i="33"/>
  <c r="D19" i="33"/>
  <c r="C19" i="33"/>
  <c r="B19" i="33"/>
  <c r="N18" i="33"/>
  <c r="M18" i="33"/>
  <c r="L18" i="33"/>
  <c r="K18" i="33"/>
  <c r="J18" i="33"/>
  <c r="H18" i="33"/>
  <c r="G18" i="33"/>
  <c r="F18" i="33"/>
  <c r="E18" i="33"/>
  <c r="D18" i="33"/>
  <c r="C18" i="33"/>
  <c r="B18" i="33"/>
  <c r="N17" i="33"/>
  <c r="M17" i="33"/>
  <c r="K17" i="33"/>
  <c r="J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H198" i="32"/>
  <c r="I198" i="32" s="1"/>
  <c r="E198" i="32"/>
  <c r="F198" i="32" s="1"/>
  <c r="N197" i="32"/>
  <c r="O197" i="32" s="1"/>
  <c r="K197" i="32"/>
  <c r="L197" i="32" s="1"/>
  <c r="H197" i="32"/>
  <c r="I197" i="32" s="1"/>
  <c r="E197" i="32"/>
  <c r="F197" i="32" s="1"/>
  <c r="O196" i="32"/>
  <c r="N196" i="32"/>
  <c r="L196" i="32"/>
  <c r="K196" i="32"/>
  <c r="I196" i="32"/>
  <c r="H196" i="32"/>
  <c r="E196" i="32"/>
  <c r="F196" i="32" s="1"/>
  <c r="N195" i="32"/>
  <c r="O195" i="32" s="1"/>
  <c r="K195" i="32"/>
  <c r="L195" i="32" s="1"/>
  <c r="H195" i="32"/>
  <c r="I195" i="32" s="1"/>
  <c r="E195" i="32"/>
  <c r="F195" i="32" s="1"/>
  <c r="O194" i="32"/>
  <c r="N194" i="32"/>
  <c r="L194" i="32"/>
  <c r="K194" i="32"/>
  <c r="H194" i="32"/>
  <c r="I194" i="32" s="1"/>
  <c r="E194" i="32"/>
  <c r="F194" i="32" s="1"/>
  <c r="O193" i="32"/>
  <c r="N193" i="32"/>
  <c r="K193" i="32"/>
  <c r="L193" i="32" s="1"/>
  <c r="H193" i="32"/>
  <c r="I193" i="32" s="1"/>
  <c r="E193" i="32"/>
  <c r="F193" i="32" s="1"/>
  <c r="N192" i="32"/>
  <c r="O192" i="32" s="1"/>
  <c r="L192" i="32"/>
  <c r="K192" i="32"/>
  <c r="I192" i="32"/>
  <c r="H192" i="32"/>
  <c r="E192" i="32"/>
  <c r="F192" i="32" s="1"/>
  <c r="O191" i="32"/>
  <c r="N191" i="32"/>
  <c r="L191" i="32"/>
  <c r="K191" i="32"/>
  <c r="H191" i="32"/>
  <c r="I191" i="32" s="1"/>
  <c r="E191" i="32"/>
  <c r="F191" i="32" s="1"/>
  <c r="O190" i="32"/>
  <c r="N190" i="32"/>
  <c r="K190" i="32"/>
  <c r="L190" i="32" s="1"/>
  <c r="H190" i="32"/>
  <c r="I190" i="32" s="1"/>
  <c r="E190" i="32"/>
  <c r="F190" i="32" s="1"/>
  <c r="N189" i="32"/>
  <c r="O189" i="32" s="1"/>
  <c r="L189" i="32"/>
  <c r="K189" i="32"/>
  <c r="H189" i="32"/>
  <c r="I189" i="32" s="1"/>
  <c r="E189" i="32"/>
  <c r="F189" i="32" s="1"/>
  <c r="N188" i="32"/>
  <c r="O188" i="32" s="1"/>
  <c r="K188" i="32"/>
  <c r="L188" i="32" s="1"/>
  <c r="I188" i="32"/>
  <c r="H188" i="32"/>
  <c r="E188" i="32"/>
  <c r="F188" i="32" s="1"/>
  <c r="N187" i="32"/>
  <c r="O187" i="32" s="1"/>
  <c r="L187" i="32"/>
  <c r="K187" i="32"/>
  <c r="H187" i="32"/>
  <c r="I187" i="32" s="1"/>
  <c r="E187" i="32"/>
  <c r="F187" i="32" s="1"/>
  <c r="N186" i="32"/>
  <c r="O186" i="32" s="1"/>
  <c r="K186" i="32"/>
  <c r="L186" i="32" s="1"/>
  <c r="H186" i="32"/>
  <c r="I186" i="32" s="1"/>
  <c r="E186" i="32"/>
  <c r="F186" i="32" s="1"/>
  <c r="O185" i="32"/>
  <c r="N185" i="32"/>
  <c r="L185" i="32"/>
  <c r="K185" i="32"/>
  <c r="H185" i="32"/>
  <c r="I185" i="32" s="1"/>
  <c r="E185" i="32"/>
  <c r="F185" i="32" s="1"/>
  <c r="O184" i="32"/>
  <c r="N184" i="32"/>
  <c r="K184" i="32"/>
  <c r="L184" i="32" s="1"/>
  <c r="I184" i="32"/>
  <c r="H184" i="32"/>
  <c r="E184" i="32"/>
  <c r="F184" i="32" s="1"/>
  <c r="O183" i="32"/>
  <c r="N183" i="32"/>
  <c r="K183" i="32"/>
  <c r="L183" i="32" s="1"/>
  <c r="H183" i="32"/>
  <c r="I183" i="32" s="1"/>
  <c r="E183" i="32"/>
  <c r="F183" i="32" s="1"/>
  <c r="N182" i="32"/>
  <c r="O182" i="32" s="1"/>
  <c r="L182" i="32"/>
  <c r="K182" i="32"/>
  <c r="H182" i="32"/>
  <c r="I182" i="32" s="1"/>
  <c r="E182" i="32"/>
  <c r="F182" i="32" s="1"/>
  <c r="N181" i="32"/>
  <c r="O181" i="32" s="1"/>
  <c r="K181" i="32"/>
  <c r="L181" i="32" s="1"/>
  <c r="H181" i="32"/>
  <c r="I181" i="32" s="1"/>
  <c r="E181" i="32"/>
  <c r="F181" i="32" s="1"/>
  <c r="O180" i="32"/>
  <c r="N180" i="32"/>
  <c r="L180" i="32"/>
  <c r="K180" i="32"/>
  <c r="I180" i="32"/>
  <c r="H180" i="32"/>
  <c r="E180" i="32"/>
  <c r="F180" i="32" s="1"/>
  <c r="N179" i="32"/>
  <c r="N199" i="32" s="1"/>
  <c r="K179" i="32"/>
  <c r="K199" i="32" s="1"/>
  <c r="H179" i="32"/>
  <c r="H199" i="32" s="1"/>
  <c r="E179" i="32"/>
  <c r="E199" i="32" s="1"/>
  <c r="M177" i="32"/>
  <c r="J177" i="32"/>
  <c r="G177" i="32"/>
  <c r="D177" i="32"/>
  <c r="B177" i="32"/>
  <c r="M176" i="32"/>
  <c r="G176" i="32"/>
  <c r="B172" i="32"/>
  <c r="O171" i="32"/>
  <c r="N171" i="32"/>
  <c r="K171" i="32"/>
  <c r="L171" i="32" s="1"/>
  <c r="H171" i="32"/>
  <c r="I171" i="32" s="1"/>
  <c r="E171" i="32"/>
  <c r="F171" i="32" s="1"/>
  <c r="N170" i="32"/>
  <c r="O170" i="32" s="1"/>
  <c r="K170" i="32"/>
  <c r="L170" i="32" s="1"/>
  <c r="H170" i="32"/>
  <c r="I170" i="32" s="1"/>
  <c r="E170" i="32"/>
  <c r="F170" i="32" s="1"/>
  <c r="N169" i="32"/>
  <c r="O169" i="32" s="1"/>
  <c r="K169" i="32"/>
  <c r="L169" i="32" s="1"/>
  <c r="I169" i="32"/>
  <c r="H169" i="32"/>
  <c r="E169" i="32"/>
  <c r="F169" i="32" s="1"/>
  <c r="O168" i="32"/>
  <c r="N168" i="32"/>
  <c r="L168" i="32"/>
  <c r="K168" i="32"/>
  <c r="H168" i="32"/>
  <c r="I168" i="32" s="1"/>
  <c r="E168" i="32"/>
  <c r="F168" i="32" s="1"/>
  <c r="N167" i="32"/>
  <c r="O167" i="32" s="1"/>
  <c r="O21" i="32" s="1"/>
  <c r="K167" i="32"/>
  <c r="K21" i="32" s="1"/>
  <c r="H167" i="32"/>
  <c r="I167" i="32" s="1"/>
  <c r="I21" i="32" s="1"/>
  <c r="E167" i="32"/>
  <c r="F167" i="32" s="1"/>
  <c r="F21" i="32" s="1"/>
  <c r="N166" i="32"/>
  <c r="O166" i="32" s="1"/>
  <c r="L166" i="32"/>
  <c r="K166" i="32"/>
  <c r="H166" i="32"/>
  <c r="I166" i="32" s="1"/>
  <c r="E166" i="32"/>
  <c r="F166" i="32" s="1"/>
  <c r="N165" i="32"/>
  <c r="O165" i="32" s="1"/>
  <c r="K165" i="32"/>
  <c r="L165" i="32" s="1"/>
  <c r="I165" i="32"/>
  <c r="H165" i="32"/>
  <c r="E165" i="32"/>
  <c r="F165" i="32" s="1"/>
  <c r="N164" i="32"/>
  <c r="O164" i="32" s="1"/>
  <c r="L164" i="32"/>
  <c r="K164" i="32"/>
  <c r="H164" i="32"/>
  <c r="I164" i="32" s="1"/>
  <c r="E164" i="32"/>
  <c r="F164" i="32" s="1"/>
  <c r="N163" i="32"/>
  <c r="O163" i="32" s="1"/>
  <c r="K163" i="32"/>
  <c r="L163" i="32" s="1"/>
  <c r="H163" i="32"/>
  <c r="I163" i="32" s="1"/>
  <c r="E163" i="32"/>
  <c r="F163" i="32" s="1"/>
  <c r="O162" i="32"/>
  <c r="N162" i="32"/>
  <c r="L162" i="32"/>
  <c r="K162" i="32"/>
  <c r="H162" i="32"/>
  <c r="I162" i="32" s="1"/>
  <c r="E162" i="32"/>
  <c r="F162" i="32" s="1"/>
  <c r="O161" i="32"/>
  <c r="N161" i="32"/>
  <c r="K161" i="32"/>
  <c r="L161" i="32" s="1"/>
  <c r="I161" i="32"/>
  <c r="H161" i="32"/>
  <c r="E161" i="32"/>
  <c r="F161" i="32" s="1"/>
  <c r="O160" i="32"/>
  <c r="N160" i="32"/>
  <c r="K160" i="32"/>
  <c r="L160" i="32" s="1"/>
  <c r="H160" i="32"/>
  <c r="I160" i="32" s="1"/>
  <c r="E160" i="32"/>
  <c r="F160" i="32" s="1"/>
  <c r="N159" i="32"/>
  <c r="O159" i="32" s="1"/>
  <c r="L159" i="32"/>
  <c r="K159" i="32"/>
  <c r="H159" i="32"/>
  <c r="I159" i="32" s="1"/>
  <c r="E159" i="32"/>
  <c r="F159" i="32" s="1"/>
  <c r="N158" i="32"/>
  <c r="O158" i="32" s="1"/>
  <c r="K158" i="32"/>
  <c r="L158" i="32" s="1"/>
  <c r="H158" i="32"/>
  <c r="I158" i="32" s="1"/>
  <c r="E158" i="32"/>
  <c r="F158" i="32" s="1"/>
  <c r="O157" i="32"/>
  <c r="N157" i="32"/>
  <c r="L157" i="32"/>
  <c r="K157" i="32"/>
  <c r="I157" i="32"/>
  <c r="H157" i="32"/>
  <c r="E157" i="32"/>
  <c r="F157" i="32" s="1"/>
  <c r="N156" i="32"/>
  <c r="O156" i="32" s="1"/>
  <c r="K156" i="32"/>
  <c r="L156" i="32" s="1"/>
  <c r="H156" i="32"/>
  <c r="I156" i="32" s="1"/>
  <c r="E156" i="32"/>
  <c r="F156" i="32" s="1"/>
  <c r="O155" i="32"/>
  <c r="N155" i="32"/>
  <c r="L155" i="32"/>
  <c r="K155" i="32"/>
  <c r="H155" i="32"/>
  <c r="I155" i="32" s="1"/>
  <c r="E155" i="32"/>
  <c r="F155" i="32" s="1"/>
  <c r="O154" i="32"/>
  <c r="N154" i="32"/>
  <c r="K154" i="32"/>
  <c r="L154" i="32" s="1"/>
  <c r="I154" i="32"/>
  <c r="H154" i="32"/>
  <c r="E154" i="32"/>
  <c r="F154" i="32" s="1"/>
  <c r="O153" i="32"/>
  <c r="N153" i="32"/>
  <c r="K153" i="32"/>
  <c r="L153" i="32" s="1"/>
  <c r="L19" i="32" s="1"/>
  <c r="I153" i="32"/>
  <c r="I19" i="32" s="1"/>
  <c r="H153" i="32"/>
  <c r="E153" i="32"/>
  <c r="F153" i="32" s="1"/>
  <c r="F19" i="32" s="1"/>
  <c r="O152" i="32"/>
  <c r="N152" i="32"/>
  <c r="K152" i="32"/>
  <c r="H152" i="32"/>
  <c r="H172" i="32" s="1"/>
  <c r="E152" i="32"/>
  <c r="E172" i="32" s="1"/>
  <c r="M150" i="32"/>
  <c r="J150" i="32"/>
  <c r="G150" i="32"/>
  <c r="D150" i="32"/>
  <c r="B150" i="32"/>
  <c r="M149" i="32"/>
  <c r="G149" i="32"/>
  <c r="B145" i="32"/>
  <c r="N144" i="32"/>
  <c r="O144" i="32" s="1"/>
  <c r="K144" i="32"/>
  <c r="L144" i="32" s="1"/>
  <c r="I144" i="32"/>
  <c r="H144" i="32"/>
  <c r="E144" i="32"/>
  <c r="F144" i="32" s="1"/>
  <c r="N143" i="32"/>
  <c r="O143" i="32" s="1"/>
  <c r="K143" i="32"/>
  <c r="L143" i="32" s="1"/>
  <c r="H143" i="32"/>
  <c r="I143" i="32" s="1"/>
  <c r="E143" i="32"/>
  <c r="F143" i="32" s="1"/>
  <c r="O142" i="32"/>
  <c r="N142" i="32"/>
  <c r="L142" i="32"/>
  <c r="K142" i="32"/>
  <c r="I142" i="32"/>
  <c r="H142" i="32"/>
  <c r="E142" i="32"/>
  <c r="F142" i="32" s="1"/>
  <c r="N141" i="32"/>
  <c r="O141" i="32" s="1"/>
  <c r="O18" i="32" s="1"/>
  <c r="K141" i="32"/>
  <c r="K18" i="32" s="1"/>
  <c r="H141" i="32"/>
  <c r="H18" i="32" s="1"/>
  <c r="E141" i="32"/>
  <c r="F141" i="32" s="1"/>
  <c r="F18" i="32" s="1"/>
  <c r="O140" i="32"/>
  <c r="N140" i="32"/>
  <c r="L140" i="32"/>
  <c r="K140" i="32"/>
  <c r="I140" i="32"/>
  <c r="H140" i="32"/>
  <c r="E140" i="32"/>
  <c r="F140" i="32" s="1"/>
  <c r="N139" i="32"/>
  <c r="O139" i="32" s="1"/>
  <c r="L139" i="32"/>
  <c r="K139" i="32"/>
  <c r="H139" i="32"/>
  <c r="I139" i="32" s="1"/>
  <c r="E139" i="32"/>
  <c r="F139" i="32" s="1"/>
  <c r="N138" i="32"/>
  <c r="O138" i="32" s="1"/>
  <c r="K138" i="32"/>
  <c r="L138" i="32" s="1"/>
  <c r="I138" i="32"/>
  <c r="H138" i="32"/>
  <c r="E138" i="32"/>
  <c r="F138" i="32" s="1"/>
  <c r="N137" i="32"/>
  <c r="O137" i="32" s="1"/>
  <c r="L137" i="32"/>
  <c r="K137" i="32"/>
  <c r="H137" i="32"/>
  <c r="I137" i="32" s="1"/>
  <c r="E137" i="32"/>
  <c r="F137" i="32" s="1"/>
  <c r="N136" i="32"/>
  <c r="O136" i="32" s="1"/>
  <c r="K136" i="32"/>
  <c r="L136" i="32" s="1"/>
  <c r="I136" i="32"/>
  <c r="H136" i="32"/>
  <c r="E136" i="32"/>
  <c r="F136" i="32" s="1"/>
  <c r="N135" i="32"/>
  <c r="O135" i="32" s="1"/>
  <c r="K135" i="32"/>
  <c r="L135" i="32" s="1"/>
  <c r="H135" i="32"/>
  <c r="I135" i="32" s="1"/>
  <c r="E135" i="32"/>
  <c r="F135" i="32" s="1"/>
  <c r="O134" i="32"/>
  <c r="N134" i="32"/>
  <c r="L134" i="32"/>
  <c r="K134" i="32"/>
  <c r="I134" i="32"/>
  <c r="H134" i="32"/>
  <c r="E134" i="32"/>
  <c r="F134" i="32" s="1"/>
  <c r="N133" i="32"/>
  <c r="O133" i="32" s="1"/>
  <c r="K133" i="32"/>
  <c r="L133" i="32" s="1"/>
  <c r="H133" i="32"/>
  <c r="I133" i="32" s="1"/>
  <c r="E133" i="32"/>
  <c r="F133" i="32" s="1"/>
  <c r="O132" i="32"/>
  <c r="N132" i="32"/>
  <c r="L132" i="32"/>
  <c r="K132" i="32"/>
  <c r="I132" i="32"/>
  <c r="H132" i="32"/>
  <c r="E132" i="32"/>
  <c r="F132" i="32" s="1"/>
  <c r="N131" i="32"/>
  <c r="O131" i="32" s="1"/>
  <c r="L131" i="32"/>
  <c r="K131" i="32"/>
  <c r="H131" i="32"/>
  <c r="I131" i="32" s="1"/>
  <c r="E131" i="32"/>
  <c r="F131" i="32" s="1"/>
  <c r="N130" i="32"/>
  <c r="O130" i="32" s="1"/>
  <c r="K130" i="32"/>
  <c r="L130" i="32" s="1"/>
  <c r="I130" i="32"/>
  <c r="H130" i="32"/>
  <c r="E130" i="32"/>
  <c r="F130" i="32" s="1"/>
  <c r="N129" i="32"/>
  <c r="O129" i="32" s="1"/>
  <c r="L129" i="32"/>
  <c r="K129" i="32"/>
  <c r="H129" i="32"/>
  <c r="I129" i="32" s="1"/>
  <c r="E129" i="32"/>
  <c r="F129" i="32" s="1"/>
  <c r="N128" i="32"/>
  <c r="O128" i="32" s="1"/>
  <c r="K128" i="32"/>
  <c r="L128" i="32" s="1"/>
  <c r="I128" i="32"/>
  <c r="H128" i="32"/>
  <c r="E128" i="32"/>
  <c r="F128" i="32" s="1"/>
  <c r="N127" i="32"/>
  <c r="O127" i="32" s="1"/>
  <c r="K127" i="32"/>
  <c r="L127" i="32" s="1"/>
  <c r="H127" i="32"/>
  <c r="I127" i="32" s="1"/>
  <c r="E127" i="32"/>
  <c r="F127" i="32" s="1"/>
  <c r="O126" i="32"/>
  <c r="N126" i="32"/>
  <c r="L126" i="32"/>
  <c r="K126" i="32"/>
  <c r="I126" i="32"/>
  <c r="H126" i="32"/>
  <c r="E126" i="32"/>
  <c r="F126" i="32" s="1"/>
  <c r="N125" i="32"/>
  <c r="N145" i="32" s="1"/>
  <c r="K125" i="32"/>
  <c r="K145" i="32" s="1"/>
  <c r="H125" i="32"/>
  <c r="H145" i="32" s="1"/>
  <c r="E125" i="32"/>
  <c r="E145" i="32" s="1"/>
  <c r="M123" i="32"/>
  <c r="J123" i="32"/>
  <c r="G123" i="32"/>
  <c r="D123" i="32"/>
  <c r="B123" i="32"/>
  <c r="M122" i="32"/>
  <c r="G122" i="32"/>
  <c r="B118" i="32"/>
  <c r="O117" i="32"/>
  <c r="N117" i="32"/>
  <c r="L117" i="32"/>
  <c r="K117" i="32"/>
  <c r="H117" i="32"/>
  <c r="I117" i="32" s="1"/>
  <c r="E117" i="32"/>
  <c r="F117" i="32" s="1"/>
  <c r="O116" i="32"/>
  <c r="N116" i="32"/>
  <c r="L116" i="32"/>
  <c r="K116" i="32"/>
  <c r="I116" i="32"/>
  <c r="H116" i="32"/>
  <c r="E116" i="32"/>
  <c r="F116" i="32" s="1"/>
  <c r="O115" i="32"/>
  <c r="N115" i="32"/>
  <c r="K115" i="32"/>
  <c r="L115" i="32" s="1"/>
  <c r="H115" i="32"/>
  <c r="I115" i="32" s="1"/>
  <c r="E115" i="32"/>
  <c r="F115" i="32" s="1"/>
  <c r="O114" i="32"/>
  <c r="N114" i="32"/>
  <c r="L114" i="32"/>
  <c r="K114" i="32"/>
  <c r="I114" i="32"/>
  <c r="H114" i="32"/>
  <c r="E114" i="32"/>
  <c r="F114" i="32" s="1"/>
  <c r="O113" i="32"/>
  <c r="N113" i="32"/>
  <c r="L113" i="32"/>
  <c r="K113" i="32"/>
  <c r="H113" i="32"/>
  <c r="I113" i="32" s="1"/>
  <c r="E113" i="32"/>
  <c r="F113" i="32" s="1"/>
  <c r="N112" i="32"/>
  <c r="O112" i="32" s="1"/>
  <c r="L112" i="32"/>
  <c r="K112" i="32"/>
  <c r="I112" i="32"/>
  <c r="H112" i="32"/>
  <c r="E112" i="32"/>
  <c r="F112" i="32" s="1"/>
  <c r="O111" i="32"/>
  <c r="N111" i="32"/>
  <c r="L111" i="32"/>
  <c r="K111" i="32"/>
  <c r="H111" i="32"/>
  <c r="I111" i="32" s="1"/>
  <c r="E111" i="32"/>
  <c r="F111" i="32" s="1"/>
  <c r="O110" i="32"/>
  <c r="N110" i="32"/>
  <c r="K110" i="32"/>
  <c r="L110" i="32" s="1"/>
  <c r="I110" i="32"/>
  <c r="H110" i="32"/>
  <c r="E110" i="32"/>
  <c r="F110" i="32" s="1"/>
  <c r="O109" i="32"/>
  <c r="N109" i="32"/>
  <c r="L109" i="32"/>
  <c r="K109" i="32"/>
  <c r="H109" i="32"/>
  <c r="I109" i="32" s="1"/>
  <c r="E109" i="32"/>
  <c r="F109" i="32" s="1"/>
  <c r="O108" i="32"/>
  <c r="N108" i="32"/>
  <c r="L108" i="32"/>
  <c r="K108" i="32"/>
  <c r="I108" i="32"/>
  <c r="H108" i="32"/>
  <c r="E108" i="32"/>
  <c r="F108" i="32" s="1"/>
  <c r="N107" i="32"/>
  <c r="O107" i="32" s="1"/>
  <c r="K107" i="32"/>
  <c r="L107" i="32" s="1"/>
  <c r="H107" i="32"/>
  <c r="I107" i="32" s="1"/>
  <c r="E107" i="32"/>
  <c r="F107" i="32" s="1"/>
  <c r="O106" i="32"/>
  <c r="N106" i="32"/>
  <c r="L106" i="32"/>
  <c r="K106" i="32"/>
  <c r="I106" i="32"/>
  <c r="H106" i="32"/>
  <c r="E106" i="32"/>
  <c r="F106" i="32" s="1"/>
  <c r="N105" i="32"/>
  <c r="O105" i="32" s="1"/>
  <c r="L105" i="32"/>
  <c r="K105" i="32"/>
  <c r="H105" i="32"/>
  <c r="I105" i="32" s="1"/>
  <c r="E105" i="32"/>
  <c r="F105" i="32" s="1"/>
  <c r="O104" i="32"/>
  <c r="N104" i="32"/>
  <c r="L104" i="32"/>
  <c r="K104" i="32"/>
  <c r="I104" i="32"/>
  <c r="H104" i="32"/>
  <c r="E104" i="32"/>
  <c r="F104" i="32" s="1"/>
  <c r="O103" i="32"/>
  <c r="N103" i="32"/>
  <c r="L103" i="32"/>
  <c r="K103" i="32"/>
  <c r="H103" i="32"/>
  <c r="I103" i="32" s="1"/>
  <c r="E103" i="32"/>
  <c r="F103" i="32" s="1"/>
  <c r="O102" i="32"/>
  <c r="N102" i="32"/>
  <c r="K102" i="32"/>
  <c r="L102" i="32" s="1"/>
  <c r="I102" i="32"/>
  <c r="H102" i="32"/>
  <c r="E102" i="32"/>
  <c r="F102" i="32" s="1"/>
  <c r="O101" i="32"/>
  <c r="N101" i="32"/>
  <c r="L101" i="32"/>
  <c r="K101" i="32"/>
  <c r="H101" i="32"/>
  <c r="I101" i="32" s="1"/>
  <c r="E101" i="32"/>
  <c r="F101" i="32" s="1"/>
  <c r="O100" i="32"/>
  <c r="N100" i="32"/>
  <c r="L100" i="32"/>
  <c r="K100" i="32"/>
  <c r="I100" i="32"/>
  <c r="H100" i="32"/>
  <c r="E100" i="32"/>
  <c r="F100" i="32" s="1"/>
  <c r="O99" i="32"/>
  <c r="N99" i="32"/>
  <c r="K99" i="32"/>
  <c r="L99" i="32" s="1"/>
  <c r="H99" i="32"/>
  <c r="I99" i="32" s="1"/>
  <c r="E99" i="32"/>
  <c r="F99" i="32" s="1"/>
  <c r="O98" i="32"/>
  <c r="N98" i="32"/>
  <c r="L98" i="32"/>
  <c r="K98" i="32"/>
  <c r="K118" i="32" s="1"/>
  <c r="I98" i="32"/>
  <c r="H98" i="32"/>
  <c r="E98" i="32"/>
  <c r="E118" i="32" s="1"/>
  <c r="M96" i="32"/>
  <c r="J96" i="32"/>
  <c r="G96" i="32"/>
  <c r="D96" i="32"/>
  <c r="B96" i="32"/>
  <c r="M95" i="32"/>
  <c r="G95" i="32"/>
  <c r="B91" i="32"/>
  <c r="O90" i="32"/>
  <c r="N90" i="32"/>
  <c r="L90" i="32"/>
  <c r="K90" i="32"/>
  <c r="I90" i="32"/>
  <c r="H90" i="32"/>
  <c r="F90" i="32"/>
  <c r="E90" i="32"/>
  <c r="O89" i="32"/>
  <c r="N89" i="32"/>
  <c r="L89" i="32"/>
  <c r="K89" i="32"/>
  <c r="I89" i="32"/>
  <c r="H89" i="32"/>
  <c r="F89" i="32"/>
  <c r="E89" i="32"/>
  <c r="O88" i="32"/>
  <c r="N88" i="32"/>
  <c r="L88" i="32"/>
  <c r="K88" i="32"/>
  <c r="I88" i="32"/>
  <c r="H88" i="32"/>
  <c r="F88" i="32"/>
  <c r="E88" i="32"/>
  <c r="O87" i="32"/>
  <c r="N87" i="32"/>
  <c r="L87" i="32"/>
  <c r="K87" i="32"/>
  <c r="I87" i="32"/>
  <c r="H87" i="32"/>
  <c r="F87" i="32"/>
  <c r="E87" i="32"/>
  <c r="O86" i="32"/>
  <c r="N86" i="32"/>
  <c r="L86" i="32"/>
  <c r="K86" i="32"/>
  <c r="I86" i="32"/>
  <c r="H86" i="32"/>
  <c r="F86" i="32"/>
  <c r="E86" i="32"/>
  <c r="O85" i="32"/>
  <c r="N85" i="32"/>
  <c r="L85" i="32"/>
  <c r="K85" i="32"/>
  <c r="I85" i="32"/>
  <c r="H85" i="32"/>
  <c r="F85" i="32"/>
  <c r="E85" i="32"/>
  <c r="O84" i="32"/>
  <c r="N84" i="32"/>
  <c r="L84" i="32"/>
  <c r="K84" i="32"/>
  <c r="I84" i="32"/>
  <c r="H84" i="32"/>
  <c r="F84" i="32"/>
  <c r="E84" i="32"/>
  <c r="O83" i="32"/>
  <c r="N83" i="32"/>
  <c r="L83" i="32"/>
  <c r="K83" i="32"/>
  <c r="I83" i="32"/>
  <c r="H83" i="32"/>
  <c r="F83" i="32"/>
  <c r="E83" i="32"/>
  <c r="O82" i="32"/>
  <c r="N82" i="32"/>
  <c r="L82" i="32"/>
  <c r="K82" i="32"/>
  <c r="I82" i="32"/>
  <c r="H82" i="32"/>
  <c r="F82" i="32"/>
  <c r="E82" i="32"/>
  <c r="O81" i="32"/>
  <c r="N81" i="32"/>
  <c r="L81" i="32"/>
  <c r="K81" i="32"/>
  <c r="I81" i="32"/>
  <c r="H81" i="32"/>
  <c r="F81" i="32"/>
  <c r="E81" i="32"/>
  <c r="O80" i="32"/>
  <c r="N80" i="32"/>
  <c r="L80" i="32"/>
  <c r="K80" i="32"/>
  <c r="I80" i="32"/>
  <c r="H80" i="32"/>
  <c r="F80" i="32"/>
  <c r="E80" i="32"/>
  <c r="O79" i="32"/>
  <c r="N79" i="32"/>
  <c r="L79" i="32"/>
  <c r="K79" i="32"/>
  <c r="I79" i="32"/>
  <c r="H79" i="32"/>
  <c r="F79" i="32"/>
  <c r="E79" i="32"/>
  <c r="O78" i="32"/>
  <c r="N78" i="32"/>
  <c r="L78" i="32"/>
  <c r="K78" i="32"/>
  <c r="I78" i="32"/>
  <c r="H78" i="32"/>
  <c r="F78" i="32"/>
  <c r="E78" i="32"/>
  <c r="O77" i="32"/>
  <c r="N77" i="32"/>
  <c r="L77" i="32"/>
  <c r="K77" i="32"/>
  <c r="I77" i="32"/>
  <c r="H77" i="32"/>
  <c r="F77" i="32"/>
  <c r="E77" i="32"/>
  <c r="O76" i="32"/>
  <c r="N76" i="32"/>
  <c r="L76" i="32"/>
  <c r="K76" i="32"/>
  <c r="I76" i="32"/>
  <c r="H76" i="32"/>
  <c r="F76" i="32"/>
  <c r="E76" i="32"/>
  <c r="O75" i="32"/>
  <c r="N75" i="32"/>
  <c r="L75" i="32"/>
  <c r="K75" i="32"/>
  <c r="I75" i="32"/>
  <c r="H75" i="32"/>
  <c r="F75" i="32"/>
  <c r="E75" i="32"/>
  <c r="O74" i="32"/>
  <c r="N74" i="32"/>
  <c r="L74" i="32"/>
  <c r="K74" i="32"/>
  <c r="I74" i="32"/>
  <c r="H74" i="32"/>
  <c r="F74" i="32"/>
  <c r="E74" i="32"/>
  <c r="O73" i="32"/>
  <c r="N73" i="32"/>
  <c r="L73" i="32"/>
  <c r="K73" i="32"/>
  <c r="I73" i="32"/>
  <c r="H73" i="32"/>
  <c r="F73" i="32"/>
  <c r="E73" i="32"/>
  <c r="O72" i="32"/>
  <c r="N72" i="32"/>
  <c r="L72" i="32"/>
  <c r="K72" i="32"/>
  <c r="I72" i="32"/>
  <c r="H72" i="32"/>
  <c r="F72" i="32"/>
  <c r="E72" i="32"/>
  <c r="O71" i="32"/>
  <c r="O91" i="32" s="1"/>
  <c r="N71" i="32"/>
  <c r="N91" i="32" s="1"/>
  <c r="L71" i="32"/>
  <c r="L91" i="32" s="1"/>
  <c r="K71" i="32"/>
  <c r="K91" i="32" s="1"/>
  <c r="I71" i="32"/>
  <c r="I91" i="32" s="1"/>
  <c r="H71" i="32"/>
  <c r="H91" i="32" s="1"/>
  <c r="F71" i="32"/>
  <c r="F91" i="32" s="1"/>
  <c r="E71" i="32"/>
  <c r="E91" i="32" s="1"/>
  <c r="M69" i="32"/>
  <c r="J69" i="32"/>
  <c r="G69" i="32"/>
  <c r="D69" i="32"/>
  <c r="B69" i="32"/>
  <c r="M68" i="32"/>
  <c r="G68" i="32"/>
  <c r="B64" i="32"/>
  <c r="O63" i="32"/>
  <c r="N63" i="32"/>
  <c r="K63" i="32"/>
  <c r="L63" i="32" s="1"/>
  <c r="H63" i="32"/>
  <c r="I63" i="32" s="1"/>
  <c r="E63" i="32"/>
  <c r="F63" i="32" s="1"/>
  <c r="O62" i="32"/>
  <c r="N62" i="32"/>
  <c r="L62" i="32"/>
  <c r="K62" i="32"/>
  <c r="H62" i="32"/>
  <c r="I62" i="32" s="1"/>
  <c r="E62" i="32"/>
  <c r="F62" i="32" s="1"/>
  <c r="O61" i="32"/>
  <c r="N61" i="32"/>
  <c r="K61" i="32"/>
  <c r="L61" i="32" s="1"/>
  <c r="I61" i="32"/>
  <c r="H61" i="32"/>
  <c r="E61" i="32"/>
  <c r="F61" i="32" s="1"/>
  <c r="O60" i="32"/>
  <c r="N60" i="32"/>
  <c r="L60" i="32"/>
  <c r="K60" i="32"/>
  <c r="H60" i="32"/>
  <c r="I60" i="32" s="1"/>
  <c r="E60" i="32"/>
  <c r="F60" i="32" s="1"/>
  <c r="O59" i="32"/>
  <c r="N59" i="32"/>
  <c r="L59" i="32"/>
  <c r="K59" i="32"/>
  <c r="H59" i="32"/>
  <c r="I59" i="32" s="1"/>
  <c r="E59" i="32"/>
  <c r="F59" i="32" s="1"/>
  <c r="O58" i="32"/>
  <c r="N58" i="32"/>
  <c r="L58" i="32"/>
  <c r="K58" i="32"/>
  <c r="H58" i="32"/>
  <c r="I58" i="32" s="1"/>
  <c r="E58" i="32"/>
  <c r="F58" i="32" s="1"/>
  <c r="O57" i="32"/>
  <c r="N57" i="32"/>
  <c r="L57" i="32"/>
  <c r="K57" i="32"/>
  <c r="I57" i="32"/>
  <c r="H57" i="32"/>
  <c r="E57" i="32"/>
  <c r="F57" i="32" s="1"/>
  <c r="N56" i="32"/>
  <c r="O56" i="32" s="1"/>
  <c r="O17" i="32" s="1"/>
  <c r="K56" i="32"/>
  <c r="L56" i="32" s="1"/>
  <c r="L17" i="32" s="1"/>
  <c r="H56" i="32"/>
  <c r="I56" i="32" s="1"/>
  <c r="I17" i="32" s="1"/>
  <c r="E56" i="32"/>
  <c r="F56" i="32" s="1"/>
  <c r="F17" i="32" s="1"/>
  <c r="O55" i="32"/>
  <c r="N55" i="32"/>
  <c r="L55" i="32"/>
  <c r="K55" i="32"/>
  <c r="H55" i="32"/>
  <c r="I55" i="32" s="1"/>
  <c r="E55" i="32"/>
  <c r="F55" i="32" s="1"/>
  <c r="O54" i="32"/>
  <c r="N54" i="32"/>
  <c r="K54" i="32"/>
  <c r="L54" i="32" s="1"/>
  <c r="H54" i="32"/>
  <c r="I54" i="32" s="1"/>
  <c r="E54" i="32"/>
  <c r="F54" i="32" s="1"/>
  <c r="N53" i="32"/>
  <c r="O53" i="32" s="1"/>
  <c r="L53" i="32"/>
  <c r="K53" i="32"/>
  <c r="I53" i="32"/>
  <c r="H53" i="32"/>
  <c r="E53" i="32"/>
  <c r="F53" i="32" s="1"/>
  <c r="O52" i="32"/>
  <c r="N52" i="32"/>
  <c r="L52" i="32"/>
  <c r="K52" i="32"/>
  <c r="H52" i="32"/>
  <c r="I52" i="32" s="1"/>
  <c r="E52" i="32"/>
  <c r="F52" i="32" s="1"/>
  <c r="O51" i="32"/>
  <c r="N51" i="32"/>
  <c r="L51" i="32"/>
  <c r="K51" i="32"/>
  <c r="H51" i="32"/>
  <c r="I51" i="32" s="1"/>
  <c r="E51" i="32"/>
  <c r="F51" i="32" s="1"/>
  <c r="O50" i="32"/>
  <c r="N50" i="32"/>
  <c r="L50" i="32"/>
  <c r="K50" i="32"/>
  <c r="H50" i="32"/>
  <c r="I50" i="32" s="1"/>
  <c r="E50" i="32"/>
  <c r="F50" i="32" s="1"/>
  <c r="O49" i="32"/>
  <c r="N49" i="32"/>
  <c r="L49" i="32"/>
  <c r="K49" i="32"/>
  <c r="I49" i="32"/>
  <c r="H49" i="32"/>
  <c r="E49" i="32"/>
  <c r="F49" i="32" s="1"/>
  <c r="N48" i="32"/>
  <c r="O48" i="32" s="1"/>
  <c r="L48" i="32"/>
  <c r="K48" i="32"/>
  <c r="H48" i="32"/>
  <c r="I48" i="32" s="1"/>
  <c r="E48" i="32"/>
  <c r="F48" i="32" s="1"/>
  <c r="O47" i="32"/>
  <c r="N47" i="32"/>
  <c r="K47" i="32"/>
  <c r="L47" i="32" s="1"/>
  <c r="H47" i="32"/>
  <c r="I47" i="32" s="1"/>
  <c r="E47" i="32"/>
  <c r="F47" i="32" s="1"/>
  <c r="O46" i="32"/>
  <c r="N46" i="32"/>
  <c r="L46" i="32"/>
  <c r="K46" i="32"/>
  <c r="H46" i="32"/>
  <c r="I46" i="32" s="1"/>
  <c r="E46" i="32"/>
  <c r="F46" i="32" s="1"/>
  <c r="O45" i="32"/>
  <c r="N45" i="32"/>
  <c r="K45" i="32"/>
  <c r="L45" i="32" s="1"/>
  <c r="I45" i="32"/>
  <c r="H45" i="32"/>
  <c r="E45" i="32"/>
  <c r="F45" i="32" s="1"/>
  <c r="O44" i="32"/>
  <c r="N44" i="32"/>
  <c r="L44" i="32"/>
  <c r="L64" i="32" s="1"/>
  <c r="K44" i="32"/>
  <c r="K64" i="32" s="1"/>
  <c r="H44" i="32"/>
  <c r="H64" i="32" s="1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N21" i="32"/>
  <c r="M21" i="32"/>
  <c r="J21" i="32"/>
  <c r="H21" i="32"/>
  <c r="G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K19" i="32"/>
  <c r="J19" i="32"/>
  <c r="H19" i="32"/>
  <c r="G19" i="32"/>
  <c r="E19" i="32"/>
  <c r="D19" i="32"/>
  <c r="C19" i="32"/>
  <c r="B19" i="32"/>
  <c r="N18" i="32"/>
  <c r="M18" i="32"/>
  <c r="J18" i="32"/>
  <c r="G18" i="32"/>
  <c r="E18" i="32"/>
  <c r="D18" i="32"/>
  <c r="C18" i="32"/>
  <c r="B18" i="32"/>
  <c r="N17" i="32"/>
  <c r="M17" i="32"/>
  <c r="K17" i="32"/>
  <c r="J17" i="32"/>
  <c r="H17" i="32"/>
  <c r="G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H198" i="31"/>
  <c r="I198" i="31" s="1"/>
  <c r="F198" i="31"/>
  <c r="E198" i="31"/>
  <c r="N197" i="31"/>
  <c r="O197" i="31" s="1"/>
  <c r="K197" i="31"/>
  <c r="L197" i="31" s="1"/>
  <c r="H197" i="31"/>
  <c r="I197" i="31" s="1"/>
  <c r="F197" i="31"/>
  <c r="E197" i="31"/>
  <c r="O196" i="31"/>
  <c r="N196" i="31"/>
  <c r="K196" i="31"/>
  <c r="L196" i="31" s="1"/>
  <c r="H196" i="31"/>
  <c r="I196" i="31" s="1"/>
  <c r="F196" i="31"/>
  <c r="E196" i="31"/>
  <c r="N195" i="31"/>
  <c r="O195" i="31" s="1"/>
  <c r="K195" i="31"/>
  <c r="L195" i="31" s="1"/>
  <c r="H195" i="31"/>
  <c r="I195" i="31" s="1"/>
  <c r="F195" i="31"/>
  <c r="E195" i="31"/>
  <c r="O194" i="31"/>
  <c r="N194" i="31"/>
  <c r="L194" i="31"/>
  <c r="K194" i="31"/>
  <c r="H194" i="31"/>
  <c r="I194" i="31" s="1"/>
  <c r="F194" i="31"/>
  <c r="E194" i="31"/>
  <c r="N193" i="31"/>
  <c r="O193" i="31" s="1"/>
  <c r="K193" i="31"/>
  <c r="L193" i="31" s="1"/>
  <c r="H193" i="31"/>
  <c r="I193" i="31" s="1"/>
  <c r="F193" i="31"/>
  <c r="E193" i="31"/>
  <c r="N192" i="31"/>
  <c r="O192" i="31" s="1"/>
  <c r="K192" i="31"/>
  <c r="L192" i="31" s="1"/>
  <c r="H192" i="31"/>
  <c r="I192" i="31" s="1"/>
  <c r="F192" i="31"/>
  <c r="E192" i="31"/>
  <c r="N191" i="31"/>
  <c r="O191" i="31" s="1"/>
  <c r="K191" i="31"/>
  <c r="L191" i="31" s="1"/>
  <c r="H191" i="31"/>
  <c r="I191" i="31" s="1"/>
  <c r="F191" i="31"/>
  <c r="E191" i="31"/>
  <c r="N190" i="31"/>
  <c r="O190" i="31" s="1"/>
  <c r="L190" i="31"/>
  <c r="K190" i="31"/>
  <c r="H190" i="31"/>
  <c r="I190" i="31" s="1"/>
  <c r="F190" i="31"/>
  <c r="E190" i="31"/>
  <c r="O189" i="31"/>
  <c r="N189" i="31"/>
  <c r="K189" i="31"/>
  <c r="L189" i="31" s="1"/>
  <c r="H189" i="31"/>
  <c r="I189" i="31" s="1"/>
  <c r="F189" i="31"/>
  <c r="E189" i="31"/>
  <c r="N188" i="31"/>
  <c r="O188" i="31" s="1"/>
  <c r="K188" i="31"/>
  <c r="L188" i="31" s="1"/>
  <c r="H188" i="31"/>
  <c r="I188" i="31" s="1"/>
  <c r="F188" i="31"/>
  <c r="E188" i="31"/>
  <c r="O187" i="31"/>
  <c r="N187" i="31"/>
  <c r="K187" i="31"/>
  <c r="L187" i="31" s="1"/>
  <c r="H187" i="31"/>
  <c r="I187" i="31" s="1"/>
  <c r="F187" i="31"/>
  <c r="E187" i="31"/>
  <c r="N186" i="31"/>
  <c r="O186" i="31" s="1"/>
  <c r="L186" i="31"/>
  <c r="K186" i="31"/>
  <c r="H186" i="31"/>
  <c r="I186" i="31" s="1"/>
  <c r="F186" i="31"/>
  <c r="E186" i="31"/>
  <c r="N185" i="31"/>
  <c r="O185" i="31" s="1"/>
  <c r="K185" i="31"/>
  <c r="L185" i="31" s="1"/>
  <c r="H185" i="31"/>
  <c r="I185" i="31" s="1"/>
  <c r="F185" i="31"/>
  <c r="E185" i="31"/>
  <c r="N184" i="31"/>
  <c r="O184" i="31" s="1"/>
  <c r="K184" i="31"/>
  <c r="L184" i="31" s="1"/>
  <c r="H184" i="31"/>
  <c r="I184" i="31" s="1"/>
  <c r="F184" i="31"/>
  <c r="E184" i="31"/>
  <c r="N183" i="31"/>
  <c r="O183" i="31" s="1"/>
  <c r="K183" i="31"/>
  <c r="L183" i="31" s="1"/>
  <c r="H183" i="31"/>
  <c r="I183" i="31" s="1"/>
  <c r="F183" i="31"/>
  <c r="E183" i="31"/>
  <c r="N182" i="31"/>
  <c r="O182" i="31" s="1"/>
  <c r="L182" i="31"/>
  <c r="K182" i="31"/>
  <c r="H182" i="31"/>
  <c r="I182" i="31" s="1"/>
  <c r="F182" i="31"/>
  <c r="E182" i="31"/>
  <c r="N181" i="31"/>
  <c r="O181" i="31" s="1"/>
  <c r="K181" i="31"/>
  <c r="L181" i="31" s="1"/>
  <c r="H181" i="31"/>
  <c r="I181" i="31" s="1"/>
  <c r="F181" i="31"/>
  <c r="E181" i="31"/>
  <c r="O180" i="31"/>
  <c r="N180" i="31"/>
  <c r="K180" i="31"/>
  <c r="L180" i="31" s="1"/>
  <c r="H180" i="31"/>
  <c r="I180" i="31" s="1"/>
  <c r="F180" i="31"/>
  <c r="E180" i="31"/>
  <c r="N179" i="31"/>
  <c r="K179" i="3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O171" i="31"/>
  <c r="N171" i="31"/>
  <c r="L171" i="31"/>
  <c r="K171" i="31"/>
  <c r="H171" i="31"/>
  <c r="I171" i="31" s="1"/>
  <c r="F171" i="31"/>
  <c r="E171" i="31"/>
  <c r="N170" i="31"/>
  <c r="O170" i="31" s="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N168" i="31"/>
  <c r="O168" i="31" s="1"/>
  <c r="L168" i="31"/>
  <c r="K168" i="31"/>
  <c r="H168" i="31"/>
  <c r="I168" i="31" s="1"/>
  <c r="F168" i="31"/>
  <c r="E168" i="31"/>
  <c r="N167" i="31"/>
  <c r="O167" i="31" s="1"/>
  <c r="L167" i="31"/>
  <c r="K167" i="31"/>
  <c r="H167" i="31"/>
  <c r="I167" i="31" s="1"/>
  <c r="F167" i="31"/>
  <c r="E167" i="31"/>
  <c r="N166" i="31"/>
  <c r="O166" i="31" s="1"/>
  <c r="K166" i="31"/>
  <c r="L166" i="31" s="1"/>
  <c r="H166" i="31"/>
  <c r="I166" i="31" s="1"/>
  <c r="F166" i="31"/>
  <c r="E166" i="31"/>
  <c r="N165" i="31"/>
  <c r="O165" i="31" s="1"/>
  <c r="K165" i="31"/>
  <c r="L165" i="31" s="1"/>
  <c r="H165" i="31"/>
  <c r="I165" i="31" s="1"/>
  <c r="F165" i="31"/>
  <c r="E165" i="31"/>
  <c r="O164" i="31"/>
  <c r="N164" i="31"/>
  <c r="L164" i="31"/>
  <c r="K164" i="31"/>
  <c r="H164" i="31"/>
  <c r="I164" i="31" s="1"/>
  <c r="F164" i="31"/>
  <c r="E164" i="31"/>
  <c r="O163" i="31"/>
  <c r="N163" i="31"/>
  <c r="L163" i="31"/>
  <c r="K163" i="31"/>
  <c r="H163" i="31"/>
  <c r="I163" i="31" s="1"/>
  <c r="F163" i="31"/>
  <c r="E163" i="31"/>
  <c r="N162" i="31"/>
  <c r="O162" i="31" s="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N160" i="31"/>
  <c r="O160" i="31" s="1"/>
  <c r="L160" i="31"/>
  <c r="K160" i="31"/>
  <c r="H160" i="31"/>
  <c r="I160" i="31" s="1"/>
  <c r="F160" i="31"/>
  <c r="E160" i="31"/>
  <c r="N159" i="31"/>
  <c r="O159" i="31" s="1"/>
  <c r="L159" i="31"/>
  <c r="K159" i="31"/>
  <c r="H159" i="31"/>
  <c r="I159" i="31" s="1"/>
  <c r="F159" i="31"/>
  <c r="E159" i="31"/>
  <c r="N158" i="31"/>
  <c r="O158" i="31" s="1"/>
  <c r="K158" i="31"/>
  <c r="L158" i="31" s="1"/>
  <c r="H158" i="31"/>
  <c r="I158" i="31" s="1"/>
  <c r="F158" i="31"/>
  <c r="E158" i="31"/>
  <c r="N157" i="31"/>
  <c r="O157" i="31" s="1"/>
  <c r="K157" i="31"/>
  <c r="L157" i="31" s="1"/>
  <c r="H157" i="31"/>
  <c r="I157" i="31" s="1"/>
  <c r="F157" i="31"/>
  <c r="E157" i="31"/>
  <c r="N156" i="31"/>
  <c r="O156" i="31" s="1"/>
  <c r="O21" i="31" s="1"/>
  <c r="L156" i="31"/>
  <c r="K156" i="31"/>
  <c r="H156" i="31"/>
  <c r="I156" i="31" s="1"/>
  <c r="I21" i="31" s="1"/>
  <c r="F156" i="31"/>
  <c r="E156" i="31"/>
  <c r="O155" i="31"/>
  <c r="N155" i="31"/>
  <c r="L155" i="31"/>
  <c r="K155" i="31"/>
  <c r="H155" i="31"/>
  <c r="I155" i="31" s="1"/>
  <c r="F155" i="31"/>
  <c r="E155" i="31"/>
  <c r="N154" i="31"/>
  <c r="O154" i="31" s="1"/>
  <c r="K154" i="31"/>
  <c r="L154" i="31" s="1"/>
  <c r="H154" i="31"/>
  <c r="I154" i="31" s="1"/>
  <c r="F154" i="31"/>
  <c r="E154" i="31"/>
  <c r="O153" i="31"/>
  <c r="N153" i="31"/>
  <c r="K153" i="31"/>
  <c r="L153" i="31" s="1"/>
  <c r="H153" i="31"/>
  <c r="I153" i="31" s="1"/>
  <c r="F153" i="31"/>
  <c r="E153" i="31"/>
  <c r="N152" i="31"/>
  <c r="N172" i="31" s="1"/>
  <c r="L152" i="31"/>
  <c r="K152" i="31"/>
  <c r="H152" i="31"/>
  <c r="H172" i="31" s="1"/>
  <c r="F152" i="31"/>
  <c r="F172" i="31" s="1"/>
  <c r="E152" i="31"/>
  <c r="E172" i="31" s="1"/>
  <c r="M150" i="31"/>
  <c r="J150" i="31"/>
  <c r="G150" i="31"/>
  <c r="D150" i="31"/>
  <c r="B150" i="31"/>
  <c r="M149" i="31"/>
  <c r="G149" i="31"/>
  <c r="B145" i="31"/>
  <c r="N144" i="31"/>
  <c r="O144" i="31" s="1"/>
  <c r="L144" i="31"/>
  <c r="K144" i="31"/>
  <c r="H144" i="31"/>
  <c r="I144" i="31" s="1"/>
  <c r="F144" i="31"/>
  <c r="E144" i="31"/>
  <c r="O143" i="31"/>
  <c r="N143" i="31"/>
  <c r="K143" i="31"/>
  <c r="L143" i="31" s="1"/>
  <c r="L17" i="31" s="1"/>
  <c r="H143" i="31"/>
  <c r="I143" i="31" s="1"/>
  <c r="I17" i="31" s="1"/>
  <c r="F143" i="31"/>
  <c r="E143" i="31"/>
  <c r="N142" i="31"/>
  <c r="O142" i="31" s="1"/>
  <c r="K142" i="31"/>
  <c r="L142" i="31" s="1"/>
  <c r="H142" i="31"/>
  <c r="I142" i="31" s="1"/>
  <c r="F142" i="31"/>
  <c r="E142" i="31"/>
  <c r="O141" i="31"/>
  <c r="N141" i="31"/>
  <c r="L141" i="31"/>
  <c r="K141" i="31"/>
  <c r="H141" i="31"/>
  <c r="I141" i="31" s="1"/>
  <c r="F141" i="31"/>
  <c r="E141" i="31"/>
  <c r="O140" i="31"/>
  <c r="N140" i="31"/>
  <c r="L140" i="31"/>
  <c r="K140" i="31"/>
  <c r="H140" i="31"/>
  <c r="I140" i="31" s="1"/>
  <c r="F140" i="31"/>
  <c r="E140" i="31"/>
  <c r="N139" i="31"/>
  <c r="O139" i="31" s="1"/>
  <c r="K139" i="31"/>
  <c r="L139" i="31" s="1"/>
  <c r="H139" i="31"/>
  <c r="I139" i="31" s="1"/>
  <c r="F139" i="31"/>
  <c r="E139" i="31"/>
  <c r="O138" i="31"/>
  <c r="N138" i="31"/>
  <c r="K138" i="31"/>
  <c r="L138" i="31" s="1"/>
  <c r="H138" i="31"/>
  <c r="I138" i="31" s="1"/>
  <c r="F138" i="31"/>
  <c r="E138" i="31"/>
  <c r="N137" i="31"/>
  <c r="O137" i="31" s="1"/>
  <c r="L137" i="31"/>
  <c r="K137" i="31"/>
  <c r="H137" i="31"/>
  <c r="I137" i="31" s="1"/>
  <c r="F137" i="31"/>
  <c r="E137" i="31"/>
  <c r="N136" i="31"/>
  <c r="O136" i="31" s="1"/>
  <c r="L136" i="31"/>
  <c r="K136" i="31"/>
  <c r="H136" i="31"/>
  <c r="I136" i="31" s="1"/>
  <c r="F136" i="31"/>
  <c r="E136" i="31"/>
  <c r="O135" i="31"/>
  <c r="N135" i="31"/>
  <c r="K135" i="31"/>
  <c r="L135" i="31" s="1"/>
  <c r="H135" i="31"/>
  <c r="I135" i="31" s="1"/>
  <c r="F135" i="31"/>
  <c r="E135" i="31"/>
  <c r="N134" i="31"/>
  <c r="O134" i="31" s="1"/>
  <c r="K134" i="31"/>
  <c r="L134" i="31" s="1"/>
  <c r="H134" i="31"/>
  <c r="I134" i="31" s="1"/>
  <c r="F134" i="31"/>
  <c r="E134" i="31"/>
  <c r="O133" i="31"/>
  <c r="N133" i="31"/>
  <c r="L133" i="31"/>
  <c r="K133" i="31"/>
  <c r="H133" i="31"/>
  <c r="I133" i="31" s="1"/>
  <c r="F133" i="31"/>
  <c r="E133" i="31"/>
  <c r="O132" i="31"/>
  <c r="N132" i="31"/>
  <c r="L132" i="31"/>
  <c r="K132" i="31"/>
  <c r="H132" i="31"/>
  <c r="I132" i="31" s="1"/>
  <c r="F132" i="31"/>
  <c r="E132" i="31"/>
  <c r="N131" i="31"/>
  <c r="O131" i="31" s="1"/>
  <c r="K131" i="31"/>
  <c r="L131" i="31" s="1"/>
  <c r="H131" i="31"/>
  <c r="I131" i="31" s="1"/>
  <c r="F131" i="31"/>
  <c r="E131" i="31"/>
  <c r="O130" i="31"/>
  <c r="N130" i="31"/>
  <c r="K130" i="31"/>
  <c r="L130" i="31" s="1"/>
  <c r="H130" i="31"/>
  <c r="I130" i="31" s="1"/>
  <c r="F130" i="31"/>
  <c r="E130" i="31"/>
  <c r="N129" i="31"/>
  <c r="O129" i="31" s="1"/>
  <c r="L129" i="31"/>
  <c r="K129" i="31"/>
  <c r="H129" i="31"/>
  <c r="I129" i="31" s="1"/>
  <c r="F129" i="31"/>
  <c r="E129" i="31"/>
  <c r="N128" i="31"/>
  <c r="O128" i="31" s="1"/>
  <c r="L128" i="31"/>
  <c r="K128" i="31"/>
  <c r="H128" i="31"/>
  <c r="I128" i="31" s="1"/>
  <c r="F128" i="31"/>
  <c r="E128" i="31"/>
  <c r="O127" i="31"/>
  <c r="N127" i="31"/>
  <c r="K127" i="31"/>
  <c r="L127" i="31" s="1"/>
  <c r="H127" i="31"/>
  <c r="I127" i="31" s="1"/>
  <c r="F127" i="31"/>
  <c r="E127" i="31"/>
  <c r="N126" i="31"/>
  <c r="O126" i="31" s="1"/>
  <c r="K126" i="31"/>
  <c r="L126" i="31" s="1"/>
  <c r="H126" i="31"/>
  <c r="I126" i="31" s="1"/>
  <c r="F126" i="31"/>
  <c r="E126" i="31"/>
  <c r="O125" i="31"/>
  <c r="N125" i="31"/>
  <c r="L125" i="31"/>
  <c r="K125" i="3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O117" i="31"/>
  <c r="N117" i="31"/>
  <c r="L117" i="31"/>
  <c r="K117" i="31"/>
  <c r="H117" i="31"/>
  <c r="I117" i="31" s="1"/>
  <c r="F117" i="31"/>
  <c r="E117" i="31"/>
  <c r="N116" i="31"/>
  <c r="O116" i="31" s="1"/>
  <c r="K116" i="31"/>
  <c r="L116" i="31" s="1"/>
  <c r="H116" i="31"/>
  <c r="I116" i="31" s="1"/>
  <c r="F116" i="31"/>
  <c r="E116" i="31"/>
  <c r="O115" i="31"/>
  <c r="N115" i="31"/>
  <c r="K115" i="31"/>
  <c r="L115" i="31" s="1"/>
  <c r="H115" i="31"/>
  <c r="I115" i="31" s="1"/>
  <c r="F115" i="31"/>
  <c r="E115" i="31"/>
  <c r="N114" i="31"/>
  <c r="O114" i="31" s="1"/>
  <c r="L114" i="31"/>
  <c r="K114" i="31"/>
  <c r="H114" i="31"/>
  <c r="I114" i="31" s="1"/>
  <c r="F114" i="31"/>
  <c r="E114" i="31"/>
  <c r="N113" i="31"/>
  <c r="O113" i="31" s="1"/>
  <c r="L113" i="31"/>
  <c r="K113" i="31"/>
  <c r="H113" i="31"/>
  <c r="I113" i="31" s="1"/>
  <c r="F113" i="31"/>
  <c r="E113" i="31"/>
  <c r="O112" i="31"/>
  <c r="N112" i="31"/>
  <c r="K112" i="31"/>
  <c r="L112" i="31" s="1"/>
  <c r="H112" i="31"/>
  <c r="I112" i="31" s="1"/>
  <c r="F112" i="31"/>
  <c r="E112" i="31"/>
  <c r="N111" i="31"/>
  <c r="O111" i="31" s="1"/>
  <c r="K111" i="31"/>
  <c r="L111" i="31" s="1"/>
  <c r="H111" i="31"/>
  <c r="I111" i="31" s="1"/>
  <c r="F111" i="31"/>
  <c r="E111" i="31"/>
  <c r="O110" i="31"/>
  <c r="N110" i="31"/>
  <c r="L110" i="31"/>
  <c r="K110" i="31"/>
  <c r="H110" i="31"/>
  <c r="I110" i="31" s="1"/>
  <c r="F110" i="31"/>
  <c r="E110" i="31"/>
  <c r="O109" i="31"/>
  <c r="N109" i="31"/>
  <c r="L109" i="31"/>
  <c r="K109" i="31"/>
  <c r="H109" i="31"/>
  <c r="I109" i="31" s="1"/>
  <c r="F109" i="31"/>
  <c r="E109" i="31"/>
  <c r="N108" i="31"/>
  <c r="O108" i="31" s="1"/>
  <c r="K108" i="31"/>
  <c r="L108" i="31" s="1"/>
  <c r="H108" i="31"/>
  <c r="I108" i="31" s="1"/>
  <c r="F108" i="31"/>
  <c r="E108" i="31"/>
  <c r="O107" i="31"/>
  <c r="N107" i="31"/>
  <c r="K107" i="31"/>
  <c r="L107" i="31" s="1"/>
  <c r="H107" i="31"/>
  <c r="I107" i="31" s="1"/>
  <c r="F107" i="31"/>
  <c r="E107" i="31"/>
  <c r="N106" i="31"/>
  <c r="O106" i="31" s="1"/>
  <c r="L106" i="31"/>
  <c r="K106" i="31"/>
  <c r="H106" i="31"/>
  <c r="I106" i="31" s="1"/>
  <c r="F106" i="31"/>
  <c r="E106" i="31"/>
  <c r="N105" i="31"/>
  <c r="O105" i="31" s="1"/>
  <c r="L105" i="31"/>
  <c r="K105" i="31"/>
  <c r="H105" i="31"/>
  <c r="I105" i="31" s="1"/>
  <c r="F105" i="31"/>
  <c r="E105" i="31"/>
  <c r="O104" i="31"/>
  <c r="N104" i="31"/>
  <c r="K104" i="31"/>
  <c r="L104" i="31" s="1"/>
  <c r="H104" i="31"/>
  <c r="I104" i="31" s="1"/>
  <c r="F104" i="31"/>
  <c r="E104" i="31"/>
  <c r="N103" i="31"/>
  <c r="O103" i="31" s="1"/>
  <c r="K103" i="31"/>
  <c r="L103" i="31" s="1"/>
  <c r="H103" i="31"/>
  <c r="I103" i="31" s="1"/>
  <c r="F103" i="31"/>
  <c r="E103" i="31"/>
  <c r="O102" i="31"/>
  <c r="N102" i="31"/>
  <c r="L102" i="31"/>
  <c r="K102" i="31"/>
  <c r="H102" i="31"/>
  <c r="I102" i="31" s="1"/>
  <c r="E102" i="31"/>
  <c r="F102" i="31" s="1"/>
  <c r="N101" i="31"/>
  <c r="O101" i="31" s="1"/>
  <c r="K101" i="31"/>
  <c r="L101" i="31" s="1"/>
  <c r="H101" i="31"/>
  <c r="I101" i="31" s="1"/>
  <c r="F101" i="31"/>
  <c r="E101" i="31"/>
  <c r="O100" i="31"/>
  <c r="N100" i="31"/>
  <c r="K100" i="31"/>
  <c r="L100" i="31" s="1"/>
  <c r="H100" i="31"/>
  <c r="I100" i="31" s="1"/>
  <c r="F100" i="31"/>
  <c r="E100" i="31"/>
  <c r="N99" i="31"/>
  <c r="O99" i="31" s="1"/>
  <c r="L99" i="31"/>
  <c r="K99" i="31"/>
  <c r="H99" i="31"/>
  <c r="I99" i="31" s="1"/>
  <c r="F99" i="31"/>
  <c r="E99" i="31"/>
  <c r="N98" i="31"/>
  <c r="L98" i="31"/>
  <c r="K98" i="31"/>
  <c r="H98" i="31"/>
  <c r="H118" i="31" s="1"/>
  <c r="F98" i="31"/>
  <c r="E98" i="31"/>
  <c r="E118" i="31" s="1"/>
  <c r="M96" i="31"/>
  <c r="J96" i="31"/>
  <c r="G96" i="31"/>
  <c r="D96" i="31"/>
  <c r="B96" i="31"/>
  <c r="M95" i="31"/>
  <c r="G95" i="31"/>
  <c r="B91" i="31"/>
  <c r="O90" i="31"/>
  <c r="N90" i="31"/>
  <c r="K90" i="31"/>
  <c r="L90" i="31" s="1"/>
  <c r="H90" i="31"/>
  <c r="I90" i="31" s="1"/>
  <c r="F90" i="31"/>
  <c r="E90" i="31"/>
  <c r="N89" i="31"/>
  <c r="O89" i="31" s="1"/>
  <c r="K89" i="31"/>
  <c r="L89" i="31" s="1"/>
  <c r="H89" i="31"/>
  <c r="I89" i="31" s="1"/>
  <c r="F89" i="31"/>
  <c r="E89" i="31"/>
  <c r="O88" i="31"/>
  <c r="N88" i="31"/>
  <c r="L88" i="31"/>
  <c r="K88" i="31"/>
  <c r="H88" i="31"/>
  <c r="I88" i="31" s="1"/>
  <c r="F88" i="31"/>
  <c r="E88" i="31"/>
  <c r="O87" i="31"/>
  <c r="N87" i="31"/>
  <c r="L87" i="31"/>
  <c r="K87" i="31"/>
  <c r="H87" i="31"/>
  <c r="I87" i="31" s="1"/>
  <c r="F87" i="31"/>
  <c r="E87" i="31"/>
  <c r="N86" i="31"/>
  <c r="O86" i="31" s="1"/>
  <c r="O20" i="31" s="1"/>
  <c r="K86" i="31"/>
  <c r="L86" i="31" s="1"/>
  <c r="L20" i="31" s="1"/>
  <c r="H86" i="31"/>
  <c r="I86" i="31" s="1"/>
  <c r="I20" i="31" s="1"/>
  <c r="F86" i="31"/>
  <c r="E86" i="31"/>
  <c r="O85" i="31"/>
  <c r="N85" i="31"/>
  <c r="K85" i="31"/>
  <c r="L85" i="31" s="1"/>
  <c r="L19" i="31" s="1"/>
  <c r="H85" i="31"/>
  <c r="I85" i="31" s="1"/>
  <c r="I19" i="31" s="1"/>
  <c r="F85" i="31"/>
  <c r="E85" i="31"/>
  <c r="N84" i="31"/>
  <c r="O84" i="31" s="1"/>
  <c r="L84" i="31"/>
  <c r="K84" i="31"/>
  <c r="H84" i="31"/>
  <c r="I84" i="31" s="1"/>
  <c r="F84" i="31"/>
  <c r="E84" i="31"/>
  <c r="N83" i="31"/>
  <c r="O83" i="31" s="1"/>
  <c r="L83" i="31"/>
  <c r="K83" i="31"/>
  <c r="H83" i="31"/>
  <c r="I83" i="31" s="1"/>
  <c r="F83" i="31"/>
  <c r="E83" i="31"/>
  <c r="O82" i="31"/>
  <c r="N82" i="31"/>
  <c r="K82" i="31"/>
  <c r="L82" i="31" s="1"/>
  <c r="H82" i="31"/>
  <c r="I82" i="31" s="1"/>
  <c r="F82" i="31"/>
  <c r="E82" i="31"/>
  <c r="N81" i="31"/>
  <c r="O81" i="31" s="1"/>
  <c r="K81" i="31"/>
  <c r="L81" i="31" s="1"/>
  <c r="H81" i="31"/>
  <c r="I81" i="31" s="1"/>
  <c r="F81" i="31"/>
  <c r="E81" i="31"/>
  <c r="O80" i="31"/>
  <c r="N80" i="31"/>
  <c r="L80" i="31"/>
  <c r="K80" i="31"/>
  <c r="H80" i="31"/>
  <c r="I80" i="31" s="1"/>
  <c r="F80" i="31"/>
  <c r="E80" i="31"/>
  <c r="O79" i="31"/>
  <c r="N79" i="31"/>
  <c r="L79" i="31"/>
  <c r="K79" i="31"/>
  <c r="H79" i="31"/>
  <c r="I79" i="31" s="1"/>
  <c r="F79" i="31"/>
  <c r="E79" i="31"/>
  <c r="N78" i="31"/>
  <c r="O78" i="31" s="1"/>
  <c r="K78" i="31"/>
  <c r="L78" i="31" s="1"/>
  <c r="H78" i="31"/>
  <c r="I78" i="31" s="1"/>
  <c r="F78" i="31"/>
  <c r="E78" i="31"/>
  <c r="O77" i="31"/>
  <c r="N77" i="31"/>
  <c r="K77" i="31"/>
  <c r="L77" i="31" s="1"/>
  <c r="H77" i="31"/>
  <c r="I77" i="31" s="1"/>
  <c r="F77" i="31"/>
  <c r="E77" i="31"/>
  <c r="N76" i="31"/>
  <c r="O76" i="31" s="1"/>
  <c r="L76" i="31"/>
  <c r="K76" i="31"/>
  <c r="H76" i="31"/>
  <c r="I76" i="31" s="1"/>
  <c r="F76" i="31"/>
  <c r="E76" i="31"/>
  <c r="N75" i="31"/>
  <c r="O75" i="31" s="1"/>
  <c r="L75" i="31"/>
  <c r="K75" i="31"/>
  <c r="H75" i="31"/>
  <c r="I75" i="31" s="1"/>
  <c r="F75" i="31"/>
  <c r="E75" i="31"/>
  <c r="O74" i="31"/>
  <c r="N74" i="31"/>
  <c r="K74" i="31"/>
  <c r="L74" i="31" s="1"/>
  <c r="H74" i="31"/>
  <c r="I74" i="31" s="1"/>
  <c r="F74" i="31"/>
  <c r="E74" i="31"/>
  <c r="N73" i="31"/>
  <c r="O73" i="31" s="1"/>
  <c r="K73" i="31"/>
  <c r="L73" i="31" s="1"/>
  <c r="H73" i="31"/>
  <c r="I73" i="31" s="1"/>
  <c r="F73" i="31"/>
  <c r="E73" i="31"/>
  <c r="O72" i="31"/>
  <c r="N72" i="31"/>
  <c r="L72" i="31"/>
  <c r="K72" i="31"/>
  <c r="H72" i="31"/>
  <c r="I72" i="31" s="1"/>
  <c r="F72" i="31"/>
  <c r="E72" i="31"/>
  <c r="O71" i="31"/>
  <c r="N71" i="31"/>
  <c r="L71" i="31"/>
  <c r="K71" i="31"/>
  <c r="H71" i="31"/>
  <c r="H91" i="31" s="1"/>
  <c r="F71" i="31"/>
  <c r="F91" i="31" s="1"/>
  <c r="E71" i="31"/>
  <c r="E91" i="31" s="1"/>
  <c r="M69" i="31"/>
  <c r="J69" i="31"/>
  <c r="G69" i="31"/>
  <c r="D69" i="31"/>
  <c r="B69" i="31"/>
  <c r="M68" i="31"/>
  <c r="G68" i="31"/>
  <c r="B64" i="31"/>
  <c r="N63" i="31"/>
  <c r="O63" i="31" s="1"/>
  <c r="L63" i="31"/>
  <c r="K63" i="31"/>
  <c r="H63" i="31"/>
  <c r="I63" i="31" s="1"/>
  <c r="E63" i="31"/>
  <c r="F63" i="31" s="1"/>
  <c r="O62" i="31"/>
  <c r="N62" i="31"/>
  <c r="L62" i="31"/>
  <c r="K62" i="31"/>
  <c r="I62" i="31"/>
  <c r="H62" i="31"/>
  <c r="E62" i="31"/>
  <c r="F62" i="31" s="1"/>
  <c r="O61" i="31"/>
  <c r="N61" i="31"/>
  <c r="K61" i="31"/>
  <c r="L61" i="31" s="1"/>
  <c r="H61" i="31"/>
  <c r="I61" i="31" s="1"/>
  <c r="E61" i="31"/>
  <c r="F61" i="31" s="1"/>
  <c r="O60" i="31"/>
  <c r="N60" i="31"/>
  <c r="K60" i="31"/>
  <c r="L60" i="31" s="1"/>
  <c r="I60" i="31"/>
  <c r="H60" i="31"/>
  <c r="E60" i="31"/>
  <c r="F60" i="31" s="1"/>
  <c r="N59" i="31"/>
  <c r="N18" i="31" s="1"/>
  <c r="L59" i="31"/>
  <c r="K59" i="31"/>
  <c r="H59" i="31"/>
  <c r="I59" i="31" s="1"/>
  <c r="I18" i="31" s="1"/>
  <c r="E59" i="31"/>
  <c r="F59" i="31" s="1"/>
  <c r="F18" i="31" s="1"/>
  <c r="O58" i="31"/>
  <c r="N58" i="31"/>
  <c r="L58" i="31"/>
  <c r="K58" i="31"/>
  <c r="I58" i="31"/>
  <c r="H58" i="31"/>
  <c r="E58" i="31"/>
  <c r="F58" i="31" s="1"/>
  <c r="O57" i="31"/>
  <c r="N57" i="31"/>
  <c r="K57" i="31"/>
  <c r="L57" i="31" s="1"/>
  <c r="H57" i="31"/>
  <c r="I57" i="31" s="1"/>
  <c r="E57" i="31"/>
  <c r="F57" i="31" s="1"/>
  <c r="O56" i="31"/>
  <c r="N56" i="31"/>
  <c r="K56" i="31"/>
  <c r="L56" i="31" s="1"/>
  <c r="H56" i="31"/>
  <c r="I56" i="31" s="1"/>
  <c r="E56" i="31"/>
  <c r="F56" i="31" s="1"/>
  <c r="N55" i="31"/>
  <c r="O55" i="31" s="1"/>
  <c r="K55" i="31"/>
  <c r="L55" i="31" s="1"/>
  <c r="H55" i="31"/>
  <c r="I55" i="31" s="1"/>
  <c r="E55" i="31"/>
  <c r="F55" i="31" s="1"/>
  <c r="N54" i="31"/>
  <c r="O54" i="31" s="1"/>
  <c r="K54" i="31"/>
  <c r="L54" i="31" s="1"/>
  <c r="I54" i="31"/>
  <c r="H54" i="31"/>
  <c r="E54" i="31"/>
  <c r="F54" i="31" s="1"/>
  <c r="O53" i="31"/>
  <c r="N53" i="31"/>
  <c r="L53" i="31"/>
  <c r="K53" i="31"/>
  <c r="H53" i="31"/>
  <c r="I53" i="31" s="1"/>
  <c r="E53" i="31"/>
  <c r="F53" i="31" s="1"/>
  <c r="N52" i="31"/>
  <c r="O52" i="31" s="1"/>
  <c r="L52" i="31"/>
  <c r="K52" i="31"/>
  <c r="H52" i="31"/>
  <c r="I52" i="31" s="1"/>
  <c r="E52" i="31"/>
  <c r="F52" i="31" s="1"/>
  <c r="O51" i="31"/>
  <c r="N51" i="31"/>
  <c r="L51" i="31"/>
  <c r="K51" i="31"/>
  <c r="H51" i="31"/>
  <c r="I51" i="31" s="1"/>
  <c r="E51" i="31"/>
  <c r="F51" i="31" s="1"/>
  <c r="N50" i="31"/>
  <c r="O50" i="31" s="1"/>
  <c r="L50" i="31"/>
  <c r="K50" i="31"/>
  <c r="I50" i="31"/>
  <c r="H50" i="31"/>
  <c r="E50" i="31"/>
  <c r="F50" i="31" s="1"/>
  <c r="N49" i="31"/>
  <c r="O49" i="31" s="1"/>
  <c r="K49" i="31"/>
  <c r="L49" i="31" s="1"/>
  <c r="H49" i="31"/>
  <c r="I49" i="31" s="1"/>
  <c r="E49" i="31"/>
  <c r="F49" i="31" s="1"/>
  <c r="N48" i="31"/>
  <c r="O48" i="31" s="1"/>
  <c r="K48" i="31"/>
  <c r="L48" i="31" s="1"/>
  <c r="H48" i="31"/>
  <c r="I48" i="31" s="1"/>
  <c r="E48" i="31"/>
  <c r="F48" i="31" s="1"/>
  <c r="O47" i="31"/>
  <c r="N47" i="31"/>
  <c r="K47" i="31"/>
  <c r="L47" i="31" s="1"/>
  <c r="H47" i="31"/>
  <c r="I47" i="31" s="1"/>
  <c r="E47" i="31"/>
  <c r="F47" i="31" s="1"/>
  <c r="O46" i="31"/>
  <c r="N46" i="31"/>
  <c r="K46" i="31"/>
  <c r="L46" i="31" s="1"/>
  <c r="I46" i="31"/>
  <c r="H46" i="31"/>
  <c r="E46" i="31"/>
  <c r="F46" i="31" s="1"/>
  <c r="N45" i="31"/>
  <c r="O45" i="31" s="1"/>
  <c r="L45" i="31"/>
  <c r="K45" i="31"/>
  <c r="H45" i="31"/>
  <c r="I45" i="31" s="1"/>
  <c r="E45" i="31"/>
  <c r="F45" i="31" s="1"/>
  <c r="O44" i="31"/>
  <c r="N44" i="31"/>
  <c r="L44" i="31"/>
  <c r="K44" i="31"/>
  <c r="H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N21" i="31"/>
  <c r="M21" i="31"/>
  <c r="L21" i="31"/>
  <c r="K21" i="31"/>
  <c r="J21" i="31"/>
  <c r="H21" i="31"/>
  <c r="G21" i="31"/>
  <c r="F21" i="31"/>
  <c r="E21" i="31"/>
  <c r="D21" i="31"/>
  <c r="C21" i="31"/>
  <c r="B21" i="31"/>
  <c r="N20" i="31"/>
  <c r="M20" i="31"/>
  <c r="J20" i="31"/>
  <c r="H20" i="31"/>
  <c r="G20" i="31"/>
  <c r="F20" i="31"/>
  <c r="E20" i="31"/>
  <c r="D20" i="31"/>
  <c r="C20" i="31"/>
  <c r="B20" i="31"/>
  <c r="O19" i="31"/>
  <c r="N19" i="31"/>
  <c r="M19" i="31"/>
  <c r="K19" i="31"/>
  <c r="J19" i="31"/>
  <c r="H19" i="31"/>
  <c r="G19" i="31"/>
  <c r="F19" i="31"/>
  <c r="E19" i="31"/>
  <c r="D19" i="31"/>
  <c r="C19" i="31"/>
  <c r="B19" i="31"/>
  <c r="M18" i="31"/>
  <c r="L18" i="31"/>
  <c r="K18" i="31"/>
  <c r="J18" i="31"/>
  <c r="H18" i="31"/>
  <c r="G18" i="31"/>
  <c r="E18" i="31"/>
  <c r="D18" i="31"/>
  <c r="C18" i="31"/>
  <c r="B18" i="31"/>
  <c r="O17" i="31"/>
  <c r="N17" i="31"/>
  <c r="M17" i="31"/>
  <c r="K17" i="31"/>
  <c r="J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N197" i="30"/>
  <c r="O197" i="30" s="1"/>
  <c r="K197" i="30"/>
  <c r="L197" i="30" s="1"/>
  <c r="H197" i="30"/>
  <c r="I197" i="30" s="1"/>
  <c r="F197" i="30"/>
  <c r="E197" i="30"/>
  <c r="N196" i="30"/>
  <c r="O196" i="30" s="1"/>
  <c r="L196" i="30"/>
  <c r="K196" i="30"/>
  <c r="H196" i="30"/>
  <c r="I196" i="30" s="1"/>
  <c r="F196" i="30"/>
  <c r="E196" i="30"/>
  <c r="O195" i="30"/>
  <c r="N195" i="30"/>
  <c r="K195" i="30"/>
  <c r="L195" i="30" s="1"/>
  <c r="H195" i="30"/>
  <c r="I195" i="30" s="1"/>
  <c r="F195" i="30"/>
  <c r="E195" i="30"/>
  <c r="O194" i="30"/>
  <c r="N194" i="30"/>
  <c r="L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F193" i="30"/>
  <c r="E193" i="30"/>
  <c r="N192" i="30"/>
  <c r="O192" i="30" s="1"/>
  <c r="L192" i="30"/>
  <c r="K192" i="30"/>
  <c r="H192" i="30"/>
  <c r="I192" i="30" s="1"/>
  <c r="F192" i="30"/>
  <c r="E192" i="30"/>
  <c r="O191" i="30"/>
  <c r="N191" i="30"/>
  <c r="K191" i="30"/>
  <c r="L191" i="30" s="1"/>
  <c r="H191" i="30"/>
  <c r="I191" i="30" s="1"/>
  <c r="F191" i="30"/>
  <c r="E191" i="30"/>
  <c r="O190" i="30"/>
  <c r="N190" i="30"/>
  <c r="L190" i="30"/>
  <c r="K190" i="30"/>
  <c r="H190" i="30"/>
  <c r="I190" i="30" s="1"/>
  <c r="F190" i="30"/>
  <c r="E190" i="30"/>
  <c r="N189" i="30"/>
  <c r="O189" i="30" s="1"/>
  <c r="K189" i="30"/>
  <c r="L189" i="30" s="1"/>
  <c r="H189" i="30"/>
  <c r="I189" i="30" s="1"/>
  <c r="F189" i="30"/>
  <c r="E189" i="30"/>
  <c r="N188" i="30"/>
  <c r="O188" i="30" s="1"/>
  <c r="L188" i="30"/>
  <c r="K188" i="30"/>
  <c r="H188" i="30"/>
  <c r="I188" i="30" s="1"/>
  <c r="F188" i="30"/>
  <c r="E188" i="30"/>
  <c r="N187" i="30"/>
  <c r="O187" i="30" s="1"/>
  <c r="K187" i="30"/>
  <c r="L187" i="30" s="1"/>
  <c r="H187" i="30"/>
  <c r="I187" i="30" s="1"/>
  <c r="F187" i="30"/>
  <c r="E187" i="30"/>
  <c r="O186" i="30"/>
  <c r="N186" i="30"/>
  <c r="L186" i="30"/>
  <c r="K186" i="30"/>
  <c r="H186" i="30"/>
  <c r="I186" i="30" s="1"/>
  <c r="F186" i="30"/>
  <c r="E186" i="30"/>
  <c r="N185" i="30"/>
  <c r="O185" i="30" s="1"/>
  <c r="K185" i="30"/>
  <c r="L185" i="30" s="1"/>
  <c r="H185" i="30"/>
  <c r="I185" i="30" s="1"/>
  <c r="F185" i="30"/>
  <c r="E185" i="30"/>
  <c r="N184" i="30"/>
  <c r="O184" i="30" s="1"/>
  <c r="L184" i="30"/>
  <c r="K184" i="30"/>
  <c r="H184" i="30"/>
  <c r="I184" i="30" s="1"/>
  <c r="F184" i="30"/>
  <c r="E184" i="30"/>
  <c r="O183" i="30"/>
  <c r="N183" i="30"/>
  <c r="K183" i="30"/>
  <c r="L183" i="30" s="1"/>
  <c r="H183" i="30"/>
  <c r="I183" i="30" s="1"/>
  <c r="F183" i="30"/>
  <c r="E183" i="30"/>
  <c r="N182" i="30"/>
  <c r="O182" i="30" s="1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L180" i="30"/>
  <c r="K180" i="30"/>
  <c r="H180" i="30"/>
  <c r="I180" i="30" s="1"/>
  <c r="F180" i="30"/>
  <c r="E180" i="30"/>
  <c r="N179" i="30"/>
  <c r="K179" i="30"/>
  <c r="L179" i="30" s="1"/>
  <c r="H179" i="30"/>
  <c r="H19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O171" i="30"/>
  <c r="N171" i="30"/>
  <c r="L171" i="30"/>
  <c r="K171" i="30"/>
  <c r="H171" i="30"/>
  <c r="I171" i="30" s="1"/>
  <c r="F171" i="30"/>
  <c r="E171" i="30"/>
  <c r="N170" i="30"/>
  <c r="O170" i="30" s="1"/>
  <c r="K170" i="30"/>
  <c r="L170" i="30" s="1"/>
  <c r="H170" i="30"/>
  <c r="I170" i="30" s="1"/>
  <c r="F170" i="30"/>
  <c r="E170" i="30"/>
  <c r="O169" i="30"/>
  <c r="N169" i="30"/>
  <c r="K169" i="30"/>
  <c r="L169" i="30" s="1"/>
  <c r="L17" i="30" s="1"/>
  <c r="H169" i="30"/>
  <c r="I169" i="30" s="1"/>
  <c r="I17" i="30" s="1"/>
  <c r="F169" i="30"/>
  <c r="E169" i="30"/>
  <c r="N168" i="30"/>
  <c r="O168" i="30" s="1"/>
  <c r="K168" i="30"/>
  <c r="L168" i="30" s="1"/>
  <c r="H168" i="30"/>
  <c r="I168" i="30" s="1"/>
  <c r="F168" i="30"/>
  <c r="E168" i="30"/>
  <c r="O167" i="30"/>
  <c r="N167" i="30"/>
  <c r="L167" i="30"/>
  <c r="K167" i="30"/>
  <c r="H167" i="30"/>
  <c r="I167" i="30" s="1"/>
  <c r="F167" i="30"/>
  <c r="E167" i="30"/>
  <c r="O166" i="30"/>
  <c r="N166" i="30"/>
  <c r="K166" i="30"/>
  <c r="L166" i="30" s="1"/>
  <c r="H166" i="30"/>
  <c r="I166" i="30" s="1"/>
  <c r="F166" i="30"/>
  <c r="E166" i="30"/>
  <c r="N165" i="30"/>
  <c r="O165" i="30" s="1"/>
  <c r="K165" i="30"/>
  <c r="L165" i="30" s="1"/>
  <c r="H165" i="30"/>
  <c r="I165" i="30" s="1"/>
  <c r="F165" i="30"/>
  <c r="E165" i="30"/>
  <c r="O164" i="30"/>
  <c r="N164" i="30"/>
  <c r="K164" i="30"/>
  <c r="L164" i="30" s="1"/>
  <c r="H164" i="30"/>
  <c r="I164" i="30" s="1"/>
  <c r="F164" i="30"/>
  <c r="E164" i="30"/>
  <c r="N163" i="30"/>
  <c r="O163" i="30" s="1"/>
  <c r="L163" i="30"/>
  <c r="K163" i="30"/>
  <c r="H163" i="30"/>
  <c r="I163" i="30" s="1"/>
  <c r="F163" i="30"/>
  <c r="E163" i="30"/>
  <c r="N162" i="30"/>
  <c r="O162" i="30" s="1"/>
  <c r="K162" i="30"/>
  <c r="L162" i="30" s="1"/>
  <c r="H162" i="30"/>
  <c r="I162" i="30" s="1"/>
  <c r="F162" i="30"/>
  <c r="E162" i="30"/>
  <c r="N161" i="30"/>
  <c r="O161" i="30" s="1"/>
  <c r="O21" i="30" s="1"/>
  <c r="L161" i="30"/>
  <c r="K161" i="30"/>
  <c r="H161" i="30"/>
  <c r="I161" i="30" s="1"/>
  <c r="I21" i="30" s="1"/>
  <c r="F161" i="30"/>
  <c r="E161" i="30"/>
  <c r="N160" i="30"/>
  <c r="O160" i="30" s="1"/>
  <c r="K160" i="30"/>
  <c r="L160" i="30" s="1"/>
  <c r="H160" i="30"/>
  <c r="I160" i="30" s="1"/>
  <c r="F160" i="30"/>
  <c r="E160" i="30"/>
  <c r="O159" i="30"/>
  <c r="N159" i="30"/>
  <c r="L159" i="30"/>
  <c r="K159" i="30"/>
  <c r="H159" i="30"/>
  <c r="I159" i="30" s="1"/>
  <c r="F159" i="30"/>
  <c r="E159" i="30"/>
  <c r="N158" i="30"/>
  <c r="O158" i="30" s="1"/>
  <c r="K158" i="30"/>
  <c r="L158" i="30" s="1"/>
  <c r="H158" i="30"/>
  <c r="I158" i="30" s="1"/>
  <c r="F158" i="30"/>
  <c r="E158" i="30"/>
  <c r="N157" i="30"/>
  <c r="O157" i="30" s="1"/>
  <c r="K157" i="30"/>
  <c r="L157" i="30" s="1"/>
  <c r="H157" i="30"/>
  <c r="I157" i="30" s="1"/>
  <c r="F157" i="30"/>
  <c r="E157" i="30"/>
  <c r="N156" i="30"/>
  <c r="O156" i="30" s="1"/>
  <c r="K156" i="30"/>
  <c r="L156" i="30" s="1"/>
  <c r="H156" i="30"/>
  <c r="I156" i="30" s="1"/>
  <c r="F156" i="30"/>
  <c r="E156" i="30"/>
  <c r="N155" i="30"/>
  <c r="O155" i="30" s="1"/>
  <c r="L155" i="30"/>
  <c r="K155" i="30"/>
  <c r="H155" i="30"/>
  <c r="I155" i="30" s="1"/>
  <c r="F155" i="30"/>
  <c r="E155" i="30"/>
  <c r="O154" i="30"/>
  <c r="N154" i="30"/>
  <c r="K154" i="30"/>
  <c r="L154" i="30" s="1"/>
  <c r="H154" i="30"/>
  <c r="I154" i="30" s="1"/>
  <c r="F154" i="30"/>
  <c r="E154" i="30"/>
  <c r="N153" i="30"/>
  <c r="O153" i="30" s="1"/>
  <c r="K153" i="30"/>
  <c r="L153" i="30" s="1"/>
  <c r="H153" i="30"/>
  <c r="I153" i="30" s="1"/>
  <c r="F153" i="30"/>
  <c r="E153" i="30"/>
  <c r="O152" i="30"/>
  <c r="N152" i="30"/>
  <c r="K152" i="30"/>
  <c r="L152" i="30" s="1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N144" i="30"/>
  <c r="O144" i="30" s="1"/>
  <c r="L144" i="30"/>
  <c r="K144" i="30"/>
  <c r="H144" i="30"/>
  <c r="I144" i="30" s="1"/>
  <c r="E144" i="30"/>
  <c r="F144" i="30" s="1"/>
  <c r="O143" i="30"/>
  <c r="N143" i="30"/>
  <c r="K143" i="30"/>
  <c r="L143" i="30" s="1"/>
  <c r="H143" i="30"/>
  <c r="I143" i="30" s="1"/>
  <c r="E143" i="30"/>
  <c r="F143" i="30" s="1"/>
  <c r="O142" i="30"/>
  <c r="N142" i="30"/>
  <c r="L142" i="30"/>
  <c r="K142" i="30"/>
  <c r="I142" i="30"/>
  <c r="H142" i="30"/>
  <c r="E142" i="30"/>
  <c r="F142" i="30" s="1"/>
  <c r="O141" i="30"/>
  <c r="N141" i="30"/>
  <c r="K141" i="30"/>
  <c r="L141" i="30" s="1"/>
  <c r="H141" i="30"/>
  <c r="I141" i="30" s="1"/>
  <c r="E141" i="30"/>
  <c r="F141" i="30" s="1"/>
  <c r="O140" i="30"/>
  <c r="N140" i="30"/>
  <c r="L140" i="30"/>
  <c r="K140" i="30"/>
  <c r="H140" i="30"/>
  <c r="I140" i="30" s="1"/>
  <c r="I18" i="30" s="1"/>
  <c r="E140" i="30"/>
  <c r="F140" i="30" s="1"/>
  <c r="F18" i="30" s="1"/>
  <c r="N139" i="30"/>
  <c r="O139" i="30" s="1"/>
  <c r="K139" i="30"/>
  <c r="L139" i="30" s="1"/>
  <c r="H139" i="30"/>
  <c r="I139" i="30" s="1"/>
  <c r="E139" i="30"/>
  <c r="F139" i="30" s="1"/>
  <c r="O138" i="30"/>
  <c r="N138" i="30"/>
  <c r="K138" i="30"/>
  <c r="L138" i="30" s="1"/>
  <c r="I138" i="30"/>
  <c r="H138" i="30"/>
  <c r="E138" i="30"/>
  <c r="F138" i="30" s="1"/>
  <c r="N137" i="30"/>
  <c r="O137" i="30" s="1"/>
  <c r="L137" i="30"/>
  <c r="K137" i="30"/>
  <c r="H137" i="30"/>
  <c r="I137" i="30" s="1"/>
  <c r="E137" i="30"/>
  <c r="F137" i="30" s="1"/>
  <c r="O136" i="30"/>
  <c r="N136" i="30"/>
  <c r="K136" i="30"/>
  <c r="L136" i="30" s="1"/>
  <c r="H136" i="30"/>
  <c r="I136" i="30" s="1"/>
  <c r="E136" i="30"/>
  <c r="F136" i="30" s="1"/>
  <c r="N135" i="30"/>
  <c r="O135" i="30" s="1"/>
  <c r="L135" i="30"/>
  <c r="K135" i="30"/>
  <c r="H135" i="30"/>
  <c r="I135" i="30" s="1"/>
  <c r="E135" i="30"/>
  <c r="F135" i="30" s="1"/>
  <c r="N134" i="30"/>
  <c r="O134" i="30" s="1"/>
  <c r="K134" i="30"/>
  <c r="L134" i="30" s="1"/>
  <c r="I134" i="30"/>
  <c r="H134" i="30"/>
  <c r="E134" i="30"/>
  <c r="F134" i="30" s="1"/>
  <c r="N133" i="30"/>
  <c r="O133" i="30" s="1"/>
  <c r="K133" i="30"/>
  <c r="L133" i="30" s="1"/>
  <c r="H133" i="30"/>
  <c r="I133" i="30" s="1"/>
  <c r="E133" i="30"/>
  <c r="F133" i="30" s="1"/>
  <c r="N132" i="30"/>
  <c r="O132" i="30" s="1"/>
  <c r="K132" i="30"/>
  <c r="L132" i="30" s="1"/>
  <c r="H132" i="30"/>
  <c r="I132" i="30" s="1"/>
  <c r="E132" i="30"/>
  <c r="F132" i="30" s="1"/>
  <c r="N131" i="30"/>
  <c r="O131" i="30" s="1"/>
  <c r="K131" i="30"/>
  <c r="L131" i="30" s="1"/>
  <c r="H131" i="30"/>
  <c r="I131" i="30" s="1"/>
  <c r="E131" i="30"/>
  <c r="F131" i="30" s="1"/>
  <c r="O130" i="30"/>
  <c r="N130" i="30"/>
  <c r="K130" i="30"/>
  <c r="L130" i="30" s="1"/>
  <c r="I130" i="30"/>
  <c r="H130" i="30"/>
  <c r="E130" i="30"/>
  <c r="F130" i="30" s="1"/>
  <c r="N129" i="30"/>
  <c r="O129" i="30" s="1"/>
  <c r="K129" i="30"/>
  <c r="L129" i="30" s="1"/>
  <c r="H129" i="30"/>
  <c r="I129" i="30" s="1"/>
  <c r="E129" i="30"/>
  <c r="F129" i="30" s="1"/>
  <c r="N128" i="30"/>
  <c r="O128" i="30" s="1"/>
  <c r="L128" i="30"/>
  <c r="K128" i="30"/>
  <c r="I128" i="30"/>
  <c r="H128" i="30"/>
  <c r="E128" i="30"/>
  <c r="F128" i="30" s="1"/>
  <c r="N127" i="30"/>
  <c r="O127" i="30" s="1"/>
  <c r="K127" i="30"/>
  <c r="L127" i="30" s="1"/>
  <c r="H127" i="30"/>
  <c r="I127" i="30" s="1"/>
  <c r="E127" i="30"/>
  <c r="F127" i="30" s="1"/>
  <c r="N126" i="30"/>
  <c r="O126" i="30" s="1"/>
  <c r="L126" i="30"/>
  <c r="K126" i="30"/>
  <c r="I126" i="30"/>
  <c r="H126" i="30"/>
  <c r="E126" i="30"/>
  <c r="F126" i="30" s="1"/>
  <c r="N125" i="30"/>
  <c r="L125" i="30"/>
  <c r="K125" i="30"/>
  <c r="H125" i="30"/>
  <c r="H145" i="30" s="1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K117" i="30"/>
  <c r="L117" i="30" s="1"/>
  <c r="H117" i="30"/>
  <c r="I117" i="30" s="1"/>
  <c r="E117" i="30"/>
  <c r="F117" i="30" s="1"/>
  <c r="O116" i="30"/>
  <c r="N116" i="30"/>
  <c r="L116" i="30"/>
  <c r="K116" i="30"/>
  <c r="H116" i="30"/>
  <c r="I116" i="30" s="1"/>
  <c r="E116" i="30"/>
  <c r="F116" i="30" s="1"/>
  <c r="N115" i="30"/>
  <c r="O115" i="30" s="1"/>
  <c r="K115" i="30"/>
  <c r="L115" i="30" s="1"/>
  <c r="I115" i="30"/>
  <c r="H115" i="30"/>
  <c r="E115" i="30"/>
  <c r="F115" i="30" s="1"/>
  <c r="O114" i="30"/>
  <c r="N114" i="30"/>
  <c r="K114" i="30"/>
  <c r="L114" i="30" s="1"/>
  <c r="H114" i="30"/>
  <c r="I114" i="30" s="1"/>
  <c r="E114" i="30"/>
  <c r="F114" i="30" s="1"/>
  <c r="N113" i="30"/>
  <c r="O113" i="30" s="1"/>
  <c r="K113" i="30"/>
  <c r="L113" i="30" s="1"/>
  <c r="H113" i="30"/>
  <c r="I113" i="30" s="1"/>
  <c r="E113" i="30"/>
  <c r="F113" i="30" s="1"/>
  <c r="N112" i="30"/>
  <c r="O112" i="30" s="1"/>
  <c r="K112" i="30"/>
  <c r="L112" i="30" s="1"/>
  <c r="H112" i="30"/>
  <c r="I112" i="30" s="1"/>
  <c r="E112" i="30"/>
  <c r="F112" i="30" s="1"/>
  <c r="O111" i="30"/>
  <c r="O30" i="30" s="1"/>
  <c r="N111" i="30"/>
  <c r="K111" i="30"/>
  <c r="K30" i="30" s="1"/>
  <c r="I111" i="30"/>
  <c r="I30" i="30" s="1"/>
  <c r="H111" i="30"/>
  <c r="E111" i="30"/>
  <c r="F111" i="30" s="1"/>
  <c r="F30" i="30" s="1"/>
  <c r="N110" i="30"/>
  <c r="O110" i="30" s="1"/>
  <c r="K110" i="30"/>
  <c r="L110" i="30" s="1"/>
  <c r="H110" i="30"/>
  <c r="I110" i="30" s="1"/>
  <c r="E110" i="30"/>
  <c r="F110" i="30" s="1"/>
  <c r="N109" i="30"/>
  <c r="O109" i="30" s="1"/>
  <c r="O28" i="30" s="1"/>
  <c r="L109" i="30"/>
  <c r="L28" i="30" s="1"/>
  <c r="K109" i="30"/>
  <c r="I109" i="30"/>
  <c r="H109" i="30"/>
  <c r="E109" i="30"/>
  <c r="F109" i="30" s="1"/>
  <c r="F28" i="30" s="1"/>
  <c r="N108" i="30"/>
  <c r="O108" i="30" s="1"/>
  <c r="K108" i="30"/>
  <c r="L108" i="30" s="1"/>
  <c r="H108" i="30"/>
  <c r="I108" i="30" s="1"/>
  <c r="E108" i="30"/>
  <c r="F108" i="30" s="1"/>
  <c r="N107" i="30"/>
  <c r="O107" i="30" s="1"/>
  <c r="L107" i="30"/>
  <c r="K107" i="30"/>
  <c r="I107" i="30"/>
  <c r="H107" i="30"/>
  <c r="E107" i="30"/>
  <c r="F107" i="30" s="1"/>
  <c r="N106" i="30"/>
  <c r="O106" i="30" s="1"/>
  <c r="L106" i="30"/>
  <c r="K106" i="30"/>
  <c r="H106" i="30"/>
  <c r="I106" i="30" s="1"/>
  <c r="E106" i="30"/>
  <c r="F106" i="30" s="1"/>
  <c r="O105" i="30"/>
  <c r="O24" i="30" s="1"/>
  <c r="N105" i="30"/>
  <c r="K105" i="30"/>
  <c r="L105" i="30" s="1"/>
  <c r="L24" i="30" s="1"/>
  <c r="I105" i="30"/>
  <c r="H105" i="30"/>
  <c r="E105" i="30"/>
  <c r="F105" i="30" s="1"/>
  <c r="F24" i="30" s="1"/>
  <c r="N104" i="30"/>
  <c r="O104" i="30" s="1"/>
  <c r="L104" i="30"/>
  <c r="K104" i="30"/>
  <c r="H104" i="30"/>
  <c r="I104" i="30" s="1"/>
  <c r="E104" i="30"/>
  <c r="F104" i="30" s="1"/>
  <c r="O103" i="30"/>
  <c r="N103" i="30"/>
  <c r="K103" i="30"/>
  <c r="L103" i="30" s="1"/>
  <c r="L22" i="30" s="1"/>
  <c r="I103" i="30"/>
  <c r="H103" i="30"/>
  <c r="E103" i="30"/>
  <c r="F103" i="30" s="1"/>
  <c r="F22" i="30" s="1"/>
  <c r="N102" i="30"/>
  <c r="O102" i="30" s="1"/>
  <c r="K102" i="30"/>
  <c r="L102" i="30" s="1"/>
  <c r="H102" i="30"/>
  <c r="I102" i="30" s="1"/>
  <c r="E102" i="30"/>
  <c r="F102" i="30" s="1"/>
  <c r="N101" i="30"/>
  <c r="O101" i="30" s="1"/>
  <c r="L101" i="30"/>
  <c r="K101" i="30"/>
  <c r="I101" i="30"/>
  <c r="H101" i="30"/>
  <c r="E101" i="30"/>
  <c r="F101" i="30" s="1"/>
  <c r="N100" i="30"/>
  <c r="O100" i="30" s="1"/>
  <c r="K100" i="30"/>
  <c r="L100" i="30" s="1"/>
  <c r="H100" i="30"/>
  <c r="I100" i="30" s="1"/>
  <c r="E100" i="30"/>
  <c r="F100" i="30" s="1"/>
  <c r="N99" i="30"/>
  <c r="O99" i="30" s="1"/>
  <c r="L99" i="30"/>
  <c r="K99" i="30"/>
  <c r="I99" i="30"/>
  <c r="H99" i="30"/>
  <c r="E99" i="30"/>
  <c r="F99" i="30" s="1"/>
  <c r="N98" i="30"/>
  <c r="L98" i="30"/>
  <c r="K98" i="30"/>
  <c r="H98" i="30"/>
  <c r="H118" i="30" s="1"/>
  <c r="E98" i="30"/>
  <c r="E118" i="30" s="1"/>
  <c r="M96" i="30"/>
  <c r="J96" i="30"/>
  <c r="G96" i="30"/>
  <c r="D96" i="30"/>
  <c r="B96" i="30"/>
  <c r="M95" i="30"/>
  <c r="G95" i="30"/>
  <c r="B91" i="30"/>
  <c r="O90" i="30"/>
  <c r="N90" i="30"/>
  <c r="K90" i="30"/>
  <c r="L90" i="30" s="1"/>
  <c r="H90" i="30"/>
  <c r="I90" i="30" s="1"/>
  <c r="E90" i="30"/>
  <c r="F90" i="30" s="1"/>
  <c r="O89" i="30"/>
  <c r="N89" i="30"/>
  <c r="L89" i="30"/>
  <c r="K89" i="30"/>
  <c r="H89" i="30"/>
  <c r="I89" i="30" s="1"/>
  <c r="E89" i="30"/>
  <c r="F89" i="30" s="1"/>
  <c r="N88" i="30"/>
  <c r="O88" i="30" s="1"/>
  <c r="K88" i="30"/>
  <c r="L88" i="30" s="1"/>
  <c r="H88" i="30"/>
  <c r="I88" i="30" s="1"/>
  <c r="E88" i="30"/>
  <c r="F88" i="30" s="1"/>
  <c r="O87" i="30"/>
  <c r="N87" i="30"/>
  <c r="L87" i="30"/>
  <c r="K87" i="30"/>
  <c r="I87" i="30"/>
  <c r="H87" i="30"/>
  <c r="E87" i="30"/>
  <c r="F87" i="30" s="1"/>
  <c r="N86" i="30"/>
  <c r="O86" i="30" s="1"/>
  <c r="O20" i="30" s="1"/>
  <c r="K86" i="30"/>
  <c r="L86" i="30" s="1"/>
  <c r="L20" i="30" s="1"/>
  <c r="H86" i="30"/>
  <c r="H20" i="30" s="1"/>
  <c r="E86" i="30"/>
  <c r="F86" i="30" s="1"/>
  <c r="F20" i="30" s="1"/>
  <c r="O85" i="30"/>
  <c r="N85" i="30"/>
  <c r="K85" i="30"/>
  <c r="L85" i="30" s="1"/>
  <c r="H85" i="30"/>
  <c r="I85" i="30" s="1"/>
  <c r="E85" i="30"/>
  <c r="F85" i="30" s="1"/>
  <c r="O84" i="30"/>
  <c r="N84" i="30"/>
  <c r="K84" i="30"/>
  <c r="L84" i="30" s="1"/>
  <c r="H84" i="30"/>
  <c r="I84" i="30" s="1"/>
  <c r="E84" i="30"/>
  <c r="F84" i="30" s="1"/>
  <c r="N83" i="30"/>
  <c r="O83" i="30" s="1"/>
  <c r="K83" i="30"/>
  <c r="L83" i="30" s="1"/>
  <c r="I83" i="30"/>
  <c r="H83" i="30"/>
  <c r="E83" i="30"/>
  <c r="F83" i="30" s="1"/>
  <c r="O82" i="30"/>
  <c r="N82" i="30"/>
  <c r="L82" i="30"/>
  <c r="K82" i="30"/>
  <c r="H82" i="30"/>
  <c r="I82" i="30" s="1"/>
  <c r="E82" i="30"/>
  <c r="F82" i="30" s="1"/>
  <c r="N81" i="30"/>
  <c r="O81" i="30" s="1"/>
  <c r="K81" i="30"/>
  <c r="L81" i="30" s="1"/>
  <c r="H81" i="30"/>
  <c r="I81" i="30" s="1"/>
  <c r="E81" i="30"/>
  <c r="F81" i="30" s="1"/>
  <c r="N80" i="30"/>
  <c r="O80" i="30" s="1"/>
  <c r="L80" i="30"/>
  <c r="K80" i="30"/>
  <c r="H80" i="30"/>
  <c r="I80" i="30" s="1"/>
  <c r="E80" i="30"/>
  <c r="F80" i="30" s="1"/>
  <c r="O79" i="30"/>
  <c r="N79" i="30"/>
  <c r="K79" i="30"/>
  <c r="L79" i="30" s="1"/>
  <c r="I79" i="30"/>
  <c r="H79" i="30"/>
  <c r="E79" i="30"/>
  <c r="F79" i="30" s="1"/>
  <c r="N78" i="30"/>
  <c r="O78" i="30" s="1"/>
  <c r="K78" i="30"/>
  <c r="L78" i="30" s="1"/>
  <c r="H78" i="30"/>
  <c r="I78" i="30" s="1"/>
  <c r="E78" i="30"/>
  <c r="F78" i="30" s="1"/>
  <c r="O77" i="30"/>
  <c r="N77" i="30"/>
  <c r="K77" i="30"/>
  <c r="L77" i="30" s="1"/>
  <c r="H77" i="30"/>
  <c r="I77" i="30" s="1"/>
  <c r="E77" i="30"/>
  <c r="F77" i="30" s="1"/>
  <c r="O76" i="30"/>
  <c r="N76" i="30"/>
  <c r="K76" i="30"/>
  <c r="L76" i="30" s="1"/>
  <c r="H76" i="30"/>
  <c r="I76" i="30" s="1"/>
  <c r="E76" i="30"/>
  <c r="F76" i="30" s="1"/>
  <c r="N75" i="30"/>
  <c r="O75" i="30" s="1"/>
  <c r="K75" i="30"/>
  <c r="L75" i="30" s="1"/>
  <c r="I75" i="30"/>
  <c r="H75" i="30"/>
  <c r="E75" i="30"/>
  <c r="F75" i="30" s="1"/>
  <c r="O74" i="30"/>
  <c r="N74" i="30"/>
  <c r="K74" i="30"/>
  <c r="L74" i="30" s="1"/>
  <c r="H74" i="30"/>
  <c r="I74" i="30" s="1"/>
  <c r="E74" i="30"/>
  <c r="F74" i="30" s="1"/>
  <c r="O73" i="30"/>
  <c r="N73" i="30"/>
  <c r="L73" i="30"/>
  <c r="L29" i="30" s="1"/>
  <c r="K73" i="30"/>
  <c r="H73" i="30"/>
  <c r="I73" i="30" s="1"/>
  <c r="E73" i="30"/>
  <c r="F73" i="30" s="1"/>
  <c r="N72" i="30"/>
  <c r="O72" i="30" s="1"/>
  <c r="O26" i="30" s="1"/>
  <c r="K72" i="30"/>
  <c r="K26" i="30" s="1"/>
  <c r="H72" i="30"/>
  <c r="I72" i="30" s="1"/>
  <c r="I26" i="30" s="1"/>
  <c r="E72" i="30"/>
  <c r="F72" i="30" s="1"/>
  <c r="F26" i="30" s="1"/>
  <c r="O71" i="30"/>
  <c r="N71" i="30"/>
  <c r="L71" i="30"/>
  <c r="K71" i="30"/>
  <c r="I71" i="30"/>
  <c r="H71" i="30"/>
  <c r="E71" i="30"/>
  <c r="E91" i="30" s="1"/>
  <c r="M69" i="30"/>
  <c r="J69" i="30"/>
  <c r="G69" i="30"/>
  <c r="D69" i="30"/>
  <c r="B69" i="30"/>
  <c r="M68" i="30"/>
  <c r="G68" i="30"/>
  <c r="B64" i="30"/>
  <c r="N63" i="30"/>
  <c r="O63" i="30" s="1"/>
  <c r="K63" i="30"/>
  <c r="L63" i="30" s="1"/>
  <c r="H63" i="30"/>
  <c r="I63" i="30" s="1"/>
  <c r="E63" i="30"/>
  <c r="F63" i="30" s="1"/>
  <c r="O62" i="30"/>
  <c r="N62" i="30"/>
  <c r="L62" i="30"/>
  <c r="K62" i="30"/>
  <c r="H62" i="30"/>
  <c r="I62" i="30" s="1"/>
  <c r="E62" i="30"/>
  <c r="F62" i="30" s="1"/>
  <c r="N61" i="30"/>
  <c r="O61" i="30" s="1"/>
  <c r="K61" i="30"/>
  <c r="L61" i="30" s="1"/>
  <c r="H61" i="30"/>
  <c r="I61" i="30" s="1"/>
  <c r="E61" i="30"/>
  <c r="F61" i="30" s="1"/>
  <c r="N60" i="30"/>
  <c r="O60" i="30" s="1"/>
  <c r="L60" i="30"/>
  <c r="K60" i="30"/>
  <c r="I60" i="30"/>
  <c r="H60" i="30"/>
  <c r="E60" i="30"/>
  <c r="F60" i="30" s="1"/>
  <c r="N59" i="30"/>
  <c r="O59" i="30" s="1"/>
  <c r="L59" i="30"/>
  <c r="K59" i="30"/>
  <c r="H59" i="30"/>
  <c r="I59" i="30" s="1"/>
  <c r="E59" i="30"/>
  <c r="F59" i="30" s="1"/>
  <c r="O58" i="30"/>
  <c r="N58" i="30"/>
  <c r="K58" i="30"/>
  <c r="L58" i="30" s="1"/>
  <c r="I58" i="30"/>
  <c r="H58" i="30"/>
  <c r="E58" i="30"/>
  <c r="F58" i="30" s="1"/>
  <c r="N57" i="30"/>
  <c r="O57" i="30" s="1"/>
  <c r="L57" i="30"/>
  <c r="K57" i="30"/>
  <c r="H57" i="30"/>
  <c r="I57" i="30" s="1"/>
  <c r="E57" i="30"/>
  <c r="F57" i="30" s="1"/>
  <c r="O56" i="30"/>
  <c r="N56" i="30"/>
  <c r="K56" i="30"/>
  <c r="L56" i="30" s="1"/>
  <c r="I56" i="30"/>
  <c r="H56" i="30"/>
  <c r="E56" i="30"/>
  <c r="F56" i="30" s="1"/>
  <c r="N55" i="30"/>
  <c r="O55" i="30" s="1"/>
  <c r="K55" i="30"/>
  <c r="L55" i="30" s="1"/>
  <c r="H55" i="30"/>
  <c r="I55" i="30" s="1"/>
  <c r="E55" i="30"/>
  <c r="F55" i="30" s="1"/>
  <c r="N54" i="30"/>
  <c r="O54" i="30" s="1"/>
  <c r="L54" i="30"/>
  <c r="K54" i="30"/>
  <c r="I54" i="30"/>
  <c r="H54" i="30"/>
  <c r="E54" i="30"/>
  <c r="F54" i="30" s="1"/>
  <c r="N53" i="30"/>
  <c r="O53" i="30" s="1"/>
  <c r="K53" i="30"/>
  <c r="L53" i="30" s="1"/>
  <c r="H53" i="30"/>
  <c r="I53" i="30" s="1"/>
  <c r="E53" i="30"/>
  <c r="F53" i="30" s="1"/>
  <c r="N52" i="30"/>
  <c r="O52" i="30" s="1"/>
  <c r="L52" i="30"/>
  <c r="K52" i="30"/>
  <c r="I52" i="30"/>
  <c r="H52" i="30"/>
  <c r="E52" i="30"/>
  <c r="F52" i="30" s="1"/>
  <c r="N51" i="30"/>
  <c r="O51" i="30" s="1"/>
  <c r="L51" i="30"/>
  <c r="K51" i="30"/>
  <c r="H51" i="30"/>
  <c r="I51" i="30" s="1"/>
  <c r="E51" i="30"/>
  <c r="F51" i="30" s="1"/>
  <c r="O50" i="30"/>
  <c r="N50" i="30"/>
  <c r="K50" i="30"/>
  <c r="L50" i="30" s="1"/>
  <c r="I50" i="30"/>
  <c r="H50" i="30"/>
  <c r="E50" i="30"/>
  <c r="F50" i="30" s="1"/>
  <c r="N49" i="30"/>
  <c r="O49" i="30" s="1"/>
  <c r="L49" i="30"/>
  <c r="K49" i="30"/>
  <c r="H49" i="30"/>
  <c r="I49" i="30" s="1"/>
  <c r="E49" i="30"/>
  <c r="F49" i="30" s="1"/>
  <c r="O48" i="30"/>
  <c r="N48" i="30"/>
  <c r="K48" i="30"/>
  <c r="L48" i="30" s="1"/>
  <c r="I48" i="30"/>
  <c r="H48" i="30"/>
  <c r="E48" i="30"/>
  <c r="F48" i="30" s="1"/>
  <c r="N47" i="30"/>
  <c r="O47" i="30" s="1"/>
  <c r="O31" i="30" s="1"/>
  <c r="K47" i="30"/>
  <c r="L47" i="30" s="1"/>
  <c r="L31" i="30" s="1"/>
  <c r="H47" i="30"/>
  <c r="I47" i="30" s="1"/>
  <c r="I31" i="30" s="1"/>
  <c r="E47" i="30"/>
  <c r="F47" i="30" s="1"/>
  <c r="F31" i="30" s="1"/>
  <c r="N46" i="30"/>
  <c r="O46" i="30" s="1"/>
  <c r="O27" i="30" s="1"/>
  <c r="L46" i="30"/>
  <c r="K46" i="30"/>
  <c r="I46" i="30"/>
  <c r="H46" i="30"/>
  <c r="E46" i="30"/>
  <c r="F46" i="30" s="1"/>
  <c r="F27" i="30" s="1"/>
  <c r="N45" i="30"/>
  <c r="O45" i="30" s="1"/>
  <c r="O25" i="30" s="1"/>
  <c r="K45" i="30"/>
  <c r="K25" i="30" s="1"/>
  <c r="H45" i="30"/>
  <c r="I45" i="30" s="1"/>
  <c r="I25" i="30" s="1"/>
  <c r="E45" i="30"/>
  <c r="F45" i="30" s="1"/>
  <c r="F25" i="30" s="1"/>
  <c r="N44" i="30"/>
  <c r="N64" i="30" s="1"/>
  <c r="L44" i="30"/>
  <c r="K44" i="30"/>
  <c r="I44" i="30"/>
  <c r="H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N31" i="30"/>
  <c r="M31" i="30"/>
  <c r="K31" i="30"/>
  <c r="J31" i="30"/>
  <c r="G31" i="30"/>
  <c r="E31" i="30"/>
  <c r="D31" i="30"/>
  <c r="C31" i="30"/>
  <c r="B31" i="30"/>
  <c r="N30" i="30"/>
  <c r="M30" i="30"/>
  <c r="J30" i="30"/>
  <c r="H30" i="30"/>
  <c r="G30" i="30"/>
  <c r="E30" i="30"/>
  <c r="D30" i="30"/>
  <c r="C30" i="30"/>
  <c r="B30" i="30"/>
  <c r="O29" i="30"/>
  <c r="N29" i="30"/>
  <c r="M29" i="30"/>
  <c r="K29" i="30"/>
  <c r="J29" i="30"/>
  <c r="H29" i="30"/>
  <c r="G29" i="30"/>
  <c r="E29" i="30"/>
  <c r="D29" i="30"/>
  <c r="C29" i="30"/>
  <c r="B29" i="30"/>
  <c r="M28" i="30"/>
  <c r="K28" i="30"/>
  <c r="J28" i="30"/>
  <c r="I28" i="30"/>
  <c r="H28" i="30"/>
  <c r="G28" i="30"/>
  <c r="E28" i="30"/>
  <c r="D28" i="30"/>
  <c r="C28" i="30"/>
  <c r="B28" i="30"/>
  <c r="N27" i="30"/>
  <c r="M27" i="30"/>
  <c r="L27" i="30"/>
  <c r="K27" i="30"/>
  <c r="J27" i="30"/>
  <c r="I27" i="30"/>
  <c r="H27" i="30"/>
  <c r="G27" i="30"/>
  <c r="E27" i="30"/>
  <c r="D27" i="30"/>
  <c r="C27" i="30"/>
  <c r="B27" i="30"/>
  <c r="M26" i="30"/>
  <c r="J26" i="30"/>
  <c r="H26" i="30"/>
  <c r="G26" i="30"/>
  <c r="E26" i="30"/>
  <c r="D26" i="30"/>
  <c r="C26" i="30"/>
  <c r="B26" i="30"/>
  <c r="N25" i="30"/>
  <c r="M25" i="30"/>
  <c r="J25" i="30"/>
  <c r="H25" i="30"/>
  <c r="G25" i="30"/>
  <c r="E25" i="30"/>
  <c r="D25" i="30"/>
  <c r="C25" i="30"/>
  <c r="B25" i="30"/>
  <c r="N24" i="30"/>
  <c r="M24" i="30"/>
  <c r="K24" i="30"/>
  <c r="J24" i="30"/>
  <c r="I24" i="30"/>
  <c r="H24" i="30"/>
  <c r="G24" i="30"/>
  <c r="E24" i="30"/>
  <c r="D24" i="30"/>
  <c r="C24" i="30"/>
  <c r="B24" i="30"/>
  <c r="N23" i="30"/>
  <c r="M23" i="30"/>
  <c r="L23" i="30"/>
  <c r="K23" i="30"/>
  <c r="J23" i="30"/>
  <c r="I23" i="30"/>
  <c r="H23" i="30"/>
  <c r="G23" i="30"/>
  <c r="E23" i="30"/>
  <c r="D23" i="30"/>
  <c r="C23" i="30"/>
  <c r="B23" i="30"/>
  <c r="O22" i="30"/>
  <c r="N22" i="30"/>
  <c r="M22" i="30"/>
  <c r="J22" i="30"/>
  <c r="I22" i="30"/>
  <c r="H22" i="30"/>
  <c r="G22" i="30"/>
  <c r="E22" i="30"/>
  <c r="D22" i="30"/>
  <c r="C22" i="30"/>
  <c r="B22" i="30"/>
  <c r="N21" i="30"/>
  <c r="M21" i="30"/>
  <c r="L21" i="30"/>
  <c r="K21" i="30"/>
  <c r="J21" i="30"/>
  <c r="H21" i="30"/>
  <c r="G21" i="30"/>
  <c r="F21" i="30"/>
  <c r="E21" i="30"/>
  <c r="D21" i="30"/>
  <c r="C21" i="30"/>
  <c r="B21" i="30"/>
  <c r="M20" i="30"/>
  <c r="K20" i="30"/>
  <c r="J20" i="30"/>
  <c r="G20" i="30"/>
  <c r="E20" i="30"/>
  <c r="D20" i="30"/>
  <c r="C20" i="30"/>
  <c r="B20" i="30"/>
  <c r="O19" i="30"/>
  <c r="N19" i="30"/>
  <c r="M19" i="30"/>
  <c r="K19" i="30"/>
  <c r="J19" i="30"/>
  <c r="H19" i="30"/>
  <c r="G19" i="30"/>
  <c r="E19" i="30"/>
  <c r="D19" i="30"/>
  <c r="C19" i="30"/>
  <c r="B19" i="30"/>
  <c r="O18" i="30"/>
  <c r="N18" i="30"/>
  <c r="M18" i="30"/>
  <c r="L18" i="30"/>
  <c r="K18" i="30"/>
  <c r="J18" i="30"/>
  <c r="H18" i="30"/>
  <c r="G18" i="30"/>
  <c r="E18" i="30"/>
  <c r="D18" i="30"/>
  <c r="C18" i="30"/>
  <c r="B18" i="30"/>
  <c r="O17" i="30"/>
  <c r="N17" i="30"/>
  <c r="M17" i="30"/>
  <c r="K17" i="30"/>
  <c r="J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I198" i="29"/>
  <c r="H198" i="29"/>
  <c r="F198" i="29"/>
  <c r="E198" i="29"/>
  <c r="N197" i="29"/>
  <c r="O197" i="29" s="1"/>
  <c r="L197" i="29"/>
  <c r="K197" i="29"/>
  <c r="I197" i="29"/>
  <c r="H197" i="29"/>
  <c r="F197" i="29"/>
  <c r="E197" i="29"/>
  <c r="N196" i="29"/>
  <c r="O196" i="29" s="1"/>
  <c r="L196" i="29"/>
  <c r="K196" i="29"/>
  <c r="I196" i="29"/>
  <c r="H196" i="29"/>
  <c r="F196" i="29"/>
  <c r="E196" i="29"/>
  <c r="N195" i="29"/>
  <c r="O195" i="29" s="1"/>
  <c r="L195" i="29"/>
  <c r="K195" i="29"/>
  <c r="I195" i="29"/>
  <c r="H195" i="29"/>
  <c r="F195" i="29"/>
  <c r="E195" i="29"/>
  <c r="N194" i="29"/>
  <c r="O194" i="29" s="1"/>
  <c r="L194" i="29"/>
  <c r="K194" i="29"/>
  <c r="I194" i="29"/>
  <c r="H194" i="29"/>
  <c r="F194" i="29"/>
  <c r="E194" i="29"/>
  <c r="N193" i="29"/>
  <c r="O193" i="29" s="1"/>
  <c r="L193" i="29"/>
  <c r="K193" i="29"/>
  <c r="I193" i="29"/>
  <c r="H193" i="29"/>
  <c r="F193" i="29"/>
  <c r="E193" i="29"/>
  <c r="N192" i="29"/>
  <c r="O192" i="29" s="1"/>
  <c r="L192" i="29"/>
  <c r="K192" i="29"/>
  <c r="I192" i="29"/>
  <c r="H192" i="29"/>
  <c r="F192" i="29"/>
  <c r="E192" i="29"/>
  <c r="N191" i="29"/>
  <c r="O191" i="29" s="1"/>
  <c r="L191" i="29"/>
  <c r="K191" i="29"/>
  <c r="I191" i="29"/>
  <c r="H191" i="29"/>
  <c r="F191" i="29"/>
  <c r="E191" i="29"/>
  <c r="N190" i="29"/>
  <c r="O190" i="29" s="1"/>
  <c r="L190" i="29"/>
  <c r="K190" i="29"/>
  <c r="I190" i="29"/>
  <c r="H190" i="29"/>
  <c r="F190" i="29"/>
  <c r="E190" i="29"/>
  <c r="N189" i="29"/>
  <c r="O189" i="29" s="1"/>
  <c r="L189" i="29"/>
  <c r="K189" i="29"/>
  <c r="I189" i="29"/>
  <c r="H189" i="29"/>
  <c r="F189" i="29"/>
  <c r="E189" i="29"/>
  <c r="N188" i="29"/>
  <c r="O188" i="29" s="1"/>
  <c r="L188" i="29"/>
  <c r="K188" i="29"/>
  <c r="I188" i="29"/>
  <c r="H188" i="29"/>
  <c r="F188" i="29"/>
  <c r="E188" i="29"/>
  <c r="N187" i="29"/>
  <c r="O187" i="29" s="1"/>
  <c r="L187" i="29"/>
  <c r="K187" i="29"/>
  <c r="I187" i="29"/>
  <c r="H187" i="29"/>
  <c r="F187" i="29"/>
  <c r="E187" i="29"/>
  <c r="N186" i="29"/>
  <c r="O186" i="29" s="1"/>
  <c r="L186" i="29"/>
  <c r="K186" i="29"/>
  <c r="I186" i="29"/>
  <c r="H186" i="29"/>
  <c r="F186" i="29"/>
  <c r="E186" i="29"/>
  <c r="N185" i="29"/>
  <c r="O185" i="29" s="1"/>
  <c r="L185" i="29"/>
  <c r="K185" i="29"/>
  <c r="I185" i="29"/>
  <c r="H185" i="29"/>
  <c r="F185" i="29"/>
  <c r="E185" i="29"/>
  <c r="N184" i="29"/>
  <c r="O184" i="29" s="1"/>
  <c r="L184" i="29"/>
  <c r="K184" i="29"/>
  <c r="I184" i="29"/>
  <c r="H184" i="29"/>
  <c r="F184" i="29"/>
  <c r="E184" i="29"/>
  <c r="N183" i="29"/>
  <c r="O183" i="29" s="1"/>
  <c r="L183" i="29"/>
  <c r="K183" i="29"/>
  <c r="I183" i="29"/>
  <c r="H183" i="29"/>
  <c r="F183" i="29"/>
  <c r="E183" i="29"/>
  <c r="N182" i="29"/>
  <c r="O182" i="29" s="1"/>
  <c r="L182" i="29"/>
  <c r="K182" i="29"/>
  <c r="I182" i="29"/>
  <c r="H182" i="29"/>
  <c r="F182" i="29"/>
  <c r="E182" i="29"/>
  <c r="N181" i="29"/>
  <c r="O181" i="29" s="1"/>
  <c r="L181" i="29"/>
  <c r="K181" i="29"/>
  <c r="I181" i="29"/>
  <c r="H181" i="29"/>
  <c r="F181" i="29"/>
  <c r="E181" i="29"/>
  <c r="N180" i="29"/>
  <c r="O180" i="29" s="1"/>
  <c r="L180" i="29"/>
  <c r="K180" i="29"/>
  <c r="I180" i="29"/>
  <c r="H180" i="29"/>
  <c r="F180" i="29"/>
  <c r="E180" i="29"/>
  <c r="N179" i="29"/>
  <c r="N199" i="29" s="1"/>
  <c r="L179" i="29"/>
  <c r="L199" i="29" s="1"/>
  <c r="K179" i="29"/>
  <c r="K199" i="29" s="1"/>
  <c r="I179" i="29"/>
  <c r="I199" i="29" s="1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O169" i="29"/>
  <c r="N169" i="29"/>
  <c r="L169" i="29"/>
  <c r="K169" i="29"/>
  <c r="H169" i="29"/>
  <c r="I169" i="29" s="1"/>
  <c r="F169" i="29"/>
  <c r="E169" i="29"/>
  <c r="N168" i="29"/>
  <c r="O168" i="29" s="1"/>
  <c r="K168" i="29"/>
  <c r="L168" i="29" s="1"/>
  <c r="H168" i="29"/>
  <c r="I168" i="29" s="1"/>
  <c r="F168" i="29"/>
  <c r="E168" i="29"/>
  <c r="N167" i="29"/>
  <c r="O167" i="29" s="1"/>
  <c r="L167" i="29"/>
  <c r="K167" i="29"/>
  <c r="H167" i="29"/>
  <c r="I167" i="29" s="1"/>
  <c r="F167" i="29"/>
  <c r="E167" i="29"/>
  <c r="O166" i="29"/>
  <c r="N166" i="29"/>
  <c r="K166" i="29"/>
  <c r="L166" i="29" s="1"/>
  <c r="H166" i="29"/>
  <c r="I166" i="29" s="1"/>
  <c r="F166" i="29"/>
  <c r="E166" i="29"/>
  <c r="N165" i="29"/>
  <c r="O165" i="29" s="1"/>
  <c r="L165" i="29"/>
  <c r="K165" i="29"/>
  <c r="H165" i="29"/>
  <c r="I165" i="29" s="1"/>
  <c r="F165" i="29"/>
  <c r="E165" i="29"/>
  <c r="N164" i="29"/>
  <c r="O164" i="29" s="1"/>
  <c r="K164" i="29"/>
  <c r="L164" i="29" s="1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O161" i="29"/>
  <c r="N161" i="29"/>
  <c r="L161" i="29"/>
  <c r="K161" i="29"/>
  <c r="H161" i="29"/>
  <c r="I161" i="29" s="1"/>
  <c r="F161" i="29"/>
  <c r="E161" i="29"/>
  <c r="N160" i="29"/>
  <c r="O160" i="29" s="1"/>
  <c r="K160" i="29"/>
  <c r="L160" i="29" s="1"/>
  <c r="H160" i="29"/>
  <c r="I160" i="29" s="1"/>
  <c r="F160" i="29"/>
  <c r="E160" i="29"/>
  <c r="N159" i="29"/>
  <c r="O159" i="29" s="1"/>
  <c r="L159" i="29"/>
  <c r="K159" i="29"/>
  <c r="H159" i="29"/>
  <c r="I159" i="29" s="1"/>
  <c r="F159" i="29"/>
  <c r="E159" i="29"/>
  <c r="O158" i="29"/>
  <c r="N158" i="29"/>
  <c r="K158" i="29"/>
  <c r="L158" i="29" s="1"/>
  <c r="H158" i="29"/>
  <c r="I158" i="29" s="1"/>
  <c r="F158" i="29"/>
  <c r="E158" i="29"/>
  <c r="N157" i="29"/>
  <c r="O157" i="29" s="1"/>
  <c r="L157" i="29"/>
  <c r="K157" i="29"/>
  <c r="H157" i="29"/>
  <c r="I157" i="29" s="1"/>
  <c r="F157" i="29"/>
  <c r="E157" i="29"/>
  <c r="N156" i="29"/>
  <c r="O156" i="29" s="1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F155" i="29"/>
  <c r="E155" i="29"/>
  <c r="N154" i="29"/>
  <c r="O154" i="29" s="1"/>
  <c r="K154" i="29"/>
  <c r="L154" i="29" s="1"/>
  <c r="H154" i="29"/>
  <c r="I154" i="29" s="1"/>
  <c r="F154" i="29"/>
  <c r="E154" i="29"/>
  <c r="O153" i="29"/>
  <c r="N153" i="29"/>
  <c r="L153" i="29"/>
  <c r="K153" i="29"/>
  <c r="H153" i="29"/>
  <c r="I153" i="29" s="1"/>
  <c r="F153" i="29"/>
  <c r="E153" i="29"/>
  <c r="N152" i="29"/>
  <c r="N172" i="29" s="1"/>
  <c r="K152" i="29"/>
  <c r="H152" i="29"/>
  <c r="H172" i="29" s="1"/>
  <c r="F152" i="29"/>
  <c r="E152" i="29"/>
  <c r="E172" i="29" s="1"/>
  <c r="M150" i="29"/>
  <c r="J150" i="29"/>
  <c r="G150" i="29"/>
  <c r="D150" i="29"/>
  <c r="B150" i="29"/>
  <c r="M149" i="29"/>
  <c r="G149" i="29"/>
  <c r="B145" i="29"/>
  <c r="N144" i="29"/>
  <c r="O144" i="29" s="1"/>
  <c r="O18" i="29" s="1"/>
  <c r="L144" i="29"/>
  <c r="L18" i="29" s="1"/>
  <c r="K144" i="29"/>
  <c r="I144" i="29"/>
  <c r="H144" i="29"/>
  <c r="F144" i="29"/>
  <c r="F18" i="29" s="1"/>
  <c r="E144" i="29"/>
  <c r="N143" i="29"/>
  <c r="O143" i="29" s="1"/>
  <c r="L143" i="29"/>
  <c r="K143" i="29"/>
  <c r="I143" i="29"/>
  <c r="H143" i="29"/>
  <c r="F143" i="29"/>
  <c r="E143" i="29"/>
  <c r="N142" i="29"/>
  <c r="O142" i="29" s="1"/>
  <c r="L142" i="29"/>
  <c r="K142" i="29"/>
  <c r="I142" i="29"/>
  <c r="H142" i="29"/>
  <c r="F142" i="29"/>
  <c r="E142" i="29"/>
  <c r="N141" i="29"/>
  <c r="O141" i="29" s="1"/>
  <c r="L141" i="29"/>
  <c r="K141" i="29"/>
  <c r="I141" i="29"/>
  <c r="H141" i="29"/>
  <c r="F141" i="29"/>
  <c r="E141" i="29"/>
  <c r="N140" i="29"/>
  <c r="O140" i="29" s="1"/>
  <c r="L140" i="29"/>
  <c r="K140" i="29"/>
  <c r="I140" i="29"/>
  <c r="H140" i="29"/>
  <c r="F140" i="29"/>
  <c r="E140" i="29"/>
  <c r="N139" i="29"/>
  <c r="O139" i="29" s="1"/>
  <c r="L139" i="29"/>
  <c r="K139" i="29"/>
  <c r="I139" i="29"/>
  <c r="H139" i="29"/>
  <c r="F139" i="29"/>
  <c r="E139" i="29"/>
  <c r="N138" i="29"/>
  <c r="O138" i="29" s="1"/>
  <c r="L138" i="29"/>
  <c r="K138" i="29"/>
  <c r="I138" i="29"/>
  <c r="H138" i="29"/>
  <c r="F138" i="29"/>
  <c r="E138" i="29"/>
  <c r="N137" i="29"/>
  <c r="O137" i="29" s="1"/>
  <c r="L137" i="29"/>
  <c r="K137" i="29"/>
  <c r="I137" i="29"/>
  <c r="H137" i="29"/>
  <c r="F137" i="29"/>
  <c r="E137" i="29"/>
  <c r="N136" i="29"/>
  <c r="O136" i="29" s="1"/>
  <c r="L136" i="29"/>
  <c r="K136" i="29"/>
  <c r="I136" i="29"/>
  <c r="H136" i="29"/>
  <c r="F136" i="29"/>
  <c r="E136" i="29"/>
  <c r="N135" i="29"/>
  <c r="O135" i="29" s="1"/>
  <c r="L135" i="29"/>
  <c r="K135" i="29"/>
  <c r="I135" i="29"/>
  <c r="H135" i="29"/>
  <c r="E135" i="29"/>
  <c r="F135" i="29" s="1"/>
  <c r="O134" i="29"/>
  <c r="N134" i="29"/>
  <c r="K134" i="29"/>
  <c r="L134" i="29" s="1"/>
  <c r="H134" i="29"/>
  <c r="I134" i="29" s="1"/>
  <c r="E134" i="29"/>
  <c r="F134" i="29" s="1"/>
  <c r="N133" i="29"/>
  <c r="O133" i="29" s="1"/>
  <c r="K133" i="29"/>
  <c r="L133" i="29" s="1"/>
  <c r="I133" i="29"/>
  <c r="H133" i="29"/>
  <c r="E133" i="29"/>
  <c r="F133" i="29" s="1"/>
  <c r="N132" i="29"/>
  <c r="O132" i="29" s="1"/>
  <c r="L132" i="29"/>
  <c r="K132" i="29"/>
  <c r="H132" i="29"/>
  <c r="I132" i="29" s="1"/>
  <c r="E132" i="29"/>
  <c r="F132" i="29" s="1"/>
  <c r="N131" i="29"/>
  <c r="O131" i="29" s="1"/>
  <c r="K131" i="29"/>
  <c r="L131" i="29" s="1"/>
  <c r="I131" i="29"/>
  <c r="H131" i="29"/>
  <c r="E131" i="29"/>
  <c r="F131" i="29" s="1"/>
  <c r="N130" i="29"/>
  <c r="O130" i="29" s="1"/>
  <c r="K130" i="29"/>
  <c r="L130" i="29" s="1"/>
  <c r="H130" i="29"/>
  <c r="I130" i="29" s="1"/>
  <c r="E130" i="29"/>
  <c r="F130" i="29" s="1"/>
  <c r="O129" i="29"/>
  <c r="N129" i="29"/>
  <c r="K129" i="29"/>
  <c r="L129" i="29" s="1"/>
  <c r="I129" i="29"/>
  <c r="H129" i="29"/>
  <c r="E129" i="29"/>
  <c r="F129" i="29" s="1"/>
  <c r="N128" i="29"/>
  <c r="O128" i="29" s="1"/>
  <c r="K128" i="29"/>
  <c r="L128" i="29" s="1"/>
  <c r="H128" i="29"/>
  <c r="I128" i="29" s="1"/>
  <c r="E128" i="29"/>
  <c r="F128" i="29" s="1"/>
  <c r="N127" i="29"/>
  <c r="O127" i="29" s="1"/>
  <c r="L127" i="29"/>
  <c r="K127" i="29"/>
  <c r="I127" i="29"/>
  <c r="H127" i="29"/>
  <c r="F127" i="29"/>
  <c r="E127" i="29"/>
  <c r="N126" i="29"/>
  <c r="O126" i="29" s="1"/>
  <c r="L126" i="29"/>
  <c r="K126" i="29"/>
  <c r="I126" i="29"/>
  <c r="H126" i="29"/>
  <c r="F126" i="29"/>
  <c r="E126" i="29"/>
  <c r="N125" i="29"/>
  <c r="N145" i="29" s="1"/>
  <c r="L125" i="29"/>
  <c r="K125" i="29"/>
  <c r="I125" i="29"/>
  <c r="H125" i="29"/>
  <c r="F125" i="29"/>
  <c r="E125" i="29"/>
  <c r="M123" i="29"/>
  <c r="J123" i="29"/>
  <c r="G123" i="29"/>
  <c r="D123" i="29"/>
  <c r="B123" i="29"/>
  <c r="M122" i="29"/>
  <c r="G122" i="29"/>
  <c r="B118" i="29"/>
  <c r="N117" i="29"/>
  <c r="O117" i="29" s="1"/>
  <c r="L117" i="29"/>
  <c r="K117" i="29"/>
  <c r="H117" i="29"/>
  <c r="I117" i="29" s="1"/>
  <c r="E117" i="29"/>
  <c r="F117" i="29" s="1"/>
  <c r="N116" i="29"/>
  <c r="O116" i="29" s="1"/>
  <c r="L116" i="29"/>
  <c r="K116" i="29"/>
  <c r="H116" i="29"/>
  <c r="I116" i="29" s="1"/>
  <c r="E116" i="29"/>
  <c r="F116" i="29" s="1"/>
  <c r="N115" i="29"/>
  <c r="O115" i="29" s="1"/>
  <c r="L115" i="29"/>
  <c r="K115" i="29"/>
  <c r="I115" i="29"/>
  <c r="H115" i="29"/>
  <c r="E115" i="29"/>
  <c r="F115" i="29" s="1"/>
  <c r="N114" i="29"/>
  <c r="O114" i="29" s="1"/>
  <c r="K114" i="29"/>
  <c r="L114" i="29" s="1"/>
  <c r="H114" i="29"/>
  <c r="I114" i="29" s="1"/>
  <c r="E114" i="29"/>
  <c r="F114" i="29" s="1"/>
  <c r="N113" i="29"/>
  <c r="O113" i="29" s="1"/>
  <c r="K113" i="29"/>
  <c r="L113" i="29" s="1"/>
  <c r="H113" i="29"/>
  <c r="I113" i="29" s="1"/>
  <c r="E113" i="29"/>
  <c r="F113" i="29" s="1"/>
  <c r="O112" i="29"/>
  <c r="N112" i="29"/>
  <c r="K112" i="29"/>
  <c r="L112" i="29" s="1"/>
  <c r="H112" i="29"/>
  <c r="I112" i="29" s="1"/>
  <c r="E112" i="29"/>
  <c r="F112" i="29" s="1"/>
  <c r="N111" i="29"/>
  <c r="O111" i="29" s="1"/>
  <c r="K111" i="29"/>
  <c r="L111" i="29" s="1"/>
  <c r="I111" i="29"/>
  <c r="H111" i="29"/>
  <c r="E111" i="29"/>
  <c r="F111" i="29" s="1"/>
  <c r="N110" i="29"/>
  <c r="O110" i="29" s="1"/>
  <c r="L110" i="29"/>
  <c r="K110" i="29"/>
  <c r="H110" i="29"/>
  <c r="I110" i="29" s="1"/>
  <c r="E110" i="29"/>
  <c r="F110" i="29" s="1"/>
  <c r="N109" i="29"/>
  <c r="O109" i="29" s="1"/>
  <c r="L109" i="29"/>
  <c r="K109" i="29"/>
  <c r="H109" i="29"/>
  <c r="I109" i="29" s="1"/>
  <c r="E109" i="29"/>
  <c r="F109" i="29" s="1"/>
  <c r="N108" i="29"/>
  <c r="O108" i="29" s="1"/>
  <c r="L108" i="29"/>
  <c r="K108" i="29"/>
  <c r="H108" i="29"/>
  <c r="I108" i="29" s="1"/>
  <c r="E108" i="29"/>
  <c r="F108" i="29" s="1"/>
  <c r="N107" i="29"/>
  <c r="O107" i="29" s="1"/>
  <c r="L107" i="29"/>
  <c r="K107" i="29"/>
  <c r="I107" i="29"/>
  <c r="H107" i="29"/>
  <c r="E107" i="29"/>
  <c r="F107" i="29" s="1"/>
  <c r="O106" i="29"/>
  <c r="N106" i="29"/>
  <c r="K106" i="29"/>
  <c r="L106" i="29" s="1"/>
  <c r="H106" i="29"/>
  <c r="I106" i="29" s="1"/>
  <c r="E106" i="29"/>
  <c r="F106" i="29" s="1"/>
  <c r="O105" i="29"/>
  <c r="N105" i="29"/>
  <c r="K105" i="29"/>
  <c r="L105" i="29" s="1"/>
  <c r="H105" i="29"/>
  <c r="I105" i="29" s="1"/>
  <c r="E105" i="29"/>
  <c r="F105" i="29" s="1"/>
  <c r="N104" i="29"/>
  <c r="O104" i="29" s="1"/>
  <c r="K104" i="29"/>
  <c r="L104" i="29" s="1"/>
  <c r="H104" i="29"/>
  <c r="I104" i="29" s="1"/>
  <c r="E104" i="29"/>
  <c r="F104" i="29" s="1"/>
  <c r="N103" i="29"/>
  <c r="O103" i="29" s="1"/>
  <c r="K103" i="29"/>
  <c r="L103" i="29" s="1"/>
  <c r="I103" i="29"/>
  <c r="H103" i="29"/>
  <c r="E103" i="29"/>
  <c r="F103" i="29" s="1"/>
  <c r="N102" i="29"/>
  <c r="O102" i="29" s="1"/>
  <c r="L102" i="29"/>
  <c r="K102" i="29"/>
  <c r="H102" i="29"/>
  <c r="I102" i="29" s="1"/>
  <c r="E102" i="29"/>
  <c r="F102" i="29" s="1"/>
  <c r="N101" i="29"/>
  <c r="O101" i="29" s="1"/>
  <c r="L101" i="29"/>
  <c r="K101" i="29"/>
  <c r="H101" i="29"/>
  <c r="I101" i="29" s="1"/>
  <c r="E101" i="29"/>
  <c r="F101" i="29" s="1"/>
  <c r="N100" i="29"/>
  <c r="O100" i="29" s="1"/>
  <c r="L100" i="29"/>
  <c r="K100" i="29"/>
  <c r="H100" i="29"/>
  <c r="I100" i="29" s="1"/>
  <c r="E100" i="29"/>
  <c r="F100" i="29" s="1"/>
  <c r="N99" i="29"/>
  <c r="O99" i="29" s="1"/>
  <c r="L99" i="29"/>
  <c r="K99" i="29"/>
  <c r="I99" i="29"/>
  <c r="H99" i="29"/>
  <c r="E99" i="29"/>
  <c r="F99" i="29" s="1"/>
  <c r="N98" i="29"/>
  <c r="K98" i="29"/>
  <c r="K118" i="29" s="1"/>
  <c r="H98" i="29"/>
  <c r="H118" i="29" s="1"/>
  <c r="E98" i="29"/>
  <c r="M96" i="29"/>
  <c r="J96" i="29"/>
  <c r="G96" i="29"/>
  <c r="D96" i="29"/>
  <c r="B96" i="29"/>
  <c r="M95" i="29"/>
  <c r="G95" i="29"/>
  <c r="B91" i="29"/>
  <c r="N90" i="29"/>
  <c r="O90" i="29" s="1"/>
  <c r="K90" i="29"/>
  <c r="L90" i="29" s="1"/>
  <c r="H90" i="29"/>
  <c r="I90" i="29" s="1"/>
  <c r="E90" i="29"/>
  <c r="F90" i="29" s="1"/>
  <c r="O89" i="29"/>
  <c r="N89" i="29"/>
  <c r="K89" i="29"/>
  <c r="L89" i="29" s="1"/>
  <c r="H89" i="29"/>
  <c r="I89" i="29" s="1"/>
  <c r="E89" i="29"/>
  <c r="F89" i="29" s="1"/>
  <c r="O88" i="29"/>
  <c r="N88" i="29"/>
  <c r="K88" i="29"/>
  <c r="L88" i="29" s="1"/>
  <c r="I88" i="29"/>
  <c r="H88" i="29"/>
  <c r="E88" i="29"/>
  <c r="F88" i="29" s="1"/>
  <c r="N87" i="29"/>
  <c r="O87" i="29" s="1"/>
  <c r="L87" i="29"/>
  <c r="K87" i="29"/>
  <c r="H87" i="29"/>
  <c r="I87" i="29" s="1"/>
  <c r="E87" i="29"/>
  <c r="F87" i="29" s="1"/>
  <c r="O86" i="29"/>
  <c r="N86" i="29"/>
  <c r="L86" i="29"/>
  <c r="K86" i="29"/>
  <c r="H86" i="29"/>
  <c r="I86" i="29" s="1"/>
  <c r="E86" i="29"/>
  <c r="F86" i="29" s="1"/>
  <c r="N85" i="29"/>
  <c r="N19" i="29" s="1"/>
  <c r="L85" i="29"/>
  <c r="K85" i="29"/>
  <c r="H85" i="29"/>
  <c r="I85" i="29" s="1"/>
  <c r="I19" i="29" s="1"/>
  <c r="E85" i="29"/>
  <c r="F85" i="29" s="1"/>
  <c r="O84" i="29"/>
  <c r="N84" i="29"/>
  <c r="L84" i="29"/>
  <c r="K84" i="29"/>
  <c r="I84" i="29"/>
  <c r="H84" i="29"/>
  <c r="E84" i="29"/>
  <c r="F84" i="29" s="1"/>
  <c r="O83" i="29"/>
  <c r="N83" i="29"/>
  <c r="K83" i="29"/>
  <c r="L83" i="29" s="1"/>
  <c r="H83" i="29"/>
  <c r="I83" i="29" s="1"/>
  <c r="E83" i="29"/>
  <c r="F83" i="29" s="1"/>
  <c r="O82" i="29"/>
  <c r="N82" i="29"/>
  <c r="K82" i="29"/>
  <c r="K21" i="29" s="1"/>
  <c r="H82" i="29"/>
  <c r="I82" i="29" s="1"/>
  <c r="I21" i="29" s="1"/>
  <c r="E82" i="29"/>
  <c r="F82" i="29" s="1"/>
  <c r="N81" i="29"/>
  <c r="O81" i="29" s="1"/>
  <c r="K81" i="29"/>
  <c r="L81" i="29" s="1"/>
  <c r="H81" i="29"/>
  <c r="I81" i="29" s="1"/>
  <c r="E81" i="29"/>
  <c r="F81" i="29" s="1"/>
  <c r="N80" i="29"/>
  <c r="N20" i="29" s="1"/>
  <c r="K80" i="29"/>
  <c r="L80" i="29" s="1"/>
  <c r="L20" i="29" s="1"/>
  <c r="I80" i="29"/>
  <c r="H80" i="29"/>
  <c r="E80" i="29"/>
  <c r="F80" i="29" s="1"/>
  <c r="O79" i="29"/>
  <c r="N79" i="29"/>
  <c r="L79" i="29"/>
  <c r="K79" i="29"/>
  <c r="H79" i="29"/>
  <c r="I79" i="29" s="1"/>
  <c r="E79" i="29"/>
  <c r="F79" i="29" s="1"/>
  <c r="N78" i="29"/>
  <c r="O78" i="29" s="1"/>
  <c r="L78" i="29"/>
  <c r="K78" i="29"/>
  <c r="H78" i="29"/>
  <c r="I78" i="29" s="1"/>
  <c r="E78" i="29"/>
  <c r="F78" i="29" s="1"/>
  <c r="O77" i="29"/>
  <c r="N77" i="29"/>
  <c r="L77" i="29"/>
  <c r="K77" i="29"/>
  <c r="H77" i="29"/>
  <c r="I77" i="29" s="1"/>
  <c r="E77" i="29"/>
  <c r="F77" i="29" s="1"/>
  <c r="N76" i="29"/>
  <c r="O76" i="29" s="1"/>
  <c r="L76" i="29"/>
  <c r="K76" i="29"/>
  <c r="I76" i="29"/>
  <c r="H76" i="29"/>
  <c r="E76" i="29"/>
  <c r="F76" i="29" s="1"/>
  <c r="N75" i="29"/>
  <c r="O75" i="29" s="1"/>
  <c r="K75" i="29"/>
  <c r="L75" i="29" s="1"/>
  <c r="H75" i="29"/>
  <c r="I75" i="29" s="1"/>
  <c r="E75" i="29"/>
  <c r="F75" i="29" s="1"/>
  <c r="N74" i="29"/>
  <c r="O74" i="29" s="1"/>
  <c r="K74" i="29"/>
  <c r="L74" i="29" s="1"/>
  <c r="H74" i="29"/>
  <c r="I74" i="29" s="1"/>
  <c r="E74" i="29"/>
  <c r="F74" i="29" s="1"/>
  <c r="O73" i="29"/>
  <c r="N73" i="29"/>
  <c r="K73" i="29"/>
  <c r="L73" i="29" s="1"/>
  <c r="H73" i="29"/>
  <c r="I73" i="29" s="1"/>
  <c r="E73" i="29"/>
  <c r="F73" i="29" s="1"/>
  <c r="O72" i="29"/>
  <c r="N72" i="29"/>
  <c r="K72" i="29"/>
  <c r="L72" i="29" s="1"/>
  <c r="L17" i="29" s="1"/>
  <c r="I72" i="29"/>
  <c r="H72" i="29"/>
  <c r="E72" i="29"/>
  <c r="F72" i="29" s="1"/>
  <c r="N71" i="29"/>
  <c r="N91" i="29" s="1"/>
  <c r="L71" i="29"/>
  <c r="K71" i="29"/>
  <c r="H71" i="29"/>
  <c r="H91" i="29" s="1"/>
  <c r="E71" i="29"/>
  <c r="M69" i="29"/>
  <c r="J69" i="29"/>
  <c r="G69" i="29"/>
  <c r="D69" i="29"/>
  <c r="B69" i="29"/>
  <c r="M68" i="29"/>
  <c r="G68" i="29"/>
  <c r="B64" i="29"/>
  <c r="O63" i="29"/>
  <c r="N63" i="29"/>
  <c r="L63" i="29"/>
  <c r="K63" i="29"/>
  <c r="H63" i="29"/>
  <c r="I63" i="29" s="1"/>
  <c r="E63" i="29"/>
  <c r="F63" i="29" s="1"/>
  <c r="N62" i="29"/>
  <c r="O62" i="29" s="1"/>
  <c r="L62" i="29"/>
  <c r="K62" i="29"/>
  <c r="H62" i="29"/>
  <c r="I62" i="29" s="1"/>
  <c r="E62" i="29"/>
  <c r="F62" i="29" s="1"/>
  <c r="O61" i="29"/>
  <c r="N61" i="29"/>
  <c r="L61" i="29"/>
  <c r="K61" i="29"/>
  <c r="I61" i="29"/>
  <c r="H61" i="29"/>
  <c r="E61" i="29"/>
  <c r="F61" i="29" s="1"/>
  <c r="O60" i="29"/>
  <c r="N60" i="29"/>
  <c r="K60" i="29"/>
  <c r="L60" i="29" s="1"/>
  <c r="H60" i="29"/>
  <c r="I60" i="29" s="1"/>
  <c r="E60" i="29"/>
  <c r="F60" i="29" s="1"/>
  <c r="O59" i="29"/>
  <c r="N59" i="29"/>
  <c r="K59" i="29"/>
  <c r="L59" i="29" s="1"/>
  <c r="H59" i="29"/>
  <c r="I59" i="29" s="1"/>
  <c r="E59" i="29"/>
  <c r="F59" i="29" s="1"/>
  <c r="N58" i="29"/>
  <c r="O58" i="29" s="1"/>
  <c r="K58" i="29"/>
  <c r="L58" i="29" s="1"/>
  <c r="H58" i="29"/>
  <c r="I58" i="29" s="1"/>
  <c r="E58" i="29"/>
  <c r="F58" i="29" s="1"/>
  <c r="N57" i="29"/>
  <c r="O57" i="29" s="1"/>
  <c r="K57" i="29"/>
  <c r="L57" i="29" s="1"/>
  <c r="I57" i="29"/>
  <c r="H57" i="29"/>
  <c r="E57" i="29"/>
  <c r="F57" i="29" s="1"/>
  <c r="O56" i="29"/>
  <c r="N56" i="29"/>
  <c r="L56" i="29"/>
  <c r="K56" i="29"/>
  <c r="H56" i="29"/>
  <c r="I56" i="29" s="1"/>
  <c r="E56" i="29"/>
  <c r="F56" i="29" s="1"/>
  <c r="N55" i="29"/>
  <c r="O55" i="29" s="1"/>
  <c r="L55" i="29"/>
  <c r="K55" i="29"/>
  <c r="H55" i="29"/>
  <c r="I55" i="29" s="1"/>
  <c r="E55" i="29"/>
  <c r="F55" i="29" s="1"/>
  <c r="O54" i="29"/>
  <c r="N54" i="29"/>
  <c r="L54" i="29"/>
  <c r="K54" i="29"/>
  <c r="H54" i="29"/>
  <c r="I54" i="29" s="1"/>
  <c r="E54" i="29"/>
  <c r="F54" i="29" s="1"/>
  <c r="N53" i="29"/>
  <c r="O53" i="29" s="1"/>
  <c r="L53" i="29"/>
  <c r="K53" i="29"/>
  <c r="I53" i="29"/>
  <c r="H53" i="29"/>
  <c r="E53" i="29"/>
  <c r="F53" i="29" s="1"/>
  <c r="N52" i="29"/>
  <c r="O52" i="29" s="1"/>
  <c r="K52" i="29"/>
  <c r="L52" i="29" s="1"/>
  <c r="H52" i="29"/>
  <c r="I52" i="29" s="1"/>
  <c r="E52" i="29"/>
  <c r="F52" i="29" s="1"/>
  <c r="N51" i="29"/>
  <c r="O51" i="29" s="1"/>
  <c r="K51" i="29"/>
  <c r="L51" i="29" s="1"/>
  <c r="H51" i="29"/>
  <c r="I51" i="29" s="1"/>
  <c r="E51" i="29"/>
  <c r="F51" i="29" s="1"/>
  <c r="O50" i="29"/>
  <c r="N50" i="29"/>
  <c r="K50" i="29"/>
  <c r="L50" i="29" s="1"/>
  <c r="H50" i="29"/>
  <c r="I50" i="29" s="1"/>
  <c r="E50" i="29"/>
  <c r="F50" i="29" s="1"/>
  <c r="O49" i="29"/>
  <c r="N49" i="29"/>
  <c r="K49" i="29"/>
  <c r="L49" i="29" s="1"/>
  <c r="I49" i="29"/>
  <c r="H49" i="29"/>
  <c r="E49" i="29"/>
  <c r="F49" i="29" s="1"/>
  <c r="N48" i="29"/>
  <c r="O48" i="29" s="1"/>
  <c r="L48" i="29"/>
  <c r="K48" i="29"/>
  <c r="H48" i="29"/>
  <c r="I48" i="29" s="1"/>
  <c r="E48" i="29"/>
  <c r="F48" i="29" s="1"/>
  <c r="O47" i="29"/>
  <c r="N47" i="29"/>
  <c r="L47" i="29"/>
  <c r="K47" i="29"/>
  <c r="H47" i="29"/>
  <c r="I47" i="29" s="1"/>
  <c r="E47" i="29"/>
  <c r="F47" i="29" s="1"/>
  <c r="N46" i="29"/>
  <c r="O46" i="29" s="1"/>
  <c r="L46" i="29"/>
  <c r="K46" i="29"/>
  <c r="H46" i="29"/>
  <c r="I46" i="29" s="1"/>
  <c r="E46" i="29"/>
  <c r="F46" i="29" s="1"/>
  <c r="O45" i="29"/>
  <c r="N45" i="29"/>
  <c r="L45" i="29"/>
  <c r="K45" i="29"/>
  <c r="I45" i="29"/>
  <c r="H45" i="29"/>
  <c r="E45" i="29"/>
  <c r="F45" i="29" s="1"/>
  <c r="O44" i="29"/>
  <c r="N44" i="29"/>
  <c r="K44" i="29"/>
  <c r="H44" i="29"/>
  <c r="H64" i="29" s="1"/>
  <c r="E44" i="29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J21" i="29"/>
  <c r="H21" i="29"/>
  <c r="G21" i="29"/>
  <c r="F21" i="29"/>
  <c r="E21" i="29"/>
  <c r="D21" i="29"/>
  <c r="C21" i="29"/>
  <c r="B21" i="29"/>
  <c r="M20" i="29"/>
  <c r="K20" i="29"/>
  <c r="J20" i="29"/>
  <c r="I20" i="29"/>
  <c r="H20" i="29"/>
  <c r="G20" i="29"/>
  <c r="F20" i="29"/>
  <c r="E20" i="29"/>
  <c r="D20" i="29"/>
  <c r="C20" i="29"/>
  <c r="B20" i="29"/>
  <c r="M19" i="29"/>
  <c r="L19" i="29"/>
  <c r="K19" i="29"/>
  <c r="J19" i="29"/>
  <c r="H19" i="29"/>
  <c r="G19" i="29"/>
  <c r="F19" i="29"/>
  <c r="E19" i="29"/>
  <c r="D19" i="29"/>
  <c r="C19" i="29"/>
  <c r="B19" i="29"/>
  <c r="N18" i="29"/>
  <c r="M18" i="29"/>
  <c r="K18" i="29"/>
  <c r="J18" i="29"/>
  <c r="I18" i="29"/>
  <c r="H18" i="29"/>
  <c r="G18" i="29"/>
  <c r="E18" i="29"/>
  <c r="D18" i="29"/>
  <c r="C18" i="29"/>
  <c r="B18" i="29"/>
  <c r="O17" i="29"/>
  <c r="N17" i="29"/>
  <c r="M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O197" i="28"/>
  <c r="N197" i="28"/>
  <c r="K197" i="28"/>
  <c r="L197" i="28" s="1"/>
  <c r="H197" i="28"/>
  <c r="I197" i="28" s="1"/>
  <c r="F197" i="28"/>
  <c r="E197" i="28"/>
  <c r="O196" i="28"/>
  <c r="N196" i="28"/>
  <c r="K196" i="28"/>
  <c r="L196" i="28" s="1"/>
  <c r="H196" i="28"/>
  <c r="I196" i="28" s="1"/>
  <c r="F196" i="28"/>
  <c r="E196" i="28"/>
  <c r="O195" i="28"/>
  <c r="N195" i="28"/>
  <c r="K195" i="28"/>
  <c r="L195" i="28" s="1"/>
  <c r="H195" i="28"/>
  <c r="I195" i="28" s="1"/>
  <c r="F195" i="28"/>
  <c r="E195" i="28"/>
  <c r="O194" i="28"/>
  <c r="N194" i="28"/>
  <c r="L194" i="28"/>
  <c r="K194" i="28"/>
  <c r="H194" i="28"/>
  <c r="I194" i="28" s="1"/>
  <c r="F194" i="28"/>
  <c r="E194" i="28"/>
  <c r="O193" i="28"/>
  <c r="N193" i="28"/>
  <c r="K193" i="28"/>
  <c r="L193" i="28" s="1"/>
  <c r="H193" i="28"/>
  <c r="I193" i="28" s="1"/>
  <c r="F193" i="28"/>
  <c r="E193" i="28"/>
  <c r="N192" i="28"/>
  <c r="O192" i="28" s="1"/>
  <c r="K192" i="28"/>
  <c r="L192" i="28" s="1"/>
  <c r="H192" i="28"/>
  <c r="I192" i="28" s="1"/>
  <c r="F192" i="28"/>
  <c r="E192" i="28"/>
  <c r="N191" i="28"/>
  <c r="O191" i="28" s="1"/>
  <c r="K191" i="28"/>
  <c r="L191" i="28" s="1"/>
  <c r="H191" i="28"/>
  <c r="I191" i="28" s="1"/>
  <c r="F191" i="28"/>
  <c r="E191" i="28"/>
  <c r="N190" i="28"/>
  <c r="O190" i="28" s="1"/>
  <c r="L190" i="28"/>
  <c r="K190" i="28"/>
  <c r="H190" i="28"/>
  <c r="I190" i="28" s="1"/>
  <c r="F190" i="28"/>
  <c r="E190" i="28"/>
  <c r="N189" i="28"/>
  <c r="O189" i="28" s="1"/>
  <c r="K189" i="28"/>
  <c r="L189" i="28" s="1"/>
  <c r="H189" i="28"/>
  <c r="I189" i="28" s="1"/>
  <c r="F189" i="28"/>
  <c r="E189" i="28"/>
  <c r="O188" i="28"/>
  <c r="N188" i="28"/>
  <c r="K188" i="28"/>
  <c r="L188" i="28" s="1"/>
  <c r="H188" i="28"/>
  <c r="I188" i="28" s="1"/>
  <c r="F188" i="28"/>
  <c r="E188" i="28"/>
  <c r="N187" i="28"/>
  <c r="O187" i="28" s="1"/>
  <c r="K187" i="28"/>
  <c r="L187" i="28" s="1"/>
  <c r="H187" i="28"/>
  <c r="I187" i="28" s="1"/>
  <c r="F187" i="28"/>
  <c r="E187" i="28"/>
  <c r="O186" i="28"/>
  <c r="N186" i="28"/>
  <c r="L186" i="28"/>
  <c r="K186" i="28"/>
  <c r="H186" i="28"/>
  <c r="I186" i="28" s="1"/>
  <c r="F186" i="28"/>
  <c r="E186" i="28"/>
  <c r="N185" i="28"/>
  <c r="O185" i="28" s="1"/>
  <c r="K185" i="28"/>
  <c r="L185" i="28" s="1"/>
  <c r="H185" i="28"/>
  <c r="I185" i="28" s="1"/>
  <c r="F185" i="28"/>
  <c r="E185" i="28"/>
  <c r="N184" i="28"/>
  <c r="O184" i="28" s="1"/>
  <c r="K184" i="28"/>
  <c r="L184" i="28" s="1"/>
  <c r="H184" i="28"/>
  <c r="I184" i="28" s="1"/>
  <c r="F184" i="28"/>
  <c r="E184" i="28"/>
  <c r="N183" i="28"/>
  <c r="O183" i="28" s="1"/>
  <c r="K183" i="28"/>
  <c r="L183" i="28" s="1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O181" i="28"/>
  <c r="N181" i="28"/>
  <c r="K181" i="28"/>
  <c r="L181" i="28" s="1"/>
  <c r="H181" i="28"/>
  <c r="I181" i="28" s="1"/>
  <c r="F181" i="28"/>
  <c r="E181" i="28"/>
  <c r="N180" i="28"/>
  <c r="O180" i="28" s="1"/>
  <c r="K180" i="28"/>
  <c r="L180" i="28" s="1"/>
  <c r="H180" i="28"/>
  <c r="I180" i="28" s="1"/>
  <c r="F180" i="28"/>
  <c r="E180" i="28"/>
  <c r="O179" i="28"/>
  <c r="N179" i="28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O171" i="28"/>
  <c r="N171" i="28"/>
  <c r="L171" i="28"/>
  <c r="K171" i="28"/>
  <c r="H171" i="28"/>
  <c r="I171" i="28" s="1"/>
  <c r="F171" i="28"/>
  <c r="E171" i="28"/>
  <c r="N170" i="28"/>
  <c r="O170" i="28" s="1"/>
  <c r="K170" i="28"/>
  <c r="L170" i="28" s="1"/>
  <c r="H170" i="28"/>
  <c r="I170" i="28" s="1"/>
  <c r="F170" i="28"/>
  <c r="E170" i="28"/>
  <c r="N169" i="28"/>
  <c r="O169" i="28" s="1"/>
  <c r="K169" i="28"/>
  <c r="L169" i="28" s="1"/>
  <c r="H169" i="28"/>
  <c r="I169" i="28" s="1"/>
  <c r="F169" i="28"/>
  <c r="E169" i="28"/>
  <c r="N168" i="28"/>
  <c r="O168" i="28" s="1"/>
  <c r="K168" i="28"/>
  <c r="L168" i="28" s="1"/>
  <c r="H168" i="28"/>
  <c r="I168" i="28" s="1"/>
  <c r="F168" i="28"/>
  <c r="E168" i="28"/>
  <c r="N167" i="28"/>
  <c r="O167" i="28" s="1"/>
  <c r="L167" i="28"/>
  <c r="K167" i="28"/>
  <c r="H167" i="28"/>
  <c r="I167" i="28" s="1"/>
  <c r="F167" i="28"/>
  <c r="E167" i="28"/>
  <c r="O166" i="28"/>
  <c r="N166" i="28"/>
  <c r="K166" i="28"/>
  <c r="L166" i="28" s="1"/>
  <c r="H166" i="28"/>
  <c r="I166" i="28" s="1"/>
  <c r="F166" i="28"/>
  <c r="E166" i="28"/>
  <c r="O165" i="28"/>
  <c r="N165" i="28"/>
  <c r="K165" i="28"/>
  <c r="L165" i="28" s="1"/>
  <c r="H165" i="28"/>
  <c r="I165" i="28" s="1"/>
  <c r="F165" i="28"/>
  <c r="E165" i="28"/>
  <c r="O164" i="28"/>
  <c r="N164" i="28"/>
  <c r="K164" i="28"/>
  <c r="L164" i="28" s="1"/>
  <c r="H164" i="28"/>
  <c r="I164" i="28" s="1"/>
  <c r="F164" i="28"/>
  <c r="E164" i="28"/>
  <c r="O163" i="28"/>
  <c r="N163" i="28"/>
  <c r="L163" i="28"/>
  <c r="K163" i="28"/>
  <c r="H163" i="28"/>
  <c r="I163" i="28" s="1"/>
  <c r="F163" i="28"/>
  <c r="E163" i="28"/>
  <c r="N162" i="28"/>
  <c r="O162" i="28" s="1"/>
  <c r="K162" i="28"/>
  <c r="L162" i="28" s="1"/>
  <c r="H162" i="28"/>
  <c r="I162" i="28" s="1"/>
  <c r="F162" i="28"/>
  <c r="E162" i="28"/>
  <c r="O161" i="28"/>
  <c r="N161" i="28"/>
  <c r="K161" i="28"/>
  <c r="L161" i="28" s="1"/>
  <c r="H161" i="28"/>
  <c r="I161" i="28" s="1"/>
  <c r="F161" i="28"/>
  <c r="E161" i="28"/>
  <c r="N160" i="28"/>
  <c r="O160" i="28" s="1"/>
  <c r="K160" i="28"/>
  <c r="L160" i="28" s="1"/>
  <c r="H160" i="28"/>
  <c r="I160" i="28" s="1"/>
  <c r="F160" i="28"/>
  <c r="E160" i="28"/>
  <c r="O159" i="28"/>
  <c r="N159" i="28"/>
  <c r="L159" i="28"/>
  <c r="K159" i="28"/>
  <c r="H159" i="28"/>
  <c r="I159" i="28" s="1"/>
  <c r="F159" i="28"/>
  <c r="E159" i="28"/>
  <c r="O158" i="28"/>
  <c r="N158" i="28"/>
  <c r="K158" i="28"/>
  <c r="L158" i="28" s="1"/>
  <c r="H158" i="28"/>
  <c r="I158" i="28" s="1"/>
  <c r="F158" i="28"/>
  <c r="E158" i="28"/>
  <c r="O157" i="28"/>
  <c r="N157" i="28"/>
  <c r="K157" i="28"/>
  <c r="L157" i="28" s="1"/>
  <c r="H157" i="28"/>
  <c r="I157" i="28" s="1"/>
  <c r="F157" i="28"/>
  <c r="E157" i="28"/>
  <c r="O156" i="28"/>
  <c r="N156" i="28"/>
  <c r="K156" i="28"/>
  <c r="L156" i="28" s="1"/>
  <c r="H156" i="28"/>
  <c r="I156" i="28" s="1"/>
  <c r="F156" i="28"/>
  <c r="E156" i="28"/>
  <c r="O155" i="28"/>
  <c r="N155" i="28"/>
  <c r="L155" i="28"/>
  <c r="K155" i="28"/>
  <c r="H155" i="28"/>
  <c r="I155" i="28" s="1"/>
  <c r="F155" i="28"/>
  <c r="E155" i="28"/>
  <c r="O154" i="28"/>
  <c r="N154" i="28"/>
  <c r="K154" i="28"/>
  <c r="L154" i="28" s="1"/>
  <c r="H154" i="28"/>
  <c r="I154" i="28" s="1"/>
  <c r="F154" i="28"/>
  <c r="E154" i="28"/>
  <c r="N153" i="28"/>
  <c r="O153" i="28" s="1"/>
  <c r="K153" i="28"/>
  <c r="L153" i="28" s="1"/>
  <c r="H153" i="28"/>
  <c r="I153" i="28" s="1"/>
  <c r="F153" i="28"/>
  <c r="E153" i="28"/>
  <c r="O152" i="28"/>
  <c r="N152" i="28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N144" i="28"/>
  <c r="O144" i="28" s="1"/>
  <c r="L144" i="28"/>
  <c r="K144" i="28"/>
  <c r="H144" i="28"/>
  <c r="I144" i="28" s="1"/>
  <c r="F144" i="28"/>
  <c r="E144" i="28"/>
  <c r="O143" i="28"/>
  <c r="N143" i="28"/>
  <c r="K143" i="28"/>
  <c r="L143" i="28" s="1"/>
  <c r="H143" i="28"/>
  <c r="I143" i="28" s="1"/>
  <c r="F143" i="28"/>
  <c r="E143" i="28"/>
  <c r="O142" i="28"/>
  <c r="N142" i="28"/>
  <c r="K142" i="28"/>
  <c r="L142" i="28" s="1"/>
  <c r="H142" i="28"/>
  <c r="I142" i="28" s="1"/>
  <c r="F142" i="28"/>
  <c r="E142" i="28"/>
  <c r="O141" i="28"/>
  <c r="N141" i="28"/>
  <c r="L141" i="28"/>
  <c r="K141" i="28"/>
  <c r="H141" i="28"/>
  <c r="I141" i="28" s="1"/>
  <c r="F141" i="28"/>
  <c r="E141" i="28"/>
  <c r="N140" i="28"/>
  <c r="O140" i="28" s="1"/>
  <c r="L140" i="28"/>
  <c r="K140" i="28"/>
  <c r="H140" i="28"/>
  <c r="I140" i="28" s="1"/>
  <c r="F140" i="28"/>
  <c r="E140" i="28"/>
  <c r="O139" i="28"/>
  <c r="N139" i="28"/>
  <c r="K139" i="28"/>
  <c r="L139" i="28" s="1"/>
  <c r="H139" i="28"/>
  <c r="I139" i="28" s="1"/>
  <c r="F139" i="28"/>
  <c r="E139" i="28"/>
  <c r="O138" i="28"/>
  <c r="N138" i="28"/>
  <c r="K138" i="28"/>
  <c r="L138" i="28" s="1"/>
  <c r="H138" i="28"/>
  <c r="I138" i="28" s="1"/>
  <c r="F138" i="28"/>
  <c r="E138" i="28"/>
  <c r="O137" i="28"/>
  <c r="N137" i="28"/>
  <c r="K137" i="28"/>
  <c r="L137" i="28" s="1"/>
  <c r="H137" i="28"/>
  <c r="I137" i="28" s="1"/>
  <c r="F137" i="28"/>
  <c r="E137" i="28"/>
  <c r="O136" i="28"/>
  <c r="N136" i="28"/>
  <c r="L136" i="28"/>
  <c r="K136" i="28"/>
  <c r="H136" i="28"/>
  <c r="I136" i="28" s="1"/>
  <c r="F136" i="28"/>
  <c r="E136" i="28"/>
  <c r="N135" i="28"/>
  <c r="O135" i="28" s="1"/>
  <c r="K135" i="28"/>
  <c r="L135" i="28" s="1"/>
  <c r="H135" i="28"/>
  <c r="I135" i="28" s="1"/>
  <c r="F135" i="28"/>
  <c r="E135" i="28"/>
  <c r="N134" i="28"/>
  <c r="O134" i="28" s="1"/>
  <c r="K134" i="28"/>
  <c r="L134" i="28" s="1"/>
  <c r="H134" i="28"/>
  <c r="I134" i="28" s="1"/>
  <c r="F134" i="28"/>
  <c r="E134" i="28"/>
  <c r="N133" i="28"/>
  <c r="O133" i="28" s="1"/>
  <c r="L133" i="28"/>
  <c r="K133" i="28"/>
  <c r="H133" i="28"/>
  <c r="I133" i="28" s="1"/>
  <c r="F133" i="28"/>
  <c r="E133" i="28"/>
  <c r="O132" i="28"/>
  <c r="N132" i="28"/>
  <c r="L132" i="28"/>
  <c r="K132" i="28"/>
  <c r="H132" i="28"/>
  <c r="I132" i="28" s="1"/>
  <c r="F132" i="28"/>
  <c r="E132" i="28"/>
  <c r="N131" i="28"/>
  <c r="O131" i="28" s="1"/>
  <c r="K131" i="28"/>
  <c r="L131" i="28" s="1"/>
  <c r="H131" i="28"/>
  <c r="I131" i="28" s="1"/>
  <c r="F131" i="28"/>
  <c r="E131" i="28"/>
  <c r="N130" i="28"/>
  <c r="O130" i="28" s="1"/>
  <c r="K130" i="28"/>
  <c r="L130" i="28" s="1"/>
  <c r="H130" i="28"/>
  <c r="I130" i="28" s="1"/>
  <c r="F130" i="28"/>
  <c r="E130" i="28"/>
  <c r="N129" i="28"/>
  <c r="O129" i="28" s="1"/>
  <c r="K129" i="28"/>
  <c r="L129" i="28" s="1"/>
  <c r="H129" i="28"/>
  <c r="I129" i="28" s="1"/>
  <c r="F129" i="28"/>
  <c r="E129" i="28"/>
  <c r="N128" i="28"/>
  <c r="O128" i="28" s="1"/>
  <c r="L128" i="28"/>
  <c r="K128" i="28"/>
  <c r="H128" i="28"/>
  <c r="I128" i="28" s="1"/>
  <c r="F128" i="28"/>
  <c r="E128" i="28"/>
  <c r="O127" i="28"/>
  <c r="N127" i="28"/>
  <c r="K127" i="28"/>
  <c r="L127" i="28" s="1"/>
  <c r="H127" i="28"/>
  <c r="I127" i="28" s="1"/>
  <c r="F127" i="28"/>
  <c r="E127" i="28"/>
  <c r="O126" i="28"/>
  <c r="N126" i="28"/>
  <c r="K126" i="28"/>
  <c r="L126" i="28" s="1"/>
  <c r="H126" i="28"/>
  <c r="I126" i="28" s="1"/>
  <c r="F126" i="28"/>
  <c r="E126" i="28"/>
  <c r="O125" i="28"/>
  <c r="N125" i="28"/>
  <c r="K125" i="28"/>
  <c r="H125" i="28"/>
  <c r="H145" i="28" s="1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H117" i="28"/>
  <c r="I117" i="28" s="1"/>
  <c r="F117" i="28"/>
  <c r="E117" i="28"/>
  <c r="N116" i="28"/>
  <c r="O116" i="28" s="1"/>
  <c r="K116" i="28"/>
  <c r="L116" i="28" s="1"/>
  <c r="H116" i="28"/>
  <c r="I116" i="28" s="1"/>
  <c r="F116" i="28"/>
  <c r="E116" i="28"/>
  <c r="N115" i="28"/>
  <c r="O115" i="28" s="1"/>
  <c r="K115" i="28"/>
  <c r="L115" i="28" s="1"/>
  <c r="H115" i="28"/>
  <c r="I115" i="28" s="1"/>
  <c r="F115" i="28"/>
  <c r="E115" i="28"/>
  <c r="N114" i="28"/>
  <c r="O114" i="28" s="1"/>
  <c r="L114" i="28"/>
  <c r="K114" i="28"/>
  <c r="H114" i="28"/>
  <c r="I114" i="28" s="1"/>
  <c r="F114" i="28"/>
  <c r="E114" i="28"/>
  <c r="O113" i="28"/>
  <c r="N113" i="28"/>
  <c r="L113" i="28"/>
  <c r="K113" i="28"/>
  <c r="H113" i="28"/>
  <c r="I113" i="28" s="1"/>
  <c r="F113" i="28"/>
  <c r="E113" i="28"/>
  <c r="N112" i="28"/>
  <c r="O112" i="28" s="1"/>
  <c r="K112" i="28"/>
  <c r="L112" i="28" s="1"/>
  <c r="H112" i="28"/>
  <c r="I112" i="28" s="1"/>
  <c r="F112" i="28"/>
  <c r="E112" i="28"/>
  <c r="N111" i="28"/>
  <c r="O111" i="28" s="1"/>
  <c r="K111" i="28"/>
  <c r="L111" i="28" s="1"/>
  <c r="H111" i="28"/>
  <c r="I111" i="28" s="1"/>
  <c r="F111" i="28"/>
  <c r="E111" i="28"/>
  <c r="N110" i="28"/>
  <c r="O110" i="28" s="1"/>
  <c r="K110" i="28"/>
  <c r="L110" i="28" s="1"/>
  <c r="H110" i="28"/>
  <c r="I110" i="28" s="1"/>
  <c r="F110" i="28"/>
  <c r="E110" i="28"/>
  <c r="N109" i="28"/>
  <c r="O109" i="28" s="1"/>
  <c r="L109" i="28"/>
  <c r="K109" i="28"/>
  <c r="H109" i="28"/>
  <c r="I109" i="28" s="1"/>
  <c r="F109" i="28"/>
  <c r="E109" i="28"/>
  <c r="O108" i="28"/>
  <c r="N108" i="28"/>
  <c r="K108" i="28"/>
  <c r="L108" i="28" s="1"/>
  <c r="H108" i="28"/>
  <c r="I108" i="28" s="1"/>
  <c r="F108" i="28"/>
  <c r="E108" i="28"/>
  <c r="N107" i="28"/>
  <c r="O107" i="28" s="1"/>
  <c r="K107" i="28"/>
  <c r="L107" i="28" s="1"/>
  <c r="H107" i="28"/>
  <c r="I107" i="28" s="1"/>
  <c r="F107" i="28"/>
  <c r="E107" i="28"/>
  <c r="O106" i="28"/>
  <c r="N106" i="28"/>
  <c r="L106" i="28"/>
  <c r="K106" i="28"/>
  <c r="H106" i="28"/>
  <c r="I106" i="28" s="1"/>
  <c r="F106" i="28"/>
  <c r="E106" i="28"/>
  <c r="N105" i="28"/>
  <c r="O105" i="28" s="1"/>
  <c r="L105" i="28"/>
  <c r="K105" i="28"/>
  <c r="H105" i="28"/>
  <c r="I105" i="28" s="1"/>
  <c r="F105" i="28"/>
  <c r="E105" i="28"/>
  <c r="N104" i="28"/>
  <c r="O104" i="28" s="1"/>
  <c r="K104" i="28"/>
  <c r="L104" i="28" s="1"/>
  <c r="H104" i="28"/>
  <c r="I104" i="28" s="1"/>
  <c r="F104" i="28"/>
  <c r="E104" i="28"/>
  <c r="O103" i="28"/>
  <c r="N103" i="28"/>
  <c r="K103" i="28"/>
  <c r="L103" i="28" s="1"/>
  <c r="H103" i="28"/>
  <c r="I103" i="28" s="1"/>
  <c r="F103" i="28"/>
  <c r="E103" i="28"/>
  <c r="N102" i="28"/>
  <c r="O102" i="28" s="1"/>
  <c r="K102" i="28"/>
  <c r="L102" i="28" s="1"/>
  <c r="H102" i="28"/>
  <c r="I102" i="28" s="1"/>
  <c r="F102" i="28"/>
  <c r="E102" i="28"/>
  <c r="O101" i="28"/>
  <c r="N101" i="28"/>
  <c r="L101" i="28"/>
  <c r="K101" i="28"/>
  <c r="H101" i="28"/>
  <c r="I101" i="28" s="1"/>
  <c r="F101" i="28"/>
  <c r="E101" i="28"/>
  <c r="N100" i="28"/>
  <c r="O100" i="28" s="1"/>
  <c r="K100" i="28"/>
  <c r="L100" i="28" s="1"/>
  <c r="H100" i="28"/>
  <c r="I100" i="28" s="1"/>
  <c r="F100" i="28"/>
  <c r="E100" i="28"/>
  <c r="O99" i="28"/>
  <c r="N99" i="28"/>
  <c r="K99" i="28"/>
  <c r="L99" i="28" s="1"/>
  <c r="H99" i="28"/>
  <c r="I99" i="28" s="1"/>
  <c r="F99" i="28"/>
  <c r="E99" i="28"/>
  <c r="N98" i="28"/>
  <c r="N118" i="28" s="1"/>
  <c r="K98" i="28"/>
  <c r="H98" i="28"/>
  <c r="H118" i="28" s="1"/>
  <c r="F98" i="28"/>
  <c r="F118" i="28" s="1"/>
  <c r="E98" i="28"/>
  <c r="E118" i="28" s="1"/>
  <c r="M96" i="28"/>
  <c r="J96" i="28"/>
  <c r="G96" i="28"/>
  <c r="D96" i="28"/>
  <c r="B96" i="28"/>
  <c r="M95" i="28"/>
  <c r="G95" i="28"/>
  <c r="B91" i="28"/>
  <c r="N90" i="28"/>
  <c r="O90" i="28" s="1"/>
  <c r="L90" i="28"/>
  <c r="K90" i="28"/>
  <c r="H90" i="28"/>
  <c r="I90" i="28" s="1"/>
  <c r="F90" i="28"/>
  <c r="E90" i="28"/>
  <c r="O89" i="28"/>
  <c r="N89" i="28"/>
  <c r="K89" i="28"/>
  <c r="L89" i="28" s="1"/>
  <c r="H89" i="28"/>
  <c r="I89" i="28" s="1"/>
  <c r="F89" i="28"/>
  <c r="E89" i="28"/>
  <c r="O88" i="28"/>
  <c r="N88" i="28"/>
  <c r="K88" i="28"/>
  <c r="L88" i="28" s="1"/>
  <c r="H88" i="28"/>
  <c r="I88" i="28" s="1"/>
  <c r="F88" i="28"/>
  <c r="E88" i="28"/>
  <c r="O87" i="28"/>
  <c r="N87" i="28"/>
  <c r="L87" i="28"/>
  <c r="K87" i="28"/>
  <c r="H87" i="28"/>
  <c r="I87" i="28" s="1"/>
  <c r="F87" i="28"/>
  <c r="E87" i="28"/>
  <c r="N86" i="28"/>
  <c r="O86" i="28" s="1"/>
  <c r="L86" i="28"/>
  <c r="K86" i="28"/>
  <c r="H86" i="28"/>
  <c r="I86" i="28" s="1"/>
  <c r="F86" i="28"/>
  <c r="E86" i="28"/>
  <c r="N85" i="28"/>
  <c r="O85" i="28" s="1"/>
  <c r="O19" i="28" s="1"/>
  <c r="K85" i="28"/>
  <c r="L85" i="28" s="1"/>
  <c r="L19" i="28" s="1"/>
  <c r="H85" i="28"/>
  <c r="I85" i="28" s="1"/>
  <c r="I19" i="28" s="1"/>
  <c r="F85" i="28"/>
  <c r="F19" i="28" s="1"/>
  <c r="E85" i="28"/>
  <c r="O84" i="28"/>
  <c r="N84" i="28"/>
  <c r="L84" i="28"/>
  <c r="K84" i="28"/>
  <c r="H84" i="28"/>
  <c r="I84" i="28" s="1"/>
  <c r="F84" i="28"/>
  <c r="E84" i="28"/>
  <c r="N83" i="28"/>
  <c r="O83" i="28" s="1"/>
  <c r="K83" i="28"/>
  <c r="L83" i="28" s="1"/>
  <c r="H83" i="28"/>
  <c r="I83" i="28" s="1"/>
  <c r="F83" i="28"/>
  <c r="E83" i="28"/>
  <c r="O82" i="28"/>
  <c r="N82" i="28"/>
  <c r="L82" i="28"/>
  <c r="K82" i="28"/>
  <c r="H82" i="28"/>
  <c r="I82" i="28" s="1"/>
  <c r="F82" i="28"/>
  <c r="E82" i="28"/>
  <c r="O81" i="28"/>
  <c r="N81" i="28"/>
  <c r="K81" i="28"/>
  <c r="L81" i="28" s="1"/>
  <c r="H81" i="28"/>
  <c r="I81" i="28" s="1"/>
  <c r="F81" i="28"/>
  <c r="E81" i="28"/>
  <c r="O80" i="28"/>
  <c r="N80" i="28"/>
  <c r="L80" i="28"/>
  <c r="K80" i="28"/>
  <c r="H80" i="28"/>
  <c r="I80" i="28" s="1"/>
  <c r="F80" i="28"/>
  <c r="E80" i="28"/>
  <c r="O79" i="28"/>
  <c r="N79" i="28"/>
  <c r="K79" i="28"/>
  <c r="L79" i="28" s="1"/>
  <c r="L20" i="28" s="1"/>
  <c r="H79" i="28"/>
  <c r="I79" i="28" s="1"/>
  <c r="I20" i="28" s="1"/>
  <c r="F79" i="28"/>
  <c r="F20" i="28" s="1"/>
  <c r="E79" i="28"/>
  <c r="N78" i="28"/>
  <c r="O78" i="28" s="1"/>
  <c r="L78" i="28"/>
  <c r="K78" i="28"/>
  <c r="H78" i="28"/>
  <c r="I78" i="28" s="1"/>
  <c r="F78" i="28"/>
  <c r="E78" i="28"/>
  <c r="O77" i="28"/>
  <c r="N77" i="28"/>
  <c r="K77" i="28"/>
  <c r="L77" i="28" s="1"/>
  <c r="H77" i="28"/>
  <c r="I77" i="28" s="1"/>
  <c r="F77" i="28"/>
  <c r="E77" i="28"/>
  <c r="O76" i="28"/>
  <c r="O21" i="28" s="1"/>
  <c r="N76" i="28"/>
  <c r="L76" i="28"/>
  <c r="K76" i="28"/>
  <c r="H76" i="28"/>
  <c r="I76" i="28" s="1"/>
  <c r="I21" i="28" s="1"/>
  <c r="F76" i="28"/>
  <c r="E76" i="28"/>
  <c r="N75" i="28"/>
  <c r="O75" i="28" s="1"/>
  <c r="K75" i="28"/>
  <c r="L75" i="28" s="1"/>
  <c r="H75" i="28"/>
  <c r="I75" i="28" s="1"/>
  <c r="F75" i="28"/>
  <c r="E75" i="28"/>
  <c r="O74" i="28"/>
  <c r="N74" i="28"/>
  <c r="L74" i="28"/>
  <c r="K74" i="28"/>
  <c r="H74" i="28"/>
  <c r="I74" i="28" s="1"/>
  <c r="F74" i="28"/>
  <c r="E74" i="28"/>
  <c r="O73" i="28"/>
  <c r="N73" i="28"/>
  <c r="K73" i="28"/>
  <c r="L73" i="28" s="1"/>
  <c r="H73" i="28"/>
  <c r="I73" i="28" s="1"/>
  <c r="F73" i="28"/>
  <c r="E73" i="28"/>
  <c r="O72" i="28"/>
  <c r="N72" i="28"/>
  <c r="L72" i="28"/>
  <c r="K72" i="28"/>
  <c r="H72" i="28"/>
  <c r="I72" i="28" s="1"/>
  <c r="F72" i="28"/>
  <c r="E72" i="28"/>
  <c r="O71" i="28"/>
  <c r="N71" i="28"/>
  <c r="K71" i="28"/>
  <c r="H71" i="28"/>
  <c r="H91" i="28" s="1"/>
  <c r="F71" i="28"/>
  <c r="F91" i="28" s="1"/>
  <c r="E71" i="28"/>
  <c r="E91" i="28" s="1"/>
  <c r="M69" i="28"/>
  <c r="J69" i="28"/>
  <c r="G69" i="28"/>
  <c r="D69" i="28"/>
  <c r="B69" i="28"/>
  <c r="M68" i="28"/>
  <c r="G68" i="28"/>
  <c r="B64" i="28"/>
  <c r="N63" i="28"/>
  <c r="O63" i="28" s="1"/>
  <c r="L63" i="28"/>
  <c r="K63" i="28"/>
  <c r="H63" i="28"/>
  <c r="I63" i="28" s="1"/>
  <c r="F63" i="28"/>
  <c r="E63" i="28"/>
  <c r="O62" i="28"/>
  <c r="N62" i="28"/>
  <c r="K62" i="28"/>
  <c r="L62" i="28" s="1"/>
  <c r="H62" i="28"/>
  <c r="I62" i="28" s="1"/>
  <c r="F62" i="28"/>
  <c r="E62" i="28"/>
  <c r="O61" i="28"/>
  <c r="N61" i="28"/>
  <c r="K61" i="28"/>
  <c r="L61" i="28" s="1"/>
  <c r="H61" i="28"/>
  <c r="I61" i="28" s="1"/>
  <c r="F61" i="28"/>
  <c r="E61" i="28"/>
  <c r="O60" i="28"/>
  <c r="N60" i="28"/>
  <c r="K60" i="28"/>
  <c r="L60" i="28" s="1"/>
  <c r="H60" i="28"/>
  <c r="I60" i="28" s="1"/>
  <c r="F60" i="28"/>
  <c r="E60" i="28"/>
  <c r="O59" i="28"/>
  <c r="N59" i="28"/>
  <c r="L59" i="28"/>
  <c r="K59" i="28"/>
  <c r="H59" i="28"/>
  <c r="I59" i="28" s="1"/>
  <c r="F59" i="28"/>
  <c r="E59" i="28"/>
  <c r="N58" i="28"/>
  <c r="O58" i="28" s="1"/>
  <c r="K58" i="28"/>
  <c r="L58" i="28" s="1"/>
  <c r="H58" i="28"/>
  <c r="I58" i="28" s="1"/>
  <c r="F58" i="28"/>
  <c r="E58" i="28"/>
  <c r="O57" i="28"/>
  <c r="N57" i="28"/>
  <c r="L57" i="28"/>
  <c r="K57" i="28"/>
  <c r="H57" i="28"/>
  <c r="I57" i="28" s="1"/>
  <c r="F57" i="28"/>
  <c r="E57" i="28"/>
  <c r="O56" i="28"/>
  <c r="N56" i="28"/>
  <c r="L56" i="28"/>
  <c r="K56" i="28"/>
  <c r="H56" i="28"/>
  <c r="I56" i="28" s="1"/>
  <c r="F56" i="28"/>
  <c r="E56" i="28"/>
  <c r="N55" i="28"/>
  <c r="O55" i="28" s="1"/>
  <c r="L55" i="28"/>
  <c r="K55" i="28"/>
  <c r="H55" i="28"/>
  <c r="I55" i="28" s="1"/>
  <c r="F55" i="28"/>
  <c r="E55" i="28"/>
  <c r="O54" i="28"/>
  <c r="N54" i="28"/>
  <c r="K54" i="28"/>
  <c r="L54" i="28" s="1"/>
  <c r="H54" i="28"/>
  <c r="I54" i="28" s="1"/>
  <c r="F54" i="28"/>
  <c r="E54" i="28"/>
  <c r="O53" i="28"/>
  <c r="O17" i="28" s="1"/>
  <c r="N53" i="28"/>
  <c r="K53" i="28"/>
  <c r="L53" i="28" s="1"/>
  <c r="L17" i="28" s="1"/>
  <c r="H53" i="28"/>
  <c r="I53" i="28" s="1"/>
  <c r="I17" i="28" s="1"/>
  <c r="F53" i="28"/>
  <c r="F17" i="28" s="1"/>
  <c r="E53" i="28"/>
  <c r="O52" i="28"/>
  <c r="N52" i="28"/>
  <c r="L52" i="28"/>
  <c r="K52" i="28"/>
  <c r="H52" i="28"/>
  <c r="I52" i="28" s="1"/>
  <c r="F52" i="28"/>
  <c r="E52" i="28"/>
  <c r="N51" i="28"/>
  <c r="O51" i="28" s="1"/>
  <c r="L51" i="28"/>
  <c r="K51" i="28"/>
  <c r="H51" i="28"/>
  <c r="I51" i="28" s="1"/>
  <c r="F51" i="28"/>
  <c r="E51" i="28"/>
  <c r="O50" i="28"/>
  <c r="N50" i="28"/>
  <c r="K50" i="28"/>
  <c r="L50" i="28" s="1"/>
  <c r="H50" i="28"/>
  <c r="I50" i="28" s="1"/>
  <c r="F50" i="28"/>
  <c r="E50" i="28"/>
  <c r="O49" i="28"/>
  <c r="N49" i="28"/>
  <c r="K49" i="28"/>
  <c r="L49" i="28" s="1"/>
  <c r="H49" i="28"/>
  <c r="I49" i="28" s="1"/>
  <c r="F49" i="28"/>
  <c r="E49" i="28"/>
  <c r="O48" i="28"/>
  <c r="N48" i="28"/>
  <c r="L48" i="28"/>
  <c r="K48" i="28"/>
  <c r="H48" i="28"/>
  <c r="I48" i="28" s="1"/>
  <c r="F48" i="28"/>
  <c r="E48" i="28"/>
  <c r="N47" i="28"/>
  <c r="O47" i="28" s="1"/>
  <c r="L47" i="28"/>
  <c r="K47" i="28"/>
  <c r="H47" i="28"/>
  <c r="I47" i="28" s="1"/>
  <c r="F47" i="28"/>
  <c r="E47" i="28"/>
  <c r="N46" i="28"/>
  <c r="O46" i="28" s="1"/>
  <c r="K46" i="28"/>
  <c r="L46" i="28" s="1"/>
  <c r="H46" i="28"/>
  <c r="I46" i="28" s="1"/>
  <c r="F46" i="28"/>
  <c r="E46" i="28"/>
  <c r="O45" i="28"/>
  <c r="N45" i="28"/>
  <c r="K45" i="28"/>
  <c r="L45" i="28" s="1"/>
  <c r="L18" i="28" s="1"/>
  <c r="H45" i="28"/>
  <c r="I45" i="28" s="1"/>
  <c r="I18" i="28" s="1"/>
  <c r="F45" i="28"/>
  <c r="F18" i="28" s="1"/>
  <c r="E45" i="28"/>
  <c r="N44" i="28"/>
  <c r="L44" i="28"/>
  <c r="K44" i="28"/>
  <c r="H44" i="28"/>
  <c r="H64" i="28" s="1"/>
  <c r="F44" i="28"/>
  <c r="F64" i="28" s="1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N21" i="28"/>
  <c r="M21" i="28"/>
  <c r="L21" i="28"/>
  <c r="K21" i="28"/>
  <c r="J21" i="28"/>
  <c r="G21" i="28"/>
  <c r="F21" i="28"/>
  <c r="E21" i="28"/>
  <c r="D21" i="28"/>
  <c r="C21" i="28"/>
  <c r="B21" i="28"/>
  <c r="O20" i="28"/>
  <c r="N20" i="28"/>
  <c r="M20" i="28"/>
  <c r="K20" i="28"/>
  <c r="J20" i="28"/>
  <c r="H20" i="28"/>
  <c r="G20" i="28"/>
  <c r="E20" i="28"/>
  <c r="D20" i="28"/>
  <c r="C20" i="28"/>
  <c r="B20" i="28"/>
  <c r="N19" i="28"/>
  <c r="M19" i="28"/>
  <c r="K19" i="28"/>
  <c r="J19" i="28"/>
  <c r="H19" i="28"/>
  <c r="G19" i="28"/>
  <c r="E19" i="28"/>
  <c r="D19" i="28"/>
  <c r="C19" i="28"/>
  <c r="B19" i="28"/>
  <c r="O18" i="28"/>
  <c r="N18" i="28"/>
  <c r="M18" i="28"/>
  <c r="K18" i="28"/>
  <c r="J18" i="28"/>
  <c r="H18" i="28"/>
  <c r="G18" i="28"/>
  <c r="E18" i="28"/>
  <c r="D18" i="28"/>
  <c r="C18" i="28"/>
  <c r="B18" i="28"/>
  <c r="N17" i="28"/>
  <c r="M17" i="28"/>
  <c r="K17" i="28"/>
  <c r="J17" i="28"/>
  <c r="H17" i="28"/>
  <c r="G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N198" i="27"/>
  <c r="O198" i="27" s="1"/>
  <c r="L198" i="27"/>
  <c r="K198" i="27"/>
  <c r="H198" i="27"/>
  <c r="I198" i="27" s="1"/>
  <c r="F198" i="27"/>
  <c r="E198" i="27"/>
  <c r="O197" i="27"/>
  <c r="N197" i="27"/>
  <c r="K197" i="27"/>
  <c r="L197" i="27" s="1"/>
  <c r="H197" i="27"/>
  <c r="I197" i="27" s="1"/>
  <c r="F197" i="27"/>
  <c r="E197" i="27"/>
  <c r="O196" i="27"/>
  <c r="N196" i="27"/>
  <c r="L196" i="27"/>
  <c r="K196" i="27"/>
  <c r="H196" i="27"/>
  <c r="I196" i="27" s="1"/>
  <c r="F196" i="27"/>
  <c r="E196" i="27"/>
  <c r="N195" i="27"/>
  <c r="O195" i="27" s="1"/>
  <c r="K195" i="27"/>
  <c r="L195" i="27" s="1"/>
  <c r="H195" i="27"/>
  <c r="I195" i="27" s="1"/>
  <c r="F195" i="27"/>
  <c r="E195" i="27"/>
  <c r="N194" i="27"/>
  <c r="O194" i="27" s="1"/>
  <c r="L194" i="27"/>
  <c r="K194" i="27"/>
  <c r="H194" i="27"/>
  <c r="I194" i="27" s="1"/>
  <c r="F194" i="27"/>
  <c r="E194" i="27"/>
  <c r="N193" i="27"/>
  <c r="O193" i="27" s="1"/>
  <c r="K193" i="27"/>
  <c r="L193" i="27" s="1"/>
  <c r="H193" i="27"/>
  <c r="I193" i="27" s="1"/>
  <c r="F193" i="27"/>
  <c r="E193" i="27"/>
  <c r="O192" i="27"/>
  <c r="N192" i="27"/>
  <c r="L192" i="27"/>
  <c r="K192" i="27"/>
  <c r="H192" i="27"/>
  <c r="I192" i="27" s="1"/>
  <c r="F192" i="27"/>
  <c r="E192" i="27"/>
  <c r="N191" i="27"/>
  <c r="O191" i="27" s="1"/>
  <c r="K191" i="27"/>
  <c r="L191" i="27" s="1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N188" i="27"/>
  <c r="O188" i="27" s="1"/>
  <c r="L188" i="27"/>
  <c r="K188" i="27"/>
  <c r="H188" i="27"/>
  <c r="I188" i="27" s="1"/>
  <c r="F188" i="27"/>
  <c r="E188" i="27"/>
  <c r="N187" i="27"/>
  <c r="O187" i="27" s="1"/>
  <c r="K187" i="27"/>
  <c r="L187" i="27" s="1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O185" i="27"/>
  <c r="N185" i="27"/>
  <c r="K185" i="27"/>
  <c r="L185" i="27" s="1"/>
  <c r="H185" i="27"/>
  <c r="I185" i="27" s="1"/>
  <c r="F185" i="27"/>
  <c r="E185" i="27"/>
  <c r="O184" i="27"/>
  <c r="N184" i="27"/>
  <c r="L184" i="27"/>
  <c r="K184" i="27"/>
  <c r="H184" i="27"/>
  <c r="I184" i="27" s="1"/>
  <c r="F184" i="27"/>
  <c r="E184" i="27"/>
  <c r="N183" i="27"/>
  <c r="O183" i="27" s="1"/>
  <c r="K183" i="27"/>
  <c r="L183" i="27" s="1"/>
  <c r="H183" i="27"/>
  <c r="I183" i="27" s="1"/>
  <c r="F183" i="27"/>
  <c r="E183" i="27"/>
  <c r="N182" i="27"/>
  <c r="O182" i="27" s="1"/>
  <c r="L182" i="27"/>
  <c r="K182" i="27"/>
  <c r="H182" i="27"/>
  <c r="I182" i="27" s="1"/>
  <c r="F182" i="27"/>
  <c r="E182" i="27"/>
  <c r="O181" i="27"/>
  <c r="N181" i="27"/>
  <c r="K181" i="27"/>
  <c r="L181" i="27" s="1"/>
  <c r="I181" i="27"/>
  <c r="H181" i="27"/>
  <c r="F181" i="27"/>
  <c r="E181" i="27"/>
  <c r="N180" i="27"/>
  <c r="O180" i="27" s="1"/>
  <c r="K180" i="27"/>
  <c r="L180" i="27" s="1"/>
  <c r="I180" i="27"/>
  <c r="H180" i="27"/>
  <c r="F180" i="27"/>
  <c r="E180" i="27"/>
  <c r="N179" i="27"/>
  <c r="K179" i="27"/>
  <c r="K199" i="27" s="1"/>
  <c r="I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N171" i="27"/>
  <c r="O171" i="27" s="1"/>
  <c r="K171" i="27"/>
  <c r="L171" i="27" s="1"/>
  <c r="H171" i="27"/>
  <c r="I171" i="27" s="1"/>
  <c r="F171" i="27"/>
  <c r="E171" i="27"/>
  <c r="N170" i="27"/>
  <c r="O170" i="27" s="1"/>
  <c r="O21" i="27" s="1"/>
  <c r="K170" i="27"/>
  <c r="L170" i="27" s="1"/>
  <c r="L21" i="27" s="1"/>
  <c r="H170" i="27"/>
  <c r="I170" i="27" s="1"/>
  <c r="I21" i="27" s="1"/>
  <c r="F170" i="27"/>
  <c r="F21" i="27" s="1"/>
  <c r="E170" i="27"/>
  <c r="N169" i="27"/>
  <c r="O169" i="27" s="1"/>
  <c r="L169" i="27"/>
  <c r="K169" i="27"/>
  <c r="H169" i="27"/>
  <c r="I169" i="27" s="1"/>
  <c r="F169" i="27"/>
  <c r="E169" i="27"/>
  <c r="O168" i="27"/>
  <c r="N168" i="27"/>
  <c r="L168" i="27"/>
  <c r="K168" i="27"/>
  <c r="H168" i="27"/>
  <c r="I168" i="27" s="1"/>
  <c r="F168" i="27"/>
  <c r="E168" i="27"/>
  <c r="N167" i="27"/>
  <c r="O167" i="27" s="1"/>
  <c r="K167" i="27"/>
  <c r="L167" i="27" s="1"/>
  <c r="H167" i="27"/>
  <c r="I167" i="27" s="1"/>
  <c r="F167" i="27"/>
  <c r="E167" i="27"/>
  <c r="N166" i="27"/>
  <c r="O166" i="27" s="1"/>
  <c r="K166" i="27"/>
  <c r="L166" i="27" s="1"/>
  <c r="H166" i="27"/>
  <c r="I166" i="27" s="1"/>
  <c r="F166" i="27"/>
  <c r="E166" i="27"/>
  <c r="N165" i="27"/>
  <c r="O165" i="27" s="1"/>
  <c r="L165" i="27"/>
  <c r="K165" i="27"/>
  <c r="H165" i="27"/>
  <c r="I165" i="27" s="1"/>
  <c r="F165" i="27"/>
  <c r="E165" i="27"/>
  <c r="O164" i="27"/>
  <c r="N164" i="27"/>
  <c r="L164" i="27"/>
  <c r="K164" i="27"/>
  <c r="H164" i="27"/>
  <c r="I164" i="27" s="1"/>
  <c r="F164" i="27"/>
  <c r="E164" i="27"/>
  <c r="N163" i="27"/>
  <c r="O163" i="27" s="1"/>
  <c r="K163" i="27"/>
  <c r="L163" i="27" s="1"/>
  <c r="H163" i="27"/>
  <c r="I163" i="27" s="1"/>
  <c r="F163" i="27"/>
  <c r="E163" i="27"/>
  <c r="N162" i="27"/>
  <c r="O162" i="27" s="1"/>
  <c r="K162" i="27"/>
  <c r="L162" i="27" s="1"/>
  <c r="H162" i="27"/>
  <c r="I162" i="27" s="1"/>
  <c r="F162" i="27"/>
  <c r="E162" i="27"/>
  <c r="N161" i="27"/>
  <c r="O161" i="27" s="1"/>
  <c r="L161" i="27"/>
  <c r="K161" i="27"/>
  <c r="H161" i="27"/>
  <c r="I161" i="27" s="1"/>
  <c r="F161" i="27"/>
  <c r="E161" i="27"/>
  <c r="O160" i="27"/>
  <c r="N160" i="27"/>
  <c r="L160" i="27"/>
  <c r="K160" i="27"/>
  <c r="H160" i="27"/>
  <c r="I160" i="27" s="1"/>
  <c r="F160" i="27"/>
  <c r="E160" i="27"/>
  <c r="N159" i="27"/>
  <c r="O159" i="27" s="1"/>
  <c r="K159" i="27"/>
  <c r="L159" i="27" s="1"/>
  <c r="H159" i="27"/>
  <c r="I159" i="27" s="1"/>
  <c r="F159" i="27"/>
  <c r="E159" i="27"/>
  <c r="N158" i="27"/>
  <c r="O158" i="27" s="1"/>
  <c r="K158" i="27"/>
  <c r="L158" i="27" s="1"/>
  <c r="H158" i="27"/>
  <c r="I158" i="27" s="1"/>
  <c r="F158" i="27"/>
  <c r="E158" i="27"/>
  <c r="N157" i="27"/>
  <c r="O157" i="27" s="1"/>
  <c r="L157" i="27"/>
  <c r="K157" i="27"/>
  <c r="H157" i="27"/>
  <c r="I157" i="27" s="1"/>
  <c r="F157" i="27"/>
  <c r="E157" i="27"/>
  <c r="O156" i="27"/>
  <c r="N156" i="27"/>
  <c r="L156" i="27"/>
  <c r="K156" i="27"/>
  <c r="H156" i="27"/>
  <c r="I156" i="27" s="1"/>
  <c r="F156" i="27"/>
  <c r="E156" i="27"/>
  <c r="N155" i="27"/>
  <c r="O155" i="27" s="1"/>
  <c r="K155" i="27"/>
  <c r="L155" i="27" s="1"/>
  <c r="H155" i="27"/>
  <c r="I155" i="27" s="1"/>
  <c r="F155" i="27"/>
  <c r="E155" i="27"/>
  <c r="N154" i="27"/>
  <c r="O154" i="27" s="1"/>
  <c r="K154" i="27"/>
  <c r="L154" i="27" s="1"/>
  <c r="H154" i="27"/>
  <c r="I154" i="27" s="1"/>
  <c r="F154" i="27"/>
  <c r="E154" i="27"/>
  <c r="N153" i="27"/>
  <c r="O153" i="27" s="1"/>
  <c r="L153" i="27"/>
  <c r="K153" i="27"/>
  <c r="H153" i="27"/>
  <c r="I153" i="27" s="1"/>
  <c r="F153" i="27"/>
  <c r="E153" i="27"/>
  <c r="O152" i="27"/>
  <c r="N152" i="27"/>
  <c r="L152" i="27"/>
  <c r="K152" i="27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N144" i="27"/>
  <c r="O144" i="27" s="1"/>
  <c r="K144" i="27"/>
  <c r="L144" i="27" s="1"/>
  <c r="H144" i="27"/>
  <c r="I144" i="27" s="1"/>
  <c r="E144" i="27"/>
  <c r="F144" i="27" s="1"/>
  <c r="O143" i="27"/>
  <c r="N143" i="27"/>
  <c r="L143" i="27"/>
  <c r="K143" i="27"/>
  <c r="H143" i="27"/>
  <c r="I143" i="27" s="1"/>
  <c r="E143" i="27"/>
  <c r="F143" i="27" s="1"/>
  <c r="N142" i="27"/>
  <c r="O142" i="27" s="1"/>
  <c r="K142" i="27"/>
  <c r="L142" i="27" s="1"/>
  <c r="I142" i="27"/>
  <c r="H142" i="27"/>
  <c r="E142" i="27"/>
  <c r="F142" i="27" s="1"/>
  <c r="O141" i="27"/>
  <c r="N141" i="27"/>
  <c r="K141" i="27"/>
  <c r="L141" i="27" s="1"/>
  <c r="H141" i="27"/>
  <c r="I141" i="27" s="1"/>
  <c r="E141" i="27"/>
  <c r="F141" i="27" s="1"/>
  <c r="O140" i="27"/>
  <c r="N140" i="27"/>
  <c r="L140" i="27"/>
  <c r="K140" i="27"/>
  <c r="H140" i="27"/>
  <c r="I140" i="27" s="1"/>
  <c r="E140" i="27"/>
  <c r="F140" i="27" s="1"/>
  <c r="N139" i="27"/>
  <c r="O139" i="27" s="1"/>
  <c r="K139" i="27"/>
  <c r="L139" i="27" s="1"/>
  <c r="H139" i="27"/>
  <c r="I139" i="27" s="1"/>
  <c r="E139" i="27"/>
  <c r="F139" i="27" s="1"/>
  <c r="O138" i="27"/>
  <c r="N138" i="27"/>
  <c r="L138" i="27"/>
  <c r="K138" i="27"/>
  <c r="I138" i="27"/>
  <c r="H138" i="27"/>
  <c r="E138" i="27"/>
  <c r="F138" i="27" s="1"/>
  <c r="N137" i="27"/>
  <c r="O137" i="27" s="1"/>
  <c r="K137" i="27"/>
  <c r="L137" i="27" s="1"/>
  <c r="H137" i="27"/>
  <c r="I137" i="27" s="1"/>
  <c r="E137" i="27"/>
  <c r="F137" i="27" s="1"/>
  <c r="O136" i="27"/>
  <c r="N136" i="27"/>
  <c r="L136" i="27"/>
  <c r="K136" i="27"/>
  <c r="H136" i="27"/>
  <c r="I136" i="27" s="1"/>
  <c r="E136" i="27"/>
  <c r="F136" i="27" s="1"/>
  <c r="N135" i="27"/>
  <c r="O135" i="27" s="1"/>
  <c r="K135" i="27"/>
  <c r="L135" i="27" s="1"/>
  <c r="H135" i="27"/>
  <c r="I135" i="27" s="1"/>
  <c r="E135" i="27"/>
  <c r="F135" i="27" s="1"/>
  <c r="N134" i="27"/>
  <c r="O134" i="27" s="1"/>
  <c r="L134" i="27"/>
  <c r="K134" i="27"/>
  <c r="I134" i="27"/>
  <c r="H134" i="27"/>
  <c r="E134" i="27"/>
  <c r="F134" i="27" s="1"/>
  <c r="N133" i="27"/>
  <c r="O133" i="27" s="1"/>
  <c r="L133" i="27"/>
  <c r="K133" i="27"/>
  <c r="H133" i="27"/>
  <c r="I133" i="27" s="1"/>
  <c r="E133" i="27"/>
  <c r="F133" i="27" s="1"/>
  <c r="O132" i="27"/>
  <c r="N132" i="27"/>
  <c r="K132" i="27"/>
  <c r="L132" i="27" s="1"/>
  <c r="H132" i="27"/>
  <c r="I132" i="27" s="1"/>
  <c r="E132" i="27"/>
  <c r="F132" i="27" s="1"/>
  <c r="O131" i="27"/>
  <c r="N131" i="27"/>
  <c r="L131" i="27"/>
  <c r="K131" i="27"/>
  <c r="H131" i="27"/>
  <c r="I131" i="27" s="1"/>
  <c r="E131" i="27"/>
  <c r="F131" i="27" s="1"/>
  <c r="N130" i="27"/>
  <c r="O130" i="27" s="1"/>
  <c r="K130" i="27"/>
  <c r="L130" i="27" s="1"/>
  <c r="I130" i="27"/>
  <c r="H130" i="27"/>
  <c r="E130" i="27"/>
  <c r="F130" i="27" s="1"/>
  <c r="O129" i="27"/>
  <c r="N129" i="27"/>
  <c r="L129" i="27"/>
  <c r="K129" i="27"/>
  <c r="H129" i="27"/>
  <c r="I129" i="27" s="1"/>
  <c r="E129" i="27"/>
  <c r="F129" i="27" s="1"/>
  <c r="N128" i="27"/>
  <c r="O128" i="27" s="1"/>
  <c r="K128" i="27"/>
  <c r="L128" i="27" s="1"/>
  <c r="H128" i="27"/>
  <c r="I128" i="27" s="1"/>
  <c r="E128" i="27"/>
  <c r="F128" i="27" s="1"/>
  <c r="O127" i="27"/>
  <c r="N127" i="27"/>
  <c r="L127" i="27"/>
  <c r="K127" i="27"/>
  <c r="H127" i="27"/>
  <c r="I127" i="27" s="1"/>
  <c r="E127" i="27"/>
  <c r="F127" i="27" s="1"/>
  <c r="N126" i="27"/>
  <c r="O126" i="27" s="1"/>
  <c r="K126" i="27"/>
  <c r="L126" i="27" s="1"/>
  <c r="I126" i="27"/>
  <c r="H126" i="27"/>
  <c r="E126" i="27"/>
  <c r="F126" i="27" s="1"/>
  <c r="O125" i="27"/>
  <c r="N125" i="27"/>
  <c r="K125" i="27"/>
  <c r="H125" i="27"/>
  <c r="H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H117" i="27"/>
  <c r="I117" i="27" s="1"/>
  <c r="F117" i="27"/>
  <c r="E117" i="27"/>
  <c r="O116" i="27"/>
  <c r="N116" i="27"/>
  <c r="K116" i="27"/>
  <c r="L116" i="27" s="1"/>
  <c r="H116" i="27"/>
  <c r="I116" i="27" s="1"/>
  <c r="F116" i="27"/>
  <c r="E116" i="27"/>
  <c r="O115" i="27"/>
  <c r="N115" i="27"/>
  <c r="K115" i="27"/>
  <c r="L115" i="27" s="1"/>
  <c r="H115" i="27"/>
  <c r="I115" i="27" s="1"/>
  <c r="F115" i="27"/>
  <c r="E115" i="27"/>
  <c r="O114" i="27"/>
  <c r="N114" i="27"/>
  <c r="L114" i="27"/>
  <c r="K114" i="27"/>
  <c r="H114" i="27"/>
  <c r="I114" i="27" s="1"/>
  <c r="F114" i="27"/>
  <c r="E114" i="27"/>
  <c r="N113" i="27"/>
  <c r="O113" i="27" s="1"/>
  <c r="L113" i="27"/>
  <c r="K113" i="27"/>
  <c r="H113" i="27"/>
  <c r="I113" i="27" s="1"/>
  <c r="F113" i="27"/>
  <c r="E113" i="27"/>
  <c r="O112" i="27"/>
  <c r="N112" i="27"/>
  <c r="K112" i="27"/>
  <c r="L112" i="27" s="1"/>
  <c r="H112" i="27"/>
  <c r="I112" i="27" s="1"/>
  <c r="F112" i="27"/>
  <c r="E112" i="27"/>
  <c r="O111" i="27"/>
  <c r="N111" i="27"/>
  <c r="K111" i="27"/>
  <c r="L111" i="27" s="1"/>
  <c r="H111" i="27"/>
  <c r="I111" i="27" s="1"/>
  <c r="F111" i="27"/>
  <c r="E111" i="27"/>
  <c r="O110" i="27"/>
  <c r="N110" i="27"/>
  <c r="L110" i="27"/>
  <c r="K110" i="27"/>
  <c r="H110" i="27"/>
  <c r="I110" i="27" s="1"/>
  <c r="F110" i="27"/>
  <c r="E110" i="27"/>
  <c r="N109" i="27"/>
  <c r="O109" i="27" s="1"/>
  <c r="L109" i="27"/>
  <c r="K109" i="27"/>
  <c r="H109" i="27"/>
  <c r="I109" i="27" s="1"/>
  <c r="F109" i="27"/>
  <c r="E109" i="27"/>
  <c r="O108" i="27"/>
  <c r="N108" i="27"/>
  <c r="K108" i="27"/>
  <c r="L108" i="27" s="1"/>
  <c r="H108" i="27"/>
  <c r="I108" i="27" s="1"/>
  <c r="F108" i="27"/>
  <c r="E108" i="27"/>
  <c r="O107" i="27"/>
  <c r="N107" i="27"/>
  <c r="K107" i="27"/>
  <c r="L107" i="27" s="1"/>
  <c r="H107" i="27"/>
  <c r="I107" i="27" s="1"/>
  <c r="F107" i="27"/>
  <c r="E107" i="27"/>
  <c r="O106" i="27"/>
  <c r="N106" i="27"/>
  <c r="L106" i="27"/>
  <c r="K106" i="27"/>
  <c r="H106" i="27"/>
  <c r="I106" i="27" s="1"/>
  <c r="F106" i="27"/>
  <c r="E106" i="27"/>
  <c r="N105" i="27"/>
  <c r="O105" i="27" s="1"/>
  <c r="L105" i="27"/>
  <c r="K105" i="27"/>
  <c r="H105" i="27"/>
  <c r="I105" i="27" s="1"/>
  <c r="F105" i="27"/>
  <c r="E105" i="27"/>
  <c r="O104" i="27"/>
  <c r="N104" i="27"/>
  <c r="K104" i="27"/>
  <c r="L104" i="27" s="1"/>
  <c r="H104" i="27"/>
  <c r="I104" i="27" s="1"/>
  <c r="F104" i="27"/>
  <c r="E104" i="27"/>
  <c r="O103" i="27"/>
  <c r="N103" i="27"/>
  <c r="K103" i="27"/>
  <c r="L103" i="27" s="1"/>
  <c r="H103" i="27"/>
  <c r="I103" i="27" s="1"/>
  <c r="F103" i="27"/>
  <c r="E103" i="27"/>
  <c r="O102" i="27"/>
  <c r="N102" i="27"/>
  <c r="L102" i="27"/>
  <c r="K102" i="27"/>
  <c r="H102" i="27"/>
  <c r="I102" i="27" s="1"/>
  <c r="F102" i="27"/>
  <c r="E102" i="27"/>
  <c r="N101" i="27"/>
  <c r="O101" i="27" s="1"/>
  <c r="L101" i="27"/>
  <c r="K101" i="27"/>
  <c r="H101" i="27"/>
  <c r="I101" i="27" s="1"/>
  <c r="F101" i="27"/>
  <c r="E101" i="27"/>
  <c r="O100" i="27"/>
  <c r="N100" i="27"/>
  <c r="K100" i="27"/>
  <c r="L100" i="27" s="1"/>
  <c r="H100" i="27"/>
  <c r="I100" i="27" s="1"/>
  <c r="F100" i="27"/>
  <c r="E100" i="27"/>
  <c r="O99" i="27"/>
  <c r="N99" i="27"/>
  <c r="K99" i="27"/>
  <c r="L99" i="27" s="1"/>
  <c r="H99" i="27"/>
  <c r="I99" i="27" s="1"/>
  <c r="F99" i="27"/>
  <c r="E99" i="27"/>
  <c r="O98" i="27"/>
  <c r="N98" i="27"/>
  <c r="L98" i="27"/>
  <c r="K98" i="27"/>
  <c r="H98" i="27"/>
  <c r="H118" i="27" s="1"/>
  <c r="E98" i="27"/>
  <c r="E118" i="27" s="1"/>
  <c r="M96" i="27"/>
  <c r="J96" i="27"/>
  <c r="G96" i="27"/>
  <c r="D96" i="27"/>
  <c r="B96" i="27"/>
  <c r="M95" i="27"/>
  <c r="G95" i="27"/>
  <c r="B91" i="27"/>
  <c r="N90" i="27"/>
  <c r="O90" i="27" s="1"/>
  <c r="K90" i="27"/>
  <c r="L90" i="27" s="1"/>
  <c r="H90" i="27"/>
  <c r="I90" i="27" s="1"/>
  <c r="E90" i="27"/>
  <c r="F90" i="27" s="1"/>
  <c r="N89" i="27"/>
  <c r="O89" i="27" s="1"/>
  <c r="L89" i="27"/>
  <c r="K89" i="27"/>
  <c r="I89" i="27"/>
  <c r="H89" i="27"/>
  <c r="E89" i="27"/>
  <c r="F89" i="27" s="1"/>
  <c r="N88" i="27"/>
  <c r="O88" i="27" s="1"/>
  <c r="L88" i="27"/>
  <c r="K88" i="27"/>
  <c r="H88" i="27"/>
  <c r="I88" i="27" s="1"/>
  <c r="E88" i="27"/>
  <c r="F88" i="27" s="1"/>
  <c r="O87" i="27"/>
  <c r="N87" i="27"/>
  <c r="K87" i="27"/>
  <c r="L87" i="27" s="1"/>
  <c r="L20" i="27" s="1"/>
  <c r="I87" i="27"/>
  <c r="H87" i="27"/>
  <c r="E87" i="27"/>
  <c r="F87" i="27" s="1"/>
  <c r="F20" i="27" s="1"/>
  <c r="O86" i="27"/>
  <c r="N86" i="27"/>
  <c r="L86" i="27"/>
  <c r="K86" i="27"/>
  <c r="H86" i="27"/>
  <c r="I86" i="27" s="1"/>
  <c r="E86" i="27"/>
  <c r="F86" i="27" s="1"/>
  <c r="O85" i="27"/>
  <c r="N85" i="27"/>
  <c r="K85" i="27"/>
  <c r="L85" i="27" s="1"/>
  <c r="I85" i="27"/>
  <c r="H85" i="27"/>
  <c r="E85" i="27"/>
  <c r="F85" i="27" s="1"/>
  <c r="O84" i="27"/>
  <c r="N84" i="27"/>
  <c r="L84" i="27"/>
  <c r="K84" i="27"/>
  <c r="H84" i="27"/>
  <c r="I84" i="27" s="1"/>
  <c r="E84" i="27"/>
  <c r="F84" i="27" s="1"/>
  <c r="O83" i="27"/>
  <c r="N83" i="27"/>
  <c r="L83" i="27"/>
  <c r="K83" i="27"/>
  <c r="I83" i="27"/>
  <c r="H83" i="27"/>
  <c r="E83" i="27"/>
  <c r="F83" i="27" s="1"/>
  <c r="N82" i="27"/>
  <c r="O82" i="27" s="1"/>
  <c r="K82" i="27"/>
  <c r="L82" i="27" s="1"/>
  <c r="H82" i="27"/>
  <c r="I82" i="27" s="1"/>
  <c r="E82" i="27"/>
  <c r="F82" i="27" s="1"/>
  <c r="O81" i="27"/>
  <c r="N81" i="27"/>
  <c r="L81" i="27"/>
  <c r="K81" i="27"/>
  <c r="I81" i="27"/>
  <c r="H81" i="27"/>
  <c r="E81" i="27"/>
  <c r="F81" i="27" s="1"/>
  <c r="N80" i="27"/>
  <c r="O80" i="27" s="1"/>
  <c r="O19" i="27" s="1"/>
  <c r="L80" i="27"/>
  <c r="K80" i="27"/>
  <c r="H80" i="27"/>
  <c r="I80" i="27" s="1"/>
  <c r="I19" i="27" s="1"/>
  <c r="E80" i="27"/>
  <c r="F80" i="27" s="1"/>
  <c r="F19" i="27" s="1"/>
  <c r="O79" i="27"/>
  <c r="N79" i="27"/>
  <c r="K79" i="27"/>
  <c r="L79" i="27" s="1"/>
  <c r="H79" i="27"/>
  <c r="I79" i="27" s="1"/>
  <c r="E79" i="27"/>
  <c r="F79" i="27" s="1"/>
  <c r="N78" i="27"/>
  <c r="O78" i="27" s="1"/>
  <c r="L78" i="27"/>
  <c r="K78" i="27"/>
  <c r="I78" i="27"/>
  <c r="H78" i="27"/>
  <c r="E78" i="27"/>
  <c r="F78" i="27" s="1"/>
  <c r="O77" i="27"/>
  <c r="N77" i="27"/>
  <c r="K77" i="27"/>
  <c r="L77" i="27" s="1"/>
  <c r="I77" i="27"/>
  <c r="H77" i="27"/>
  <c r="E77" i="27"/>
  <c r="F77" i="27" s="1"/>
  <c r="N76" i="27"/>
  <c r="O76" i="27" s="1"/>
  <c r="K76" i="27"/>
  <c r="L76" i="27" s="1"/>
  <c r="H76" i="27"/>
  <c r="I76" i="27" s="1"/>
  <c r="E76" i="27"/>
  <c r="F76" i="27" s="1"/>
  <c r="O75" i="27"/>
  <c r="N75" i="27"/>
  <c r="L75" i="27"/>
  <c r="K75" i="27"/>
  <c r="H75" i="27"/>
  <c r="I75" i="27" s="1"/>
  <c r="E75" i="27"/>
  <c r="F75" i="27" s="1"/>
  <c r="N74" i="27"/>
  <c r="O74" i="27" s="1"/>
  <c r="K74" i="27"/>
  <c r="L74" i="27" s="1"/>
  <c r="I74" i="27"/>
  <c r="H74" i="27"/>
  <c r="E74" i="27"/>
  <c r="F74" i="27" s="1"/>
  <c r="O73" i="27"/>
  <c r="N73" i="27"/>
  <c r="L73" i="27"/>
  <c r="K73" i="27"/>
  <c r="I73" i="27"/>
  <c r="H73" i="27"/>
  <c r="E73" i="27"/>
  <c r="F73" i="27" s="1"/>
  <c r="N72" i="27"/>
  <c r="O72" i="27" s="1"/>
  <c r="L72" i="27"/>
  <c r="K72" i="27"/>
  <c r="H72" i="27"/>
  <c r="I72" i="27" s="1"/>
  <c r="E72" i="27"/>
  <c r="F72" i="27" s="1"/>
  <c r="O71" i="27"/>
  <c r="N71" i="27"/>
  <c r="K71" i="27"/>
  <c r="H71" i="27"/>
  <c r="E71" i="27"/>
  <c r="E91" i="27" s="1"/>
  <c r="M69" i="27"/>
  <c r="J69" i="27"/>
  <c r="G69" i="27"/>
  <c r="D69" i="27"/>
  <c r="B69" i="27"/>
  <c r="M68" i="27"/>
  <c r="G68" i="27"/>
  <c r="B64" i="27"/>
  <c r="N63" i="27"/>
  <c r="O63" i="27" s="1"/>
  <c r="L63" i="27"/>
  <c r="K63" i="27"/>
  <c r="I63" i="27"/>
  <c r="H63" i="27"/>
  <c r="E63" i="27"/>
  <c r="F63" i="27" s="1"/>
  <c r="N62" i="27"/>
  <c r="O62" i="27" s="1"/>
  <c r="K62" i="27"/>
  <c r="L62" i="27" s="1"/>
  <c r="I62" i="27"/>
  <c r="H62" i="27"/>
  <c r="E62" i="27"/>
  <c r="F62" i="27" s="1"/>
  <c r="N61" i="27"/>
  <c r="N18" i="27" s="1"/>
  <c r="L61" i="27"/>
  <c r="K61" i="27"/>
  <c r="H61" i="27"/>
  <c r="I61" i="27" s="1"/>
  <c r="I18" i="27" s="1"/>
  <c r="E61" i="27"/>
  <c r="F61" i="27" s="1"/>
  <c r="F18" i="27" s="1"/>
  <c r="N60" i="27"/>
  <c r="O60" i="27" s="1"/>
  <c r="L60" i="27"/>
  <c r="K60" i="27"/>
  <c r="H60" i="27"/>
  <c r="I60" i="27" s="1"/>
  <c r="E60" i="27"/>
  <c r="F60" i="27" s="1"/>
  <c r="N59" i="27"/>
  <c r="O59" i="27" s="1"/>
  <c r="L59" i="27"/>
  <c r="K59" i="27"/>
  <c r="I59" i="27"/>
  <c r="H59" i="27"/>
  <c r="E59" i="27"/>
  <c r="F59" i="27" s="1"/>
  <c r="N58" i="27"/>
  <c r="O58" i="27" s="1"/>
  <c r="L58" i="27"/>
  <c r="K58" i="27"/>
  <c r="I58" i="27"/>
  <c r="H58" i="27"/>
  <c r="E58" i="27"/>
  <c r="F58" i="27" s="1"/>
  <c r="N57" i="27"/>
  <c r="O57" i="27" s="1"/>
  <c r="L57" i="27"/>
  <c r="K57" i="27"/>
  <c r="H57" i="27"/>
  <c r="I57" i="27" s="1"/>
  <c r="E57" i="27"/>
  <c r="F57" i="27" s="1"/>
  <c r="N56" i="27"/>
  <c r="O56" i="27" s="1"/>
  <c r="L56" i="27"/>
  <c r="K56" i="27"/>
  <c r="H56" i="27"/>
  <c r="I56" i="27" s="1"/>
  <c r="E56" i="27"/>
  <c r="F56" i="27" s="1"/>
  <c r="N55" i="27"/>
  <c r="O55" i="27" s="1"/>
  <c r="L55" i="27"/>
  <c r="K55" i="27"/>
  <c r="I55" i="27"/>
  <c r="H55" i="27"/>
  <c r="E55" i="27"/>
  <c r="F55" i="27" s="1"/>
  <c r="O54" i="27"/>
  <c r="N54" i="27"/>
  <c r="K54" i="27"/>
  <c r="L54" i="27" s="1"/>
  <c r="I54" i="27"/>
  <c r="H54" i="27"/>
  <c r="E54" i="27"/>
  <c r="F54" i="27" s="1"/>
  <c r="N53" i="27"/>
  <c r="O53" i="27" s="1"/>
  <c r="L53" i="27"/>
  <c r="K53" i="27"/>
  <c r="H53" i="27"/>
  <c r="I53" i="27" s="1"/>
  <c r="E53" i="27"/>
  <c r="F53" i="27" s="1"/>
  <c r="O52" i="27"/>
  <c r="N52" i="27"/>
  <c r="L52" i="27"/>
  <c r="K52" i="27"/>
  <c r="H52" i="27"/>
  <c r="I52" i="27" s="1"/>
  <c r="E52" i="27"/>
  <c r="F52" i="27" s="1"/>
  <c r="N51" i="27"/>
  <c r="O51" i="27" s="1"/>
  <c r="L51" i="27"/>
  <c r="K51" i="27"/>
  <c r="I51" i="27"/>
  <c r="H51" i="27"/>
  <c r="E51" i="27"/>
  <c r="F51" i="27" s="1"/>
  <c r="N50" i="27"/>
  <c r="O50" i="27" s="1"/>
  <c r="O17" i="27" s="1"/>
  <c r="L50" i="27"/>
  <c r="K50" i="27"/>
  <c r="I50" i="27"/>
  <c r="H50" i="27"/>
  <c r="E50" i="27"/>
  <c r="F50" i="27" s="1"/>
  <c r="F17" i="27" s="1"/>
  <c r="O49" i="27"/>
  <c r="N49" i="27"/>
  <c r="L49" i="27"/>
  <c r="K49" i="27"/>
  <c r="H49" i="27"/>
  <c r="I49" i="27" s="1"/>
  <c r="E49" i="27"/>
  <c r="F49" i="27" s="1"/>
  <c r="N48" i="27"/>
  <c r="O48" i="27" s="1"/>
  <c r="L48" i="27"/>
  <c r="K48" i="27"/>
  <c r="I48" i="27"/>
  <c r="H48" i="27"/>
  <c r="E48" i="27"/>
  <c r="F48" i="27" s="1"/>
  <c r="N47" i="27"/>
  <c r="O47" i="27" s="1"/>
  <c r="L47" i="27"/>
  <c r="K47" i="27"/>
  <c r="I47" i="27"/>
  <c r="H47" i="27"/>
  <c r="E47" i="27"/>
  <c r="F47" i="27" s="1"/>
  <c r="O46" i="27"/>
  <c r="N46" i="27"/>
  <c r="L46" i="27"/>
  <c r="K46" i="27"/>
  <c r="I46" i="27"/>
  <c r="H46" i="27"/>
  <c r="E46" i="27"/>
  <c r="F46" i="27" s="1"/>
  <c r="N45" i="27"/>
  <c r="O45" i="27" s="1"/>
  <c r="K45" i="27"/>
  <c r="L45" i="27" s="1"/>
  <c r="H45" i="27"/>
  <c r="I45" i="27" s="1"/>
  <c r="E45" i="27"/>
  <c r="F45" i="27" s="1"/>
  <c r="O44" i="27"/>
  <c r="N44" i="27"/>
  <c r="L44" i="27"/>
  <c r="K44" i="27"/>
  <c r="I44" i="27"/>
  <c r="H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N21" i="27"/>
  <c r="M21" i="27"/>
  <c r="J21" i="27"/>
  <c r="H21" i="27"/>
  <c r="G21" i="27"/>
  <c r="E21" i="27"/>
  <c r="D21" i="27"/>
  <c r="C21" i="27"/>
  <c r="B21" i="27"/>
  <c r="O20" i="27"/>
  <c r="N20" i="27"/>
  <c r="M20" i="27"/>
  <c r="K20" i="27"/>
  <c r="J20" i="27"/>
  <c r="I20" i="27"/>
  <c r="H20" i="27"/>
  <c r="G20" i="27"/>
  <c r="E20" i="27"/>
  <c r="D20" i="27"/>
  <c r="C20" i="27"/>
  <c r="B20" i="27"/>
  <c r="N19" i="27"/>
  <c r="M19" i="27"/>
  <c r="L19" i="27"/>
  <c r="K19" i="27"/>
  <c r="J19" i="27"/>
  <c r="G19" i="27"/>
  <c r="E19" i="27"/>
  <c r="D19" i="27"/>
  <c r="C19" i="27"/>
  <c r="B19" i="27"/>
  <c r="M18" i="27"/>
  <c r="L18" i="27"/>
  <c r="K18" i="27"/>
  <c r="J18" i="27"/>
  <c r="H18" i="27"/>
  <c r="G18" i="27"/>
  <c r="E18" i="27"/>
  <c r="D18" i="27"/>
  <c r="C18" i="27"/>
  <c r="B18" i="27"/>
  <c r="N17" i="27"/>
  <c r="M17" i="27"/>
  <c r="L17" i="27"/>
  <c r="K17" i="27"/>
  <c r="J17" i="27"/>
  <c r="I17" i="27"/>
  <c r="H17" i="27"/>
  <c r="G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I198" i="26"/>
  <c r="H198" i="26"/>
  <c r="F198" i="26"/>
  <c r="E198" i="26"/>
  <c r="N197" i="26"/>
  <c r="O197" i="26" s="1"/>
  <c r="L197" i="26"/>
  <c r="K197" i="26"/>
  <c r="I197" i="26"/>
  <c r="H197" i="26"/>
  <c r="F197" i="26"/>
  <c r="E197" i="26"/>
  <c r="N196" i="26"/>
  <c r="O196" i="26" s="1"/>
  <c r="L196" i="26"/>
  <c r="K196" i="26"/>
  <c r="I196" i="26"/>
  <c r="H196" i="26"/>
  <c r="F196" i="26"/>
  <c r="E196" i="26"/>
  <c r="N195" i="26"/>
  <c r="O195" i="26" s="1"/>
  <c r="L195" i="26"/>
  <c r="K195" i="26"/>
  <c r="I195" i="26"/>
  <c r="H195" i="26"/>
  <c r="F195" i="26"/>
  <c r="E195" i="26"/>
  <c r="N194" i="26"/>
  <c r="O194" i="26" s="1"/>
  <c r="L194" i="26"/>
  <c r="K194" i="26"/>
  <c r="I194" i="26"/>
  <c r="H194" i="26"/>
  <c r="F194" i="26"/>
  <c r="E194" i="26"/>
  <c r="N193" i="26"/>
  <c r="O193" i="26" s="1"/>
  <c r="L193" i="26"/>
  <c r="K193" i="26"/>
  <c r="I193" i="26"/>
  <c r="H193" i="26"/>
  <c r="F193" i="26"/>
  <c r="E193" i="26"/>
  <c r="N192" i="26"/>
  <c r="O192" i="26" s="1"/>
  <c r="L192" i="26"/>
  <c r="K192" i="26"/>
  <c r="I192" i="26"/>
  <c r="H192" i="26"/>
  <c r="F192" i="26"/>
  <c r="E192" i="26"/>
  <c r="N191" i="26"/>
  <c r="O191" i="26" s="1"/>
  <c r="L191" i="26"/>
  <c r="K191" i="26"/>
  <c r="I191" i="26"/>
  <c r="H191" i="26"/>
  <c r="F191" i="26"/>
  <c r="E191" i="26"/>
  <c r="N190" i="26"/>
  <c r="O190" i="26" s="1"/>
  <c r="L190" i="26"/>
  <c r="K190" i="26"/>
  <c r="I190" i="26"/>
  <c r="H190" i="26"/>
  <c r="F190" i="26"/>
  <c r="E190" i="26"/>
  <c r="N189" i="26"/>
  <c r="O189" i="26" s="1"/>
  <c r="L189" i="26"/>
  <c r="K189" i="26"/>
  <c r="I189" i="26"/>
  <c r="H189" i="26"/>
  <c r="F189" i="26"/>
  <c r="E189" i="26"/>
  <c r="N188" i="26"/>
  <c r="O188" i="26" s="1"/>
  <c r="L188" i="26"/>
  <c r="K188" i="26"/>
  <c r="I188" i="26"/>
  <c r="H188" i="26"/>
  <c r="F188" i="26"/>
  <c r="E188" i="26"/>
  <c r="N187" i="26"/>
  <c r="O187" i="26" s="1"/>
  <c r="L187" i="26"/>
  <c r="K187" i="26"/>
  <c r="I187" i="26"/>
  <c r="H187" i="26"/>
  <c r="F187" i="26"/>
  <c r="E187" i="26"/>
  <c r="N186" i="26"/>
  <c r="O186" i="26" s="1"/>
  <c r="L186" i="26"/>
  <c r="K186" i="26"/>
  <c r="I186" i="26"/>
  <c r="H186" i="26"/>
  <c r="F186" i="26"/>
  <c r="E186" i="26"/>
  <c r="N185" i="26"/>
  <c r="O185" i="26" s="1"/>
  <c r="L185" i="26"/>
  <c r="K185" i="26"/>
  <c r="I185" i="26"/>
  <c r="H185" i="26"/>
  <c r="F185" i="26"/>
  <c r="E185" i="26"/>
  <c r="N184" i="26"/>
  <c r="O184" i="26" s="1"/>
  <c r="L184" i="26"/>
  <c r="K184" i="26"/>
  <c r="I184" i="26"/>
  <c r="H184" i="26"/>
  <c r="F184" i="26"/>
  <c r="E184" i="26"/>
  <c r="N183" i="26"/>
  <c r="O183" i="26" s="1"/>
  <c r="L183" i="26"/>
  <c r="K183" i="26"/>
  <c r="I183" i="26"/>
  <c r="H183" i="26"/>
  <c r="F183" i="26"/>
  <c r="E183" i="26"/>
  <c r="N182" i="26"/>
  <c r="O182" i="26" s="1"/>
  <c r="L182" i="26"/>
  <c r="K182" i="26"/>
  <c r="I182" i="26"/>
  <c r="H182" i="26"/>
  <c r="F182" i="26"/>
  <c r="E182" i="26"/>
  <c r="N181" i="26"/>
  <c r="O181" i="26" s="1"/>
  <c r="L181" i="26"/>
  <c r="K181" i="26"/>
  <c r="I181" i="26"/>
  <c r="H181" i="26"/>
  <c r="F181" i="26"/>
  <c r="E181" i="26"/>
  <c r="N180" i="26"/>
  <c r="O180" i="26" s="1"/>
  <c r="L180" i="26"/>
  <c r="K180" i="26"/>
  <c r="I180" i="26"/>
  <c r="H180" i="26"/>
  <c r="F180" i="26"/>
  <c r="E180" i="26"/>
  <c r="N179" i="26"/>
  <c r="N199" i="26" s="1"/>
  <c r="L179" i="26"/>
  <c r="L199" i="26" s="1"/>
  <c r="K179" i="26"/>
  <c r="K199" i="26" s="1"/>
  <c r="I179" i="26"/>
  <c r="I199" i="26" s="1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N170" i="26"/>
  <c r="O170" i="26" s="1"/>
  <c r="O19" i="26" s="1"/>
  <c r="K170" i="26"/>
  <c r="L170" i="26" s="1"/>
  <c r="L19" i="26" s="1"/>
  <c r="H170" i="26"/>
  <c r="I170" i="26" s="1"/>
  <c r="I19" i="26" s="1"/>
  <c r="F170" i="26"/>
  <c r="F19" i="26" s="1"/>
  <c r="E170" i="26"/>
  <c r="N169" i="26"/>
  <c r="O169" i="26" s="1"/>
  <c r="K169" i="26"/>
  <c r="L169" i="26" s="1"/>
  <c r="H169" i="26"/>
  <c r="I169" i="26" s="1"/>
  <c r="F169" i="26"/>
  <c r="E169" i="26"/>
  <c r="O168" i="26"/>
  <c r="N168" i="26"/>
  <c r="K168" i="26"/>
  <c r="L168" i="26" s="1"/>
  <c r="H168" i="26"/>
  <c r="I168" i="26" s="1"/>
  <c r="F168" i="26"/>
  <c r="E168" i="26"/>
  <c r="N167" i="26"/>
  <c r="O167" i="26" s="1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O165" i="26"/>
  <c r="N165" i="26"/>
  <c r="K165" i="26"/>
  <c r="L165" i="26" s="1"/>
  <c r="L20" i="26" s="1"/>
  <c r="H165" i="26"/>
  <c r="I165" i="26" s="1"/>
  <c r="I20" i="26" s="1"/>
  <c r="F165" i="26"/>
  <c r="E165" i="26"/>
  <c r="N164" i="26"/>
  <c r="O164" i="26" s="1"/>
  <c r="K164" i="26"/>
  <c r="L164" i="26" s="1"/>
  <c r="H164" i="26"/>
  <c r="I164" i="26" s="1"/>
  <c r="F164" i="26"/>
  <c r="E164" i="26"/>
  <c r="O163" i="26"/>
  <c r="N163" i="26"/>
  <c r="K163" i="26"/>
  <c r="L163" i="26" s="1"/>
  <c r="H163" i="26"/>
  <c r="I163" i="26" s="1"/>
  <c r="F163" i="26"/>
  <c r="E163" i="26"/>
  <c r="N162" i="26"/>
  <c r="O162" i="26" s="1"/>
  <c r="K162" i="26"/>
  <c r="L162" i="26" s="1"/>
  <c r="H162" i="26"/>
  <c r="I162" i="26" s="1"/>
  <c r="F162" i="26"/>
  <c r="E162" i="26"/>
  <c r="O161" i="26"/>
  <c r="N161" i="26"/>
  <c r="K161" i="26"/>
  <c r="L161" i="26" s="1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O159" i="26"/>
  <c r="N159" i="26"/>
  <c r="K159" i="26"/>
  <c r="L159" i="26" s="1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O157" i="26"/>
  <c r="N157" i="26"/>
  <c r="K157" i="26"/>
  <c r="L157" i="26" s="1"/>
  <c r="H157" i="26"/>
  <c r="I157" i="26" s="1"/>
  <c r="F157" i="26"/>
  <c r="E157" i="26"/>
  <c r="N156" i="26"/>
  <c r="O156" i="26" s="1"/>
  <c r="K156" i="26"/>
  <c r="L156" i="26" s="1"/>
  <c r="H156" i="26"/>
  <c r="I156" i="26" s="1"/>
  <c r="F156" i="26"/>
  <c r="E156" i="26"/>
  <c r="O155" i="26"/>
  <c r="N155" i="26"/>
  <c r="K155" i="26"/>
  <c r="L155" i="26" s="1"/>
  <c r="H155" i="26"/>
  <c r="I155" i="26" s="1"/>
  <c r="F155" i="26"/>
  <c r="E155" i="26"/>
  <c r="N154" i="26"/>
  <c r="O154" i="26" s="1"/>
  <c r="K154" i="26"/>
  <c r="L154" i="26" s="1"/>
  <c r="H154" i="26"/>
  <c r="I154" i="26" s="1"/>
  <c r="F154" i="26"/>
  <c r="E154" i="26"/>
  <c r="O153" i="26"/>
  <c r="N153" i="26"/>
  <c r="K153" i="26"/>
  <c r="L153" i="26" s="1"/>
  <c r="H153" i="26"/>
  <c r="I153" i="26" s="1"/>
  <c r="F153" i="26"/>
  <c r="E153" i="26"/>
  <c r="N152" i="26"/>
  <c r="K152" i="26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K144" i="26"/>
  <c r="L144" i="26" s="1"/>
  <c r="H144" i="26"/>
  <c r="I144" i="26" s="1"/>
  <c r="F144" i="26"/>
  <c r="E144" i="26"/>
  <c r="N143" i="26"/>
  <c r="O143" i="26" s="1"/>
  <c r="K143" i="26"/>
  <c r="L143" i="26" s="1"/>
  <c r="H143" i="26"/>
  <c r="I143" i="26" s="1"/>
  <c r="F143" i="26"/>
  <c r="E143" i="26"/>
  <c r="O142" i="26"/>
  <c r="N142" i="26"/>
  <c r="K142" i="26"/>
  <c r="L142" i="26" s="1"/>
  <c r="H142" i="26"/>
  <c r="I142" i="26" s="1"/>
  <c r="F142" i="26"/>
  <c r="E142" i="26"/>
  <c r="N141" i="26"/>
  <c r="O141" i="26" s="1"/>
  <c r="K141" i="26"/>
  <c r="L141" i="26" s="1"/>
  <c r="H141" i="26"/>
  <c r="I141" i="26" s="1"/>
  <c r="F141" i="26"/>
  <c r="E141" i="26"/>
  <c r="O140" i="26"/>
  <c r="N140" i="26"/>
  <c r="K140" i="26"/>
  <c r="L140" i="26" s="1"/>
  <c r="H140" i="26"/>
  <c r="I140" i="26" s="1"/>
  <c r="F140" i="26"/>
  <c r="E140" i="26"/>
  <c r="N139" i="26"/>
  <c r="O139" i="26" s="1"/>
  <c r="K139" i="26"/>
  <c r="L139" i="26" s="1"/>
  <c r="H139" i="26"/>
  <c r="I139" i="26" s="1"/>
  <c r="F139" i="26"/>
  <c r="E139" i="26"/>
  <c r="O138" i="26"/>
  <c r="N138" i="26"/>
  <c r="L138" i="26"/>
  <c r="K138" i="26"/>
  <c r="H138" i="26"/>
  <c r="I138" i="26" s="1"/>
  <c r="F138" i="26"/>
  <c r="E138" i="26"/>
  <c r="N137" i="26"/>
  <c r="O137" i="26" s="1"/>
  <c r="K137" i="26"/>
  <c r="L137" i="26" s="1"/>
  <c r="H137" i="26"/>
  <c r="I137" i="26" s="1"/>
  <c r="F137" i="26"/>
  <c r="E137" i="26"/>
  <c r="N136" i="26"/>
  <c r="O136" i="26" s="1"/>
  <c r="K136" i="26"/>
  <c r="L136" i="26" s="1"/>
  <c r="H136" i="26"/>
  <c r="I136" i="26" s="1"/>
  <c r="F136" i="26"/>
  <c r="E136" i="26"/>
  <c r="N135" i="26"/>
  <c r="O135" i="26" s="1"/>
  <c r="K135" i="26"/>
  <c r="L135" i="26" s="1"/>
  <c r="H135" i="26"/>
  <c r="I135" i="26" s="1"/>
  <c r="F135" i="26"/>
  <c r="E135" i="26"/>
  <c r="N134" i="26"/>
  <c r="O134" i="26" s="1"/>
  <c r="K134" i="26"/>
  <c r="L134" i="26" s="1"/>
  <c r="H134" i="26"/>
  <c r="I134" i="26" s="1"/>
  <c r="F134" i="26"/>
  <c r="E134" i="26"/>
  <c r="N133" i="26"/>
  <c r="O133" i="26" s="1"/>
  <c r="K133" i="26"/>
  <c r="L133" i="26" s="1"/>
  <c r="H133" i="26"/>
  <c r="I133" i="26" s="1"/>
  <c r="F133" i="26"/>
  <c r="E133" i="26"/>
  <c r="N132" i="26"/>
  <c r="O132" i="26" s="1"/>
  <c r="K132" i="26"/>
  <c r="L132" i="26" s="1"/>
  <c r="H132" i="26"/>
  <c r="I132" i="26" s="1"/>
  <c r="F132" i="26"/>
  <c r="E132" i="26"/>
  <c r="N131" i="26"/>
  <c r="O131" i="26" s="1"/>
  <c r="K131" i="26"/>
  <c r="L131" i="26" s="1"/>
  <c r="H131" i="26"/>
  <c r="I131" i="26" s="1"/>
  <c r="F131" i="26"/>
  <c r="E131" i="26"/>
  <c r="N130" i="26"/>
  <c r="O130" i="26" s="1"/>
  <c r="K130" i="26"/>
  <c r="L130" i="26" s="1"/>
  <c r="H130" i="26"/>
  <c r="I130" i="26" s="1"/>
  <c r="F130" i="26"/>
  <c r="E130" i="26"/>
  <c r="N129" i="26"/>
  <c r="O129" i="26" s="1"/>
  <c r="K129" i="26"/>
  <c r="L129" i="26" s="1"/>
  <c r="H129" i="26"/>
  <c r="I129" i="26" s="1"/>
  <c r="F129" i="26"/>
  <c r="E129" i="26"/>
  <c r="N128" i="26"/>
  <c r="O128" i="26" s="1"/>
  <c r="L128" i="26"/>
  <c r="K128" i="26"/>
  <c r="H128" i="26"/>
  <c r="I128" i="26" s="1"/>
  <c r="F128" i="26"/>
  <c r="E128" i="26"/>
  <c r="O127" i="26"/>
  <c r="N127" i="26"/>
  <c r="K127" i="26"/>
  <c r="L127" i="26" s="1"/>
  <c r="H127" i="26"/>
  <c r="I127" i="26" s="1"/>
  <c r="F127" i="26"/>
  <c r="E127" i="26"/>
  <c r="N126" i="26"/>
  <c r="O126" i="26" s="1"/>
  <c r="K126" i="26"/>
  <c r="L126" i="26" s="1"/>
  <c r="H126" i="26"/>
  <c r="I126" i="26" s="1"/>
  <c r="F126" i="26"/>
  <c r="E126" i="26"/>
  <c r="O125" i="26"/>
  <c r="N125" i="26"/>
  <c r="K125" i="26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O117" i="26" s="1"/>
  <c r="K117" i="26"/>
  <c r="L117" i="26" s="1"/>
  <c r="H117" i="26"/>
  <c r="I117" i="26" s="1"/>
  <c r="F117" i="26"/>
  <c r="E117" i="26"/>
  <c r="O116" i="26"/>
  <c r="N116" i="26"/>
  <c r="K116" i="26"/>
  <c r="L116" i="26" s="1"/>
  <c r="H116" i="26"/>
  <c r="I116" i="26" s="1"/>
  <c r="F116" i="26"/>
  <c r="E116" i="26"/>
  <c r="N115" i="26"/>
  <c r="O115" i="26" s="1"/>
  <c r="K115" i="26"/>
  <c r="L115" i="26" s="1"/>
  <c r="H115" i="26"/>
  <c r="I115" i="26" s="1"/>
  <c r="F115" i="26"/>
  <c r="E115" i="26"/>
  <c r="O114" i="26"/>
  <c r="N114" i="26"/>
  <c r="L114" i="26"/>
  <c r="K114" i="26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O112" i="26"/>
  <c r="N112" i="26"/>
  <c r="K112" i="26"/>
  <c r="L112" i="26" s="1"/>
  <c r="H112" i="26"/>
  <c r="I112" i="26" s="1"/>
  <c r="F112" i="26"/>
  <c r="E112" i="26"/>
  <c r="N111" i="26"/>
  <c r="N31" i="26" s="1"/>
  <c r="K111" i="26"/>
  <c r="L111" i="26" s="1"/>
  <c r="L31" i="26" s="1"/>
  <c r="H111" i="26"/>
  <c r="I111" i="26" s="1"/>
  <c r="I31" i="26" s="1"/>
  <c r="F111" i="26"/>
  <c r="F31" i="26" s="1"/>
  <c r="E111" i="26"/>
  <c r="O110" i="26"/>
  <c r="N110" i="26"/>
  <c r="K110" i="26"/>
  <c r="L110" i="26" s="1"/>
  <c r="L30" i="26" s="1"/>
  <c r="H110" i="26"/>
  <c r="I110" i="26" s="1"/>
  <c r="I30" i="26" s="1"/>
  <c r="F110" i="26"/>
  <c r="F30" i="26" s="1"/>
  <c r="E110" i="26"/>
  <c r="N109" i="26"/>
  <c r="O109" i="26" s="1"/>
  <c r="O29" i="26" s="1"/>
  <c r="K109" i="26"/>
  <c r="L109" i="26" s="1"/>
  <c r="L29" i="26" s="1"/>
  <c r="H109" i="26"/>
  <c r="I109" i="26" s="1"/>
  <c r="I29" i="26" s="1"/>
  <c r="F109" i="26"/>
  <c r="F29" i="26" s="1"/>
  <c r="E109" i="26"/>
  <c r="O108" i="26"/>
  <c r="N108" i="26"/>
  <c r="K108" i="26"/>
  <c r="L108" i="26" s="1"/>
  <c r="H108" i="26"/>
  <c r="I108" i="26" s="1"/>
  <c r="F108" i="26"/>
  <c r="E108" i="26"/>
  <c r="N107" i="26"/>
  <c r="O107" i="26" s="1"/>
  <c r="O27" i="26" s="1"/>
  <c r="K107" i="26"/>
  <c r="L107" i="26" s="1"/>
  <c r="L27" i="26" s="1"/>
  <c r="H107" i="26"/>
  <c r="I107" i="26" s="1"/>
  <c r="I27" i="26" s="1"/>
  <c r="F107" i="26"/>
  <c r="E107" i="26"/>
  <c r="O106" i="26"/>
  <c r="N106" i="26"/>
  <c r="K106" i="26"/>
  <c r="L106" i="26" s="1"/>
  <c r="H106" i="26"/>
  <c r="I106" i="26" s="1"/>
  <c r="F106" i="26"/>
  <c r="E106" i="26"/>
  <c r="N105" i="26"/>
  <c r="O105" i="26" s="1"/>
  <c r="O25" i="26" s="1"/>
  <c r="K105" i="26"/>
  <c r="L105" i="26" s="1"/>
  <c r="L25" i="26" s="1"/>
  <c r="H105" i="26"/>
  <c r="I105" i="26" s="1"/>
  <c r="I25" i="26" s="1"/>
  <c r="F105" i="26"/>
  <c r="E105" i="26"/>
  <c r="O104" i="26"/>
  <c r="N104" i="26"/>
  <c r="K104" i="26"/>
  <c r="K24" i="26" s="1"/>
  <c r="H104" i="26"/>
  <c r="I104" i="26" s="1"/>
  <c r="I24" i="26" s="1"/>
  <c r="F104" i="26"/>
  <c r="E104" i="26"/>
  <c r="N103" i="26"/>
  <c r="O103" i="26" s="1"/>
  <c r="O23" i="26" s="1"/>
  <c r="K103" i="26"/>
  <c r="L103" i="26" s="1"/>
  <c r="L23" i="26" s="1"/>
  <c r="H103" i="26"/>
  <c r="I103" i="26" s="1"/>
  <c r="I23" i="26" s="1"/>
  <c r="F103" i="26"/>
  <c r="E103" i="26"/>
  <c r="O102" i="26"/>
  <c r="N102" i="26"/>
  <c r="K102" i="26"/>
  <c r="L102" i="26" s="1"/>
  <c r="H102" i="26"/>
  <c r="I102" i="26" s="1"/>
  <c r="F102" i="26"/>
  <c r="E102" i="26"/>
  <c r="N101" i="26"/>
  <c r="O101" i="26" s="1"/>
  <c r="K101" i="26"/>
  <c r="L101" i="26" s="1"/>
  <c r="H101" i="26"/>
  <c r="I101" i="26" s="1"/>
  <c r="F101" i="26"/>
  <c r="E101" i="26"/>
  <c r="O100" i="26"/>
  <c r="N100" i="26"/>
  <c r="K100" i="26"/>
  <c r="L100" i="26" s="1"/>
  <c r="H100" i="26"/>
  <c r="I100" i="26" s="1"/>
  <c r="F100" i="26"/>
  <c r="E100" i="26"/>
  <c r="N99" i="26"/>
  <c r="O99" i="26" s="1"/>
  <c r="K99" i="26"/>
  <c r="L99" i="26" s="1"/>
  <c r="H99" i="26"/>
  <c r="I99" i="26" s="1"/>
  <c r="F99" i="26"/>
  <c r="E99" i="26"/>
  <c r="O98" i="26"/>
  <c r="N98" i="26"/>
  <c r="L98" i="26"/>
  <c r="K98" i="26"/>
  <c r="H98" i="26"/>
  <c r="H118" i="26" s="1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O90" i="26"/>
  <c r="N90" i="26"/>
  <c r="K90" i="26"/>
  <c r="L90" i="26" s="1"/>
  <c r="H90" i="26"/>
  <c r="I90" i="26" s="1"/>
  <c r="F90" i="26"/>
  <c r="E90" i="26"/>
  <c r="N89" i="26"/>
  <c r="O89" i="26" s="1"/>
  <c r="K89" i="26"/>
  <c r="L89" i="26" s="1"/>
  <c r="H89" i="26"/>
  <c r="I89" i="26" s="1"/>
  <c r="F89" i="26"/>
  <c r="E89" i="26"/>
  <c r="O88" i="26"/>
  <c r="N88" i="26"/>
  <c r="L88" i="26"/>
  <c r="K88" i="26"/>
  <c r="H88" i="26"/>
  <c r="I88" i="26" s="1"/>
  <c r="F88" i="26"/>
  <c r="E88" i="26"/>
  <c r="N87" i="26"/>
  <c r="O87" i="26" s="1"/>
  <c r="K87" i="26"/>
  <c r="L87" i="26" s="1"/>
  <c r="H87" i="26"/>
  <c r="I87" i="26" s="1"/>
  <c r="F87" i="26"/>
  <c r="E87" i="26"/>
  <c r="O86" i="26"/>
  <c r="N86" i="26"/>
  <c r="K86" i="26"/>
  <c r="L86" i="26" s="1"/>
  <c r="L18" i="26" s="1"/>
  <c r="H86" i="26"/>
  <c r="I86" i="26" s="1"/>
  <c r="I18" i="26" s="1"/>
  <c r="F86" i="26"/>
  <c r="E86" i="26"/>
  <c r="N85" i="26"/>
  <c r="O85" i="26" s="1"/>
  <c r="K85" i="26"/>
  <c r="L85" i="26" s="1"/>
  <c r="H85" i="26"/>
  <c r="I85" i="26" s="1"/>
  <c r="F85" i="26"/>
  <c r="E85" i="26"/>
  <c r="O84" i="26"/>
  <c r="N84" i="26"/>
  <c r="K84" i="26"/>
  <c r="L84" i="26" s="1"/>
  <c r="H84" i="26"/>
  <c r="I84" i="26" s="1"/>
  <c r="F84" i="26"/>
  <c r="E84" i="26"/>
  <c r="N83" i="26"/>
  <c r="O83" i="26" s="1"/>
  <c r="K83" i="26"/>
  <c r="L83" i="26" s="1"/>
  <c r="H83" i="26"/>
  <c r="I83" i="26" s="1"/>
  <c r="F83" i="26"/>
  <c r="E83" i="26"/>
  <c r="O82" i="26"/>
  <c r="N82" i="26"/>
  <c r="K82" i="26"/>
  <c r="L82" i="26" s="1"/>
  <c r="H82" i="26"/>
  <c r="I82" i="26" s="1"/>
  <c r="F82" i="26"/>
  <c r="E82" i="26"/>
  <c r="N81" i="26"/>
  <c r="O81" i="26" s="1"/>
  <c r="K81" i="26"/>
  <c r="L81" i="26" s="1"/>
  <c r="H81" i="26"/>
  <c r="I81" i="26" s="1"/>
  <c r="F81" i="26"/>
  <c r="E81" i="26"/>
  <c r="O80" i="26"/>
  <c r="N80" i="26"/>
  <c r="K80" i="26"/>
  <c r="L80" i="26" s="1"/>
  <c r="H80" i="26"/>
  <c r="I80" i="26" s="1"/>
  <c r="F80" i="26"/>
  <c r="E80" i="26"/>
  <c r="N79" i="26"/>
  <c r="O79" i="26" s="1"/>
  <c r="K79" i="26"/>
  <c r="L79" i="26" s="1"/>
  <c r="H79" i="26"/>
  <c r="I79" i="26" s="1"/>
  <c r="F79" i="26"/>
  <c r="E79" i="26"/>
  <c r="O78" i="26"/>
  <c r="N78" i="26"/>
  <c r="K78" i="26"/>
  <c r="L78" i="26" s="1"/>
  <c r="H78" i="26"/>
  <c r="I78" i="26" s="1"/>
  <c r="F78" i="26"/>
  <c r="E78" i="26"/>
  <c r="N77" i="26"/>
  <c r="N21" i="26" s="1"/>
  <c r="K77" i="26"/>
  <c r="L77" i="26" s="1"/>
  <c r="L21" i="26" s="1"/>
  <c r="H77" i="26"/>
  <c r="I77" i="26" s="1"/>
  <c r="I21" i="26" s="1"/>
  <c r="F77" i="26"/>
  <c r="E77" i="26"/>
  <c r="O76" i="26"/>
  <c r="N76" i="26"/>
  <c r="K76" i="26"/>
  <c r="L76" i="26" s="1"/>
  <c r="H76" i="26"/>
  <c r="I76" i="26" s="1"/>
  <c r="F76" i="26"/>
  <c r="E76" i="26"/>
  <c r="N75" i="26"/>
  <c r="O75" i="26" s="1"/>
  <c r="L75" i="26"/>
  <c r="K75" i="26"/>
  <c r="H75" i="26"/>
  <c r="I75" i="26" s="1"/>
  <c r="F75" i="26"/>
  <c r="E75" i="26"/>
  <c r="N74" i="26"/>
  <c r="O74" i="26" s="1"/>
  <c r="K74" i="26"/>
  <c r="L74" i="26" s="1"/>
  <c r="H74" i="26"/>
  <c r="I74" i="26" s="1"/>
  <c r="F74" i="26"/>
  <c r="E74" i="26"/>
  <c r="O73" i="26"/>
  <c r="N73" i="26"/>
  <c r="K73" i="26"/>
  <c r="L73" i="26" s="1"/>
  <c r="L32" i="26" s="1"/>
  <c r="H73" i="26"/>
  <c r="I73" i="26" s="1"/>
  <c r="I32" i="26" s="1"/>
  <c r="F73" i="26"/>
  <c r="F32" i="26" s="1"/>
  <c r="E73" i="26"/>
  <c r="N72" i="26"/>
  <c r="O72" i="26" s="1"/>
  <c r="O26" i="26" s="1"/>
  <c r="L72" i="26"/>
  <c r="K72" i="26"/>
  <c r="H72" i="26"/>
  <c r="I72" i="26" s="1"/>
  <c r="I26" i="26" s="1"/>
  <c r="F72" i="26"/>
  <c r="E72" i="26"/>
  <c r="N71" i="26"/>
  <c r="K71" i="26"/>
  <c r="L71" i="26" s="1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N63" i="26"/>
  <c r="O63" i="26" s="1"/>
  <c r="K63" i="26"/>
  <c r="L63" i="26" s="1"/>
  <c r="H63" i="26"/>
  <c r="I63" i="26" s="1"/>
  <c r="E63" i="26"/>
  <c r="F63" i="26" s="1"/>
  <c r="O62" i="26"/>
  <c r="N62" i="26"/>
  <c r="K62" i="26"/>
  <c r="L62" i="26" s="1"/>
  <c r="H62" i="26"/>
  <c r="I62" i="26" s="1"/>
  <c r="E62" i="26"/>
  <c r="F62" i="26" s="1"/>
  <c r="N61" i="26"/>
  <c r="O61" i="26" s="1"/>
  <c r="K61" i="26"/>
  <c r="L61" i="26" s="1"/>
  <c r="I61" i="26"/>
  <c r="H61" i="26"/>
  <c r="E61" i="26"/>
  <c r="F61" i="26" s="1"/>
  <c r="N60" i="26"/>
  <c r="O60" i="26" s="1"/>
  <c r="O17" i="26" s="1"/>
  <c r="K60" i="26"/>
  <c r="L60" i="26" s="1"/>
  <c r="L17" i="26" s="1"/>
  <c r="H60" i="26"/>
  <c r="I60" i="26" s="1"/>
  <c r="I17" i="26" s="1"/>
  <c r="E60" i="26"/>
  <c r="F60" i="26" s="1"/>
  <c r="F17" i="26" s="1"/>
  <c r="O59" i="26"/>
  <c r="N59" i="26"/>
  <c r="K59" i="26"/>
  <c r="L59" i="26" s="1"/>
  <c r="H59" i="26"/>
  <c r="I59" i="26" s="1"/>
  <c r="E59" i="26"/>
  <c r="F59" i="26" s="1"/>
  <c r="N58" i="26"/>
  <c r="O58" i="26" s="1"/>
  <c r="O22" i="26" s="1"/>
  <c r="K58" i="26"/>
  <c r="L58" i="26" s="1"/>
  <c r="L22" i="26" s="1"/>
  <c r="I58" i="26"/>
  <c r="H58" i="26"/>
  <c r="E58" i="26"/>
  <c r="F58" i="26" s="1"/>
  <c r="F22" i="26" s="1"/>
  <c r="N57" i="26"/>
  <c r="O57" i="26" s="1"/>
  <c r="K57" i="26"/>
  <c r="L57" i="26" s="1"/>
  <c r="I57" i="26"/>
  <c r="H57" i="26"/>
  <c r="E57" i="26"/>
  <c r="F57" i="26" s="1"/>
  <c r="N56" i="26"/>
  <c r="O56" i="26" s="1"/>
  <c r="K56" i="26"/>
  <c r="L56" i="26" s="1"/>
  <c r="H56" i="26"/>
  <c r="I56" i="26" s="1"/>
  <c r="E56" i="26"/>
  <c r="F56" i="26" s="1"/>
  <c r="O55" i="26"/>
  <c r="N55" i="26"/>
  <c r="K55" i="26"/>
  <c r="L55" i="26" s="1"/>
  <c r="H55" i="26"/>
  <c r="I55" i="26" s="1"/>
  <c r="E55" i="26"/>
  <c r="F55" i="26" s="1"/>
  <c r="N54" i="26"/>
  <c r="O54" i="26" s="1"/>
  <c r="K54" i="26"/>
  <c r="L54" i="26" s="1"/>
  <c r="I54" i="26"/>
  <c r="H54" i="26"/>
  <c r="E54" i="26"/>
  <c r="F54" i="26" s="1"/>
  <c r="N53" i="26"/>
  <c r="O53" i="26" s="1"/>
  <c r="K53" i="26"/>
  <c r="L53" i="26" s="1"/>
  <c r="I53" i="26"/>
  <c r="H53" i="26"/>
  <c r="E53" i="26"/>
  <c r="F53" i="26" s="1"/>
  <c r="N52" i="26"/>
  <c r="O52" i="26" s="1"/>
  <c r="K52" i="26"/>
  <c r="L52" i="26" s="1"/>
  <c r="H52" i="26"/>
  <c r="I52" i="26" s="1"/>
  <c r="E52" i="26"/>
  <c r="F52" i="26" s="1"/>
  <c r="O51" i="26"/>
  <c r="N51" i="26"/>
  <c r="K51" i="26"/>
  <c r="L51" i="26" s="1"/>
  <c r="H51" i="26"/>
  <c r="I51" i="26" s="1"/>
  <c r="E51" i="26"/>
  <c r="F51" i="26" s="1"/>
  <c r="N50" i="26"/>
  <c r="O50" i="26" s="1"/>
  <c r="K50" i="26"/>
  <c r="L50" i="26" s="1"/>
  <c r="I50" i="26"/>
  <c r="H50" i="26"/>
  <c r="E50" i="26"/>
  <c r="F50" i="26" s="1"/>
  <c r="N49" i="26"/>
  <c r="O49" i="26" s="1"/>
  <c r="K49" i="26"/>
  <c r="L49" i="26" s="1"/>
  <c r="I49" i="26"/>
  <c r="H49" i="26"/>
  <c r="E49" i="26"/>
  <c r="F49" i="26" s="1"/>
  <c r="N48" i="26"/>
  <c r="O48" i="26" s="1"/>
  <c r="K48" i="26"/>
  <c r="L48" i="26" s="1"/>
  <c r="H48" i="26"/>
  <c r="I48" i="26" s="1"/>
  <c r="E48" i="26"/>
  <c r="F48" i="26" s="1"/>
  <c r="O47" i="26"/>
  <c r="N47" i="26"/>
  <c r="K47" i="26"/>
  <c r="L47" i="26" s="1"/>
  <c r="H47" i="26"/>
  <c r="I47" i="26" s="1"/>
  <c r="E47" i="26"/>
  <c r="F47" i="26" s="1"/>
  <c r="N46" i="26"/>
  <c r="O46" i="26" s="1"/>
  <c r="K46" i="26"/>
  <c r="L46" i="26" s="1"/>
  <c r="I46" i="26"/>
  <c r="H46" i="26"/>
  <c r="E46" i="26"/>
  <c r="F46" i="26" s="1"/>
  <c r="N45" i="26"/>
  <c r="O45" i="26" s="1"/>
  <c r="K45" i="26"/>
  <c r="L45" i="26" s="1"/>
  <c r="I45" i="26"/>
  <c r="H45" i="26"/>
  <c r="E45" i="26"/>
  <c r="F45" i="26" s="1"/>
  <c r="N44" i="26"/>
  <c r="N64" i="26" s="1"/>
  <c r="K44" i="26"/>
  <c r="H44" i="26"/>
  <c r="H64" i="26" s="1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K32" i="26"/>
  <c r="J32" i="26"/>
  <c r="H32" i="26"/>
  <c r="G32" i="26"/>
  <c r="E32" i="26"/>
  <c r="D32" i="26"/>
  <c r="C32" i="26"/>
  <c r="B32" i="26"/>
  <c r="M31" i="26"/>
  <c r="J31" i="26"/>
  <c r="H31" i="26"/>
  <c r="G31" i="26"/>
  <c r="E31" i="26"/>
  <c r="D31" i="26"/>
  <c r="C31" i="26"/>
  <c r="B31" i="26"/>
  <c r="O30" i="26"/>
  <c r="N30" i="26"/>
  <c r="M30" i="26"/>
  <c r="K30" i="26"/>
  <c r="J30" i="26"/>
  <c r="H30" i="26"/>
  <c r="G30" i="26"/>
  <c r="E30" i="26"/>
  <c r="D30" i="26"/>
  <c r="C30" i="26"/>
  <c r="B30" i="26"/>
  <c r="N29" i="26"/>
  <c r="M29" i="26"/>
  <c r="K29" i="26"/>
  <c r="J29" i="26"/>
  <c r="H29" i="26"/>
  <c r="G29" i="26"/>
  <c r="E29" i="26"/>
  <c r="D29" i="26"/>
  <c r="C29" i="26"/>
  <c r="B29" i="26"/>
  <c r="M28" i="26"/>
  <c r="J28" i="26"/>
  <c r="H28" i="26"/>
  <c r="G28" i="26"/>
  <c r="E28" i="26"/>
  <c r="D28" i="26"/>
  <c r="C28" i="26"/>
  <c r="B28" i="26"/>
  <c r="N27" i="26"/>
  <c r="M27" i="26"/>
  <c r="J27" i="26"/>
  <c r="H27" i="26"/>
  <c r="G27" i="26"/>
  <c r="F27" i="26"/>
  <c r="E27" i="26"/>
  <c r="D27" i="26"/>
  <c r="C27" i="26"/>
  <c r="B27" i="26"/>
  <c r="N26" i="26"/>
  <c r="M26" i="26"/>
  <c r="L26" i="26"/>
  <c r="K26" i="26"/>
  <c r="J26" i="26"/>
  <c r="H26" i="26"/>
  <c r="G26" i="26"/>
  <c r="F26" i="26"/>
  <c r="E26" i="26"/>
  <c r="D26" i="26"/>
  <c r="C26" i="26"/>
  <c r="B26" i="26"/>
  <c r="N25" i="26"/>
  <c r="M25" i="26"/>
  <c r="K25" i="26"/>
  <c r="J25" i="26"/>
  <c r="H25" i="26"/>
  <c r="G25" i="26"/>
  <c r="F25" i="26"/>
  <c r="E25" i="26"/>
  <c r="D25" i="26"/>
  <c r="C25" i="26"/>
  <c r="B25" i="26"/>
  <c r="O24" i="26"/>
  <c r="N24" i="26"/>
  <c r="M24" i="26"/>
  <c r="J24" i="26"/>
  <c r="H24" i="26"/>
  <c r="G24" i="26"/>
  <c r="F24" i="26"/>
  <c r="E24" i="26"/>
  <c r="D24" i="26"/>
  <c r="C24" i="26"/>
  <c r="B24" i="26"/>
  <c r="N23" i="26"/>
  <c r="M23" i="26"/>
  <c r="K23" i="26"/>
  <c r="J23" i="26"/>
  <c r="H23" i="26"/>
  <c r="G23" i="26"/>
  <c r="F23" i="26"/>
  <c r="E23" i="26"/>
  <c r="D23" i="26"/>
  <c r="C23" i="26"/>
  <c r="B23" i="26"/>
  <c r="N22" i="26"/>
  <c r="M22" i="26"/>
  <c r="K22" i="26"/>
  <c r="J22" i="26"/>
  <c r="I22" i="26"/>
  <c r="H22" i="26"/>
  <c r="G22" i="26"/>
  <c r="E22" i="26"/>
  <c r="D22" i="26"/>
  <c r="C22" i="26"/>
  <c r="B22" i="26"/>
  <c r="M21" i="26"/>
  <c r="K21" i="26"/>
  <c r="J21" i="26"/>
  <c r="H21" i="26"/>
  <c r="G21" i="26"/>
  <c r="F21" i="26"/>
  <c r="E21" i="26"/>
  <c r="D21" i="26"/>
  <c r="C21" i="26"/>
  <c r="B21" i="26"/>
  <c r="O20" i="26"/>
  <c r="N20" i="26"/>
  <c r="M20" i="26"/>
  <c r="K20" i="26"/>
  <c r="J20" i="26"/>
  <c r="H20" i="26"/>
  <c r="G20" i="26"/>
  <c r="F20" i="26"/>
  <c r="E20" i="26"/>
  <c r="D20" i="26"/>
  <c r="C20" i="26"/>
  <c r="B20" i="26"/>
  <c r="N19" i="26"/>
  <c r="M19" i="26"/>
  <c r="K19" i="26"/>
  <c r="J19" i="26"/>
  <c r="H19" i="26"/>
  <c r="G19" i="26"/>
  <c r="E19" i="26"/>
  <c r="D19" i="26"/>
  <c r="C19" i="26"/>
  <c r="B19" i="26"/>
  <c r="O18" i="26"/>
  <c r="N18" i="26"/>
  <c r="M18" i="26"/>
  <c r="K18" i="26"/>
  <c r="J18" i="26"/>
  <c r="H18" i="26"/>
  <c r="G18" i="26"/>
  <c r="F18" i="26"/>
  <c r="E18" i="26"/>
  <c r="D18" i="26"/>
  <c r="C18" i="26"/>
  <c r="B18" i="26"/>
  <c r="N17" i="26"/>
  <c r="M17" i="26"/>
  <c r="K17" i="26"/>
  <c r="J17" i="26"/>
  <c r="G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F198" i="25"/>
  <c r="E198" i="25"/>
  <c r="N197" i="25"/>
  <c r="O197" i="25" s="1"/>
  <c r="L197" i="25"/>
  <c r="K197" i="25"/>
  <c r="I197" i="25"/>
  <c r="H197" i="25"/>
  <c r="F197" i="25"/>
  <c r="E197" i="25"/>
  <c r="N196" i="25"/>
  <c r="O196" i="25" s="1"/>
  <c r="L196" i="25"/>
  <c r="K196" i="25"/>
  <c r="H196" i="25"/>
  <c r="I196" i="25" s="1"/>
  <c r="F196" i="25"/>
  <c r="E196" i="25"/>
  <c r="N195" i="25"/>
  <c r="O195" i="25" s="1"/>
  <c r="L195" i="25"/>
  <c r="K195" i="25"/>
  <c r="H195" i="25"/>
  <c r="I195" i="25" s="1"/>
  <c r="F195" i="25"/>
  <c r="E195" i="25"/>
  <c r="N194" i="25"/>
  <c r="O194" i="25" s="1"/>
  <c r="L194" i="25"/>
  <c r="K194" i="25"/>
  <c r="H194" i="25"/>
  <c r="I194" i="25" s="1"/>
  <c r="F194" i="25"/>
  <c r="E194" i="25"/>
  <c r="N193" i="25"/>
  <c r="O193" i="25" s="1"/>
  <c r="L193" i="25"/>
  <c r="K193" i="25"/>
  <c r="H193" i="25"/>
  <c r="I193" i="25" s="1"/>
  <c r="F193" i="25"/>
  <c r="E193" i="25"/>
  <c r="N192" i="25"/>
  <c r="O192" i="25" s="1"/>
  <c r="L192" i="25"/>
  <c r="K192" i="25"/>
  <c r="H192" i="25"/>
  <c r="I192" i="25" s="1"/>
  <c r="F192" i="25"/>
  <c r="E192" i="25"/>
  <c r="N191" i="25"/>
  <c r="O191" i="25" s="1"/>
  <c r="L191" i="25"/>
  <c r="K191" i="25"/>
  <c r="H191" i="25"/>
  <c r="I191" i="25" s="1"/>
  <c r="F191" i="25"/>
  <c r="E191" i="25"/>
  <c r="N190" i="25"/>
  <c r="O190" i="25" s="1"/>
  <c r="L190" i="25"/>
  <c r="K190" i="25"/>
  <c r="H190" i="25"/>
  <c r="I190" i="25" s="1"/>
  <c r="F190" i="25"/>
  <c r="E190" i="25"/>
  <c r="N189" i="25"/>
  <c r="O189" i="25" s="1"/>
  <c r="L189" i="25"/>
  <c r="K189" i="25"/>
  <c r="I189" i="25"/>
  <c r="H189" i="25"/>
  <c r="F189" i="25"/>
  <c r="E189" i="25"/>
  <c r="N188" i="25"/>
  <c r="O188" i="25" s="1"/>
  <c r="L188" i="25"/>
  <c r="K188" i="25"/>
  <c r="I188" i="25"/>
  <c r="H188" i="25"/>
  <c r="F188" i="25"/>
  <c r="E188" i="25"/>
  <c r="N187" i="25"/>
  <c r="O187" i="25" s="1"/>
  <c r="L187" i="25"/>
  <c r="K187" i="25"/>
  <c r="H187" i="25"/>
  <c r="I187" i="25" s="1"/>
  <c r="F187" i="25"/>
  <c r="E187" i="25"/>
  <c r="N186" i="25"/>
  <c r="O186" i="25" s="1"/>
  <c r="L186" i="25"/>
  <c r="K186" i="25"/>
  <c r="H186" i="25"/>
  <c r="I186" i="25" s="1"/>
  <c r="F186" i="25"/>
  <c r="E186" i="25"/>
  <c r="N185" i="25"/>
  <c r="O185" i="25" s="1"/>
  <c r="L185" i="25"/>
  <c r="K185" i="25"/>
  <c r="H185" i="25"/>
  <c r="I185" i="25" s="1"/>
  <c r="F185" i="25"/>
  <c r="E185" i="25"/>
  <c r="N184" i="25"/>
  <c r="O184" i="25" s="1"/>
  <c r="L184" i="25"/>
  <c r="K184" i="25"/>
  <c r="H184" i="25"/>
  <c r="I184" i="25" s="1"/>
  <c r="F184" i="25"/>
  <c r="E184" i="25"/>
  <c r="N183" i="25"/>
  <c r="O183" i="25" s="1"/>
  <c r="L183" i="25"/>
  <c r="K183" i="25"/>
  <c r="H183" i="25"/>
  <c r="I183" i="25" s="1"/>
  <c r="F183" i="25"/>
  <c r="E183" i="25"/>
  <c r="N182" i="25"/>
  <c r="O182" i="25" s="1"/>
  <c r="L182" i="25"/>
  <c r="K182" i="25"/>
  <c r="H182" i="25"/>
  <c r="I182" i="25" s="1"/>
  <c r="F182" i="25"/>
  <c r="E182" i="25"/>
  <c r="N181" i="25"/>
  <c r="O181" i="25" s="1"/>
  <c r="L181" i="25"/>
  <c r="K181" i="25"/>
  <c r="I181" i="25"/>
  <c r="H181" i="25"/>
  <c r="F181" i="25"/>
  <c r="E181" i="25"/>
  <c r="N180" i="25"/>
  <c r="O180" i="25" s="1"/>
  <c r="L180" i="25"/>
  <c r="K180" i="25"/>
  <c r="I180" i="25"/>
  <c r="H180" i="25"/>
  <c r="F180" i="25"/>
  <c r="E180" i="25"/>
  <c r="N179" i="25"/>
  <c r="N199" i="25" s="1"/>
  <c r="L179" i="25"/>
  <c r="L199" i="25" s="1"/>
  <c r="K179" i="25"/>
  <c r="K199" i="25" s="1"/>
  <c r="H179" i="25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H171" i="25"/>
  <c r="I171" i="25" s="1"/>
  <c r="F171" i="25"/>
  <c r="E171" i="25"/>
  <c r="N170" i="25"/>
  <c r="O170" i="25" s="1"/>
  <c r="O19" i="25" s="1"/>
  <c r="L170" i="25"/>
  <c r="K170" i="25"/>
  <c r="H170" i="25"/>
  <c r="I170" i="25" s="1"/>
  <c r="I19" i="25" s="1"/>
  <c r="F170" i="25"/>
  <c r="E170" i="25"/>
  <c r="N169" i="25"/>
  <c r="O169" i="25" s="1"/>
  <c r="L169" i="25"/>
  <c r="K169" i="25"/>
  <c r="H169" i="25"/>
  <c r="I169" i="25" s="1"/>
  <c r="F169" i="25"/>
  <c r="E169" i="25"/>
  <c r="N168" i="25"/>
  <c r="O168" i="25" s="1"/>
  <c r="L168" i="25"/>
  <c r="K168" i="25"/>
  <c r="H168" i="25"/>
  <c r="I168" i="25" s="1"/>
  <c r="F168" i="25"/>
  <c r="E168" i="25"/>
  <c r="N167" i="25"/>
  <c r="O167" i="25" s="1"/>
  <c r="L167" i="25"/>
  <c r="K167" i="25"/>
  <c r="I167" i="25"/>
  <c r="H167" i="25"/>
  <c r="F167" i="25"/>
  <c r="E167" i="25"/>
  <c r="N166" i="25"/>
  <c r="O166" i="25" s="1"/>
  <c r="L166" i="25"/>
  <c r="K166" i="25"/>
  <c r="H166" i="25"/>
  <c r="I166" i="25" s="1"/>
  <c r="F166" i="25"/>
  <c r="E166" i="25"/>
  <c r="N165" i="25"/>
  <c r="O165" i="25" s="1"/>
  <c r="L165" i="25"/>
  <c r="K165" i="25"/>
  <c r="H165" i="25"/>
  <c r="I165" i="25" s="1"/>
  <c r="F165" i="25"/>
  <c r="E165" i="25"/>
  <c r="N164" i="25"/>
  <c r="O164" i="25" s="1"/>
  <c r="L164" i="25"/>
  <c r="K164" i="25"/>
  <c r="H164" i="25"/>
  <c r="I164" i="25" s="1"/>
  <c r="F164" i="25"/>
  <c r="E164" i="25"/>
  <c r="N163" i="25"/>
  <c r="O163" i="25" s="1"/>
  <c r="L163" i="25"/>
  <c r="K163" i="25"/>
  <c r="I163" i="25"/>
  <c r="H163" i="25"/>
  <c r="F163" i="25"/>
  <c r="E163" i="25"/>
  <c r="N162" i="25"/>
  <c r="O162" i="25" s="1"/>
  <c r="L162" i="25"/>
  <c r="K162" i="25"/>
  <c r="H162" i="25"/>
  <c r="I162" i="25" s="1"/>
  <c r="F162" i="25"/>
  <c r="E162" i="25"/>
  <c r="N161" i="25"/>
  <c r="O161" i="25" s="1"/>
  <c r="L161" i="25"/>
  <c r="K161" i="25"/>
  <c r="H161" i="25"/>
  <c r="I161" i="25" s="1"/>
  <c r="F161" i="25"/>
  <c r="E161" i="25"/>
  <c r="N160" i="25"/>
  <c r="O160" i="25" s="1"/>
  <c r="L160" i="25"/>
  <c r="K160" i="25"/>
  <c r="H160" i="25"/>
  <c r="I160" i="25" s="1"/>
  <c r="F160" i="25"/>
  <c r="E160" i="25"/>
  <c r="N159" i="25"/>
  <c r="O159" i="25" s="1"/>
  <c r="L159" i="25"/>
  <c r="K159" i="25"/>
  <c r="I159" i="25"/>
  <c r="H159" i="25"/>
  <c r="F159" i="25"/>
  <c r="E159" i="25"/>
  <c r="N158" i="25"/>
  <c r="O158" i="25" s="1"/>
  <c r="L158" i="25"/>
  <c r="K158" i="25"/>
  <c r="H158" i="25"/>
  <c r="I158" i="25" s="1"/>
  <c r="F158" i="25"/>
  <c r="E158" i="25"/>
  <c r="N157" i="25"/>
  <c r="O157" i="25" s="1"/>
  <c r="O21" i="25" s="1"/>
  <c r="L157" i="25"/>
  <c r="L21" i="25" s="1"/>
  <c r="K157" i="25"/>
  <c r="H157" i="25"/>
  <c r="I157" i="25" s="1"/>
  <c r="I21" i="25" s="1"/>
  <c r="F157" i="25"/>
  <c r="E157" i="25"/>
  <c r="N156" i="25"/>
  <c r="O156" i="25" s="1"/>
  <c r="L156" i="25"/>
  <c r="K156" i="25"/>
  <c r="H156" i="25"/>
  <c r="I156" i="25" s="1"/>
  <c r="F156" i="25"/>
  <c r="E156" i="25"/>
  <c r="N155" i="25"/>
  <c r="O155" i="25" s="1"/>
  <c r="L155" i="25"/>
  <c r="K155" i="25"/>
  <c r="I155" i="25"/>
  <c r="H155" i="25"/>
  <c r="F155" i="25"/>
  <c r="E155" i="25"/>
  <c r="N154" i="25"/>
  <c r="O154" i="25" s="1"/>
  <c r="L154" i="25"/>
  <c r="K154" i="25"/>
  <c r="H154" i="25"/>
  <c r="I154" i="25" s="1"/>
  <c r="F154" i="25"/>
  <c r="E154" i="25"/>
  <c r="N153" i="25"/>
  <c r="O153" i="25" s="1"/>
  <c r="L153" i="25"/>
  <c r="K153" i="25"/>
  <c r="H153" i="25"/>
  <c r="I153" i="25" s="1"/>
  <c r="F153" i="25"/>
  <c r="E153" i="25"/>
  <c r="N152" i="25"/>
  <c r="N172" i="25" s="1"/>
  <c r="L152" i="25"/>
  <c r="L172" i="25" s="1"/>
  <c r="K152" i="25"/>
  <c r="K172" i="25" s="1"/>
  <c r="H152" i="25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H144" i="25"/>
  <c r="I144" i="25" s="1"/>
  <c r="F144" i="25"/>
  <c r="E144" i="25"/>
  <c r="O143" i="25"/>
  <c r="N143" i="25"/>
  <c r="L143" i="25"/>
  <c r="K143" i="25"/>
  <c r="H143" i="25"/>
  <c r="I143" i="25" s="1"/>
  <c r="F143" i="25"/>
  <c r="E143" i="25"/>
  <c r="O142" i="25"/>
  <c r="N142" i="25"/>
  <c r="L142" i="25"/>
  <c r="K142" i="25"/>
  <c r="H142" i="25"/>
  <c r="I142" i="25" s="1"/>
  <c r="F142" i="25"/>
  <c r="E142" i="25"/>
  <c r="O141" i="25"/>
  <c r="N141" i="25"/>
  <c r="L141" i="25"/>
  <c r="K141" i="25"/>
  <c r="H141" i="25"/>
  <c r="I141" i="25" s="1"/>
  <c r="I22" i="25" s="1"/>
  <c r="F141" i="25"/>
  <c r="F22" i="25" s="1"/>
  <c r="E141" i="25"/>
  <c r="O140" i="25"/>
  <c r="N140" i="25"/>
  <c r="L140" i="25"/>
  <c r="K140" i="25"/>
  <c r="H140" i="25"/>
  <c r="I140" i="25" s="1"/>
  <c r="F140" i="25"/>
  <c r="E140" i="25"/>
  <c r="O139" i="25"/>
  <c r="N139" i="25"/>
  <c r="L139" i="25"/>
  <c r="K139" i="25"/>
  <c r="H139" i="25"/>
  <c r="I139" i="25" s="1"/>
  <c r="F139" i="25"/>
  <c r="E139" i="25"/>
  <c r="O138" i="25"/>
  <c r="N138" i="25"/>
  <c r="L138" i="25"/>
  <c r="K138" i="25"/>
  <c r="H138" i="25"/>
  <c r="I138" i="25" s="1"/>
  <c r="F138" i="25"/>
  <c r="E138" i="25"/>
  <c r="O137" i="25"/>
  <c r="N137" i="25"/>
  <c r="L137" i="25"/>
  <c r="K137" i="25"/>
  <c r="H137" i="25"/>
  <c r="I137" i="25" s="1"/>
  <c r="F137" i="25"/>
  <c r="E137" i="25"/>
  <c r="O136" i="25"/>
  <c r="N136" i="25"/>
  <c r="L136" i="25"/>
  <c r="K136" i="25"/>
  <c r="H136" i="25"/>
  <c r="I136" i="25" s="1"/>
  <c r="F136" i="25"/>
  <c r="E136" i="25"/>
  <c r="O135" i="25"/>
  <c r="N135" i="25"/>
  <c r="L135" i="25"/>
  <c r="K135" i="25"/>
  <c r="H135" i="25"/>
  <c r="I135" i="25" s="1"/>
  <c r="F135" i="25"/>
  <c r="E135" i="25"/>
  <c r="O134" i="25"/>
  <c r="N134" i="25"/>
  <c r="L134" i="25"/>
  <c r="K134" i="25"/>
  <c r="H134" i="25"/>
  <c r="I134" i="25" s="1"/>
  <c r="F134" i="25"/>
  <c r="E134" i="25"/>
  <c r="O133" i="25"/>
  <c r="N133" i="25"/>
  <c r="L133" i="25"/>
  <c r="K133" i="25"/>
  <c r="H133" i="25"/>
  <c r="I133" i="25" s="1"/>
  <c r="F133" i="25"/>
  <c r="E133" i="25"/>
  <c r="O132" i="25"/>
  <c r="N132" i="25"/>
  <c r="L132" i="25"/>
  <c r="K132" i="25"/>
  <c r="H132" i="25"/>
  <c r="I132" i="25" s="1"/>
  <c r="F132" i="25"/>
  <c r="E132" i="25"/>
  <c r="O131" i="25"/>
  <c r="N131" i="25"/>
  <c r="L131" i="25"/>
  <c r="K131" i="25"/>
  <c r="H131" i="25"/>
  <c r="I131" i="25" s="1"/>
  <c r="F131" i="25"/>
  <c r="E131" i="25"/>
  <c r="O130" i="25"/>
  <c r="N130" i="25"/>
  <c r="L130" i="25"/>
  <c r="K130" i="25"/>
  <c r="H130" i="25"/>
  <c r="I130" i="25" s="1"/>
  <c r="F130" i="25"/>
  <c r="E130" i="25"/>
  <c r="O129" i="25"/>
  <c r="N129" i="25"/>
  <c r="L129" i="25"/>
  <c r="K129" i="25"/>
  <c r="H129" i="25"/>
  <c r="I129" i="25" s="1"/>
  <c r="F129" i="25"/>
  <c r="E129" i="25"/>
  <c r="O128" i="25"/>
  <c r="N128" i="25"/>
  <c r="L128" i="25"/>
  <c r="K128" i="25"/>
  <c r="H128" i="25"/>
  <c r="I128" i="25" s="1"/>
  <c r="F128" i="25"/>
  <c r="E128" i="25"/>
  <c r="O127" i="25"/>
  <c r="N127" i="25"/>
  <c r="L127" i="25"/>
  <c r="K127" i="25"/>
  <c r="H127" i="25"/>
  <c r="I127" i="25" s="1"/>
  <c r="F127" i="25"/>
  <c r="E127" i="25"/>
  <c r="O126" i="25"/>
  <c r="N126" i="25"/>
  <c r="L126" i="25"/>
  <c r="K126" i="25"/>
  <c r="H126" i="25"/>
  <c r="I126" i="25" s="1"/>
  <c r="F126" i="25"/>
  <c r="E126" i="25"/>
  <c r="O125" i="25"/>
  <c r="O145" i="25" s="1"/>
  <c r="N125" i="25"/>
  <c r="N145" i="25" s="1"/>
  <c r="L125" i="25"/>
  <c r="K125" i="25"/>
  <c r="K145" i="25" s="1"/>
  <c r="H125" i="25"/>
  <c r="H14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O117" i="25"/>
  <c r="N117" i="25"/>
  <c r="L117" i="25"/>
  <c r="K117" i="25"/>
  <c r="H117" i="25"/>
  <c r="I117" i="25" s="1"/>
  <c r="F117" i="25"/>
  <c r="E117" i="25"/>
  <c r="O116" i="25"/>
  <c r="N116" i="25"/>
  <c r="L116" i="25"/>
  <c r="K116" i="25"/>
  <c r="H116" i="25"/>
  <c r="I116" i="25" s="1"/>
  <c r="F116" i="25"/>
  <c r="E116" i="25"/>
  <c r="O115" i="25"/>
  <c r="N115" i="25"/>
  <c r="L115" i="25"/>
  <c r="K115" i="25"/>
  <c r="H115" i="25"/>
  <c r="I115" i="25" s="1"/>
  <c r="F115" i="25"/>
  <c r="E115" i="25"/>
  <c r="O114" i="25"/>
  <c r="N114" i="25"/>
  <c r="L114" i="25"/>
  <c r="K114" i="25"/>
  <c r="H114" i="25"/>
  <c r="I114" i="25" s="1"/>
  <c r="F114" i="25"/>
  <c r="E114" i="25"/>
  <c r="O113" i="25"/>
  <c r="N113" i="25"/>
  <c r="L113" i="25"/>
  <c r="K113" i="25"/>
  <c r="I113" i="25"/>
  <c r="H113" i="25"/>
  <c r="F113" i="25"/>
  <c r="E113" i="25"/>
  <c r="O112" i="25"/>
  <c r="N112" i="25"/>
  <c r="L112" i="25"/>
  <c r="K112" i="25"/>
  <c r="I112" i="25"/>
  <c r="H112" i="25"/>
  <c r="F112" i="25"/>
  <c r="E112" i="25"/>
  <c r="O111" i="25"/>
  <c r="N111" i="25"/>
  <c r="L111" i="25"/>
  <c r="K111" i="25"/>
  <c r="I111" i="25"/>
  <c r="H111" i="25"/>
  <c r="F111" i="25"/>
  <c r="E111" i="25"/>
  <c r="O110" i="25"/>
  <c r="N110" i="25"/>
  <c r="L110" i="25"/>
  <c r="K110" i="25"/>
  <c r="I110" i="25"/>
  <c r="H110" i="25"/>
  <c r="F110" i="25"/>
  <c r="E110" i="25"/>
  <c r="O109" i="25"/>
  <c r="N109" i="25"/>
  <c r="L109" i="25"/>
  <c r="K109" i="25"/>
  <c r="I109" i="25"/>
  <c r="H109" i="25"/>
  <c r="F109" i="25"/>
  <c r="E109" i="25"/>
  <c r="O108" i="25"/>
  <c r="N108" i="25"/>
  <c r="L108" i="25"/>
  <c r="K108" i="25"/>
  <c r="I108" i="25"/>
  <c r="H108" i="25"/>
  <c r="F108" i="25"/>
  <c r="E108" i="25"/>
  <c r="O107" i="25"/>
  <c r="N107" i="25"/>
  <c r="L107" i="25"/>
  <c r="K107" i="25"/>
  <c r="I107" i="25"/>
  <c r="H107" i="25"/>
  <c r="F107" i="25"/>
  <c r="E107" i="25"/>
  <c r="O106" i="25"/>
  <c r="N106" i="25"/>
  <c r="L106" i="25"/>
  <c r="K106" i="25"/>
  <c r="H106" i="25"/>
  <c r="I106" i="25" s="1"/>
  <c r="F106" i="25"/>
  <c r="E106" i="25"/>
  <c r="O105" i="25"/>
  <c r="N105" i="25"/>
  <c r="L105" i="25"/>
  <c r="K105" i="25"/>
  <c r="H105" i="25"/>
  <c r="I105" i="25" s="1"/>
  <c r="F105" i="25"/>
  <c r="E105" i="25"/>
  <c r="O104" i="25"/>
  <c r="N104" i="25"/>
  <c r="L104" i="25"/>
  <c r="K104" i="25"/>
  <c r="H104" i="25"/>
  <c r="I104" i="25" s="1"/>
  <c r="F104" i="25"/>
  <c r="E104" i="25"/>
  <c r="O103" i="25"/>
  <c r="N103" i="25"/>
  <c r="L103" i="25"/>
  <c r="K103" i="25"/>
  <c r="H103" i="25"/>
  <c r="I103" i="25" s="1"/>
  <c r="F103" i="25"/>
  <c r="E103" i="25"/>
  <c r="O102" i="25"/>
  <c r="N102" i="25"/>
  <c r="L102" i="25"/>
  <c r="K102" i="25"/>
  <c r="I102" i="25"/>
  <c r="H102" i="25"/>
  <c r="F102" i="25"/>
  <c r="E102" i="25"/>
  <c r="O101" i="25"/>
  <c r="N101" i="25"/>
  <c r="L101" i="25"/>
  <c r="K101" i="25"/>
  <c r="I101" i="25"/>
  <c r="H101" i="25"/>
  <c r="F101" i="25"/>
  <c r="E101" i="25"/>
  <c r="O100" i="25"/>
  <c r="N100" i="25"/>
  <c r="L100" i="25"/>
  <c r="K100" i="25"/>
  <c r="H100" i="25"/>
  <c r="I100" i="25" s="1"/>
  <c r="F100" i="25"/>
  <c r="E100" i="25"/>
  <c r="O99" i="25"/>
  <c r="N99" i="25"/>
  <c r="L99" i="25"/>
  <c r="K99" i="25"/>
  <c r="H99" i="25"/>
  <c r="I99" i="25" s="1"/>
  <c r="F99" i="25"/>
  <c r="E99" i="25"/>
  <c r="O98" i="25"/>
  <c r="O118" i="25" s="1"/>
  <c r="N98" i="25"/>
  <c r="N118" i="25" s="1"/>
  <c r="L98" i="25"/>
  <c r="L118" i="25" s="1"/>
  <c r="K98" i="25"/>
  <c r="K118" i="25" s="1"/>
  <c r="H98" i="25"/>
  <c r="F98" i="25"/>
  <c r="F118" i="25" s="1"/>
  <c r="E98" i="25"/>
  <c r="E118" i="25" s="1"/>
  <c r="M96" i="25"/>
  <c r="J96" i="25"/>
  <c r="G96" i="25"/>
  <c r="D96" i="25"/>
  <c r="B96" i="25"/>
  <c r="M95" i="25"/>
  <c r="G95" i="25"/>
  <c r="B91" i="25"/>
  <c r="N90" i="25"/>
  <c r="O90" i="25" s="1"/>
  <c r="L90" i="25"/>
  <c r="K90" i="25"/>
  <c r="I90" i="25"/>
  <c r="H90" i="25"/>
  <c r="F90" i="25"/>
  <c r="E90" i="25"/>
  <c r="N89" i="25"/>
  <c r="O89" i="25" s="1"/>
  <c r="L89" i="25"/>
  <c r="K89" i="25"/>
  <c r="H89" i="25"/>
  <c r="I89" i="25" s="1"/>
  <c r="F89" i="25"/>
  <c r="E89" i="25"/>
  <c r="N88" i="25"/>
  <c r="O88" i="25" s="1"/>
  <c r="L88" i="25"/>
  <c r="K88" i="25"/>
  <c r="H88" i="25"/>
  <c r="I88" i="25" s="1"/>
  <c r="F88" i="25"/>
  <c r="E88" i="25"/>
  <c r="N87" i="25"/>
  <c r="O87" i="25" s="1"/>
  <c r="L87" i="25"/>
  <c r="K87" i="25"/>
  <c r="H87" i="25"/>
  <c r="I87" i="25" s="1"/>
  <c r="F87" i="25"/>
  <c r="E87" i="25"/>
  <c r="N86" i="25"/>
  <c r="O86" i="25" s="1"/>
  <c r="L86" i="25"/>
  <c r="K86" i="25"/>
  <c r="I86" i="25"/>
  <c r="H86" i="25"/>
  <c r="F86" i="25"/>
  <c r="E86" i="25"/>
  <c r="N85" i="25"/>
  <c r="O85" i="25" s="1"/>
  <c r="O20" i="25" s="1"/>
  <c r="L85" i="25"/>
  <c r="K85" i="25"/>
  <c r="H85" i="25"/>
  <c r="I85" i="25" s="1"/>
  <c r="I20" i="25" s="1"/>
  <c r="F85" i="25"/>
  <c r="F20" i="25" s="1"/>
  <c r="E85" i="25"/>
  <c r="N84" i="25"/>
  <c r="O84" i="25" s="1"/>
  <c r="L84" i="25"/>
  <c r="K84" i="25"/>
  <c r="H84" i="25"/>
  <c r="I84" i="25" s="1"/>
  <c r="F84" i="25"/>
  <c r="E84" i="25"/>
  <c r="N83" i="25"/>
  <c r="O83" i="25" s="1"/>
  <c r="O18" i="25" s="1"/>
  <c r="L83" i="25"/>
  <c r="K83" i="25"/>
  <c r="H83" i="25"/>
  <c r="I83" i="25" s="1"/>
  <c r="I18" i="25" s="1"/>
  <c r="F83" i="25"/>
  <c r="E83" i="25"/>
  <c r="N82" i="25"/>
  <c r="O82" i="25" s="1"/>
  <c r="L82" i="25"/>
  <c r="K82" i="25"/>
  <c r="I82" i="25"/>
  <c r="H82" i="25"/>
  <c r="F82" i="25"/>
  <c r="E82" i="25"/>
  <c r="N81" i="25"/>
  <c r="O81" i="25" s="1"/>
  <c r="L81" i="25"/>
  <c r="K81" i="25"/>
  <c r="H81" i="25"/>
  <c r="I81" i="25" s="1"/>
  <c r="F81" i="25"/>
  <c r="E81" i="25"/>
  <c r="N80" i="25"/>
  <c r="O80" i="25" s="1"/>
  <c r="L80" i="25"/>
  <c r="K80" i="25"/>
  <c r="H80" i="25"/>
  <c r="I80" i="25" s="1"/>
  <c r="F80" i="25"/>
  <c r="E80" i="25"/>
  <c r="N79" i="25"/>
  <c r="O79" i="25" s="1"/>
  <c r="L79" i="25"/>
  <c r="K79" i="25"/>
  <c r="H79" i="25"/>
  <c r="I79" i="25" s="1"/>
  <c r="F79" i="25"/>
  <c r="E79" i="25"/>
  <c r="N78" i="25"/>
  <c r="O78" i="25" s="1"/>
  <c r="L78" i="25"/>
  <c r="K78" i="25"/>
  <c r="I78" i="25"/>
  <c r="H78" i="25"/>
  <c r="F78" i="25"/>
  <c r="E78" i="25"/>
  <c r="N77" i="25"/>
  <c r="O77" i="25" s="1"/>
  <c r="L77" i="25"/>
  <c r="K77" i="25"/>
  <c r="H77" i="25"/>
  <c r="I77" i="25" s="1"/>
  <c r="F77" i="25"/>
  <c r="E77" i="25"/>
  <c r="N76" i="25"/>
  <c r="O76" i="25" s="1"/>
  <c r="L76" i="25"/>
  <c r="K76" i="25"/>
  <c r="H76" i="25"/>
  <c r="I76" i="25" s="1"/>
  <c r="F76" i="25"/>
  <c r="E76" i="25"/>
  <c r="N75" i="25"/>
  <c r="O75" i="25" s="1"/>
  <c r="L75" i="25"/>
  <c r="K75" i="25"/>
  <c r="H75" i="25"/>
  <c r="I75" i="25" s="1"/>
  <c r="F75" i="25"/>
  <c r="E75" i="25"/>
  <c r="N74" i="25"/>
  <c r="O74" i="25" s="1"/>
  <c r="L74" i="25"/>
  <c r="K74" i="25"/>
  <c r="I74" i="25"/>
  <c r="H74" i="25"/>
  <c r="F74" i="25"/>
  <c r="E74" i="25"/>
  <c r="N73" i="25"/>
  <c r="O73" i="25" s="1"/>
  <c r="L73" i="25"/>
  <c r="K73" i="25"/>
  <c r="H73" i="25"/>
  <c r="I73" i="25" s="1"/>
  <c r="F73" i="25"/>
  <c r="E73" i="25"/>
  <c r="N72" i="25"/>
  <c r="O72" i="25" s="1"/>
  <c r="L72" i="25"/>
  <c r="K72" i="25"/>
  <c r="H72" i="25"/>
  <c r="I72" i="25" s="1"/>
  <c r="F72" i="25"/>
  <c r="E72" i="25"/>
  <c r="N71" i="25"/>
  <c r="N91" i="25" s="1"/>
  <c r="L71" i="25"/>
  <c r="L91" i="25" s="1"/>
  <c r="K71" i="25"/>
  <c r="K91" i="25" s="1"/>
  <c r="H71" i="25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N63" i="25"/>
  <c r="O63" i="25" s="1"/>
  <c r="L63" i="25"/>
  <c r="K63" i="25"/>
  <c r="I63" i="25"/>
  <c r="H63" i="25"/>
  <c r="F63" i="25"/>
  <c r="E63" i="25"/>
  <c r="N62" i="25"/>
  <c r="O62" i="25" s="1"/>
  <c r="L62" i="25"/>
  <c r="K62" i="25"/>
  <c r="H62" i="25"/>
  <c r="I62" i="25" s="1"/>
  <c r="F62" i="25"/>
  <c r="E62" i="25"/>
  <c r="N61" i="25"/>
  <c r="O61" i="25" s="1"/>
  <c r="L61" i="25"/>
  <c r="K61" i="25"/>
  <c r="I61" i="25"/>
  <c r="H61" i="25"/>
  <c r="F61" i="25"/>
  <c r="E61" i="25"/>
  <c r="N60" i="25"/>
  <c r="O60" i="25" s="1"/>
  <c r="L60" i="25"/>
  <c r="K60" i="25"/>
  <c r="H60" i="25"/>
  <c r="I60" i="25" s="1"/>
  <c r="F60" i="25"/>
  <c r="E60" i="25"/>
  <c r="N59" i="25"/>
  <c r="O59" i="25" s="1"/>
  <c r="L59" i="25"/>
  <c r="K59" i="25"/>
  <c r="I59" i="25"/>
  <c r="H59" i="25"/>
  <c r="F59" i="25"/>
  <c r="E59" i="25"/>
  <c r="N58" i="25"/>
  <c r="O58" i="25" s="1"/>
  <c r="L58" i="25"/>
  <c r="K58" i="25"/>
  <c r="H58" i="25"/>
  <c r="I58" i="25" s="1"/>
  <c r="F58" i="25"/>
  <c r="E58" i="25"/>
  <c r="N57" i="25"/>
  <c r="O57" i="25" s="1"/>
  <c r="L57" i="25"/>
  <c r="K57" i="25"/>
  <c r="H57" i="25"/>
  <c r="I57" i="25" s="1"/>
  <c r="F57" i="25"/>
  <c r="E57" i="25"/>
  <c r="N56" i="25"/>
  <c r="O56" i="25" s="1"/>
  <c r="L56" i="25"/>
  <c r="K56" i="25"/>
  <c r="H56" i="25"/>
  <c r="I56" i="25" s="1"/>
  <c r="F56" i="25"/>
  <c r="E56" i="25"/>
  <c r="N55" i="25"/>
  <c r="O55" i="25" s="1"/>
  <c r="O17" i="25" s="1"/>
  <c r="L55" i="25"/>
  <c r="K55" i="25"/>
  <c r="I55" i="25"/>
  <c r="H55" i="25"/>
  <c r="F55" i="25"/>
  <c r="E55" i="25"/>
  <c r="N54" i="25"/>
  <c r="O54" i="25" s="1"/>
  <c r="L54" i="25"/>
  <c r="K54" i="25"/>
  <c r="H54" i="25"/>
  <c r="I54" i="25" s="1"/>
  <c r="F54" i="25"/>
  <c r="E54" i="25"/>
  <c r="N53" i="25"/>
  <c r="O53" i="25" s="1"/>
  <c r="L53" i="25"/>
  <c r="K53" i="25"/>
  <c r="H53" i="25"/>
  <c r="I53" i="25" s="1"/>
  <c r="F53" i="25"/>
  <c r="E53" i="25"/>
  <c r="N52" i="25"/>
  <c r="O52" i="25" s="1"/>
  <c r="L52" i="25"/>
  <c r="K52" i="25"/>
  <c r="I52" i="25"/>
  <c r="H52" i="25"/>
  <c r="F52" i="25"/>
  <c r="E52" i="25"/>
  <c r="N51" i="25"/>
  <c r="O51" i="25" s="1"/>
  <c r="L51" i="25"/>
  <c r="K51" i="25"/>
  <c r="I51" i="25"/>
  <c r="H51" i="25"/>
  <c r="F51" i="25"/>
  <c r="E51" i="25"/>
  <c r="N50" i="25"/>
  <c r="O50" i="25" s="1"/>
  <c r="L50" i="25"/>
  <c r="K50" i="25"/>
  <c r="H50" i="25"/>
  <c r="I50" i="25" s="1"/>
  <c r="F50" i="25"/>
  <c r="E50" i="25"/>
  <c r="N49" i="25"/>
  <c r="O49" i="25" s="1"/>
  <c r="L49" i="25"/>
  <c r="K49" i="25"/>
  <c r="H49" i="25"/>
  <c r="I49" i="25" s="1"/>
  <c r="F49" i="25"/>
  <c r="E49" i="25"/>
  <c r="N48" i="25"/>
  <c r="O48" i="25" s="1"/>
  <c r="L48" i="25"/>
  <c r="K48" i="25"/>
  <c r="I48" i="25"/>
  <c r="H48" i="25"/>
  <c r="F48" i="25"/>
  <c r="E48" i="25"/>
  <c r="N47" i="25"/>
  <c r="O47" i="25" s="1"/>
  <c r="L47" i="25"/>
  <c r="K47" i="25"/>
  <c r="I47" i="25"/>
  <c r="H47" i="25"/>
  <c r="F47" i="25"/>
  <c r="E47" i="25"/>
  <c r="N46" i="25"/>
  <c r="O46" i="25" s="1"/>
  <c r="L46" i="25"/>
  <c r="K46" i="25"/>
  <c r="H46" i="25"/>
  <c r="I46" i="25" s="1"/>
  <c r="F46" i="25"/>
  <c r="E46" i="25"/>
  <c r="N45" i="25"/>
  <c r="O45" i="25" s="1"/>
  <c r="L45" i="25"/>
  <c r="K45" i="25"/>
  <c r="H45" i="25"/>
  <c r="I45" i="25" s="1"/>
  <c r="F45" i="25"/>
  <c r="E45" i="25"/>
  <c r="N44" i="25"/>
  <c r="N64" i="25" s="1"/>
  <c r="L44" i="25"/>
  <c r="L64" i="25" s="1"/>
  <c r="K44" i="25"/>
  <c r="K64" i="25" s="1"/>
  <c r="I44" i="25"/>
  <c r="H44" i="25"/>
  <c r="F44" i="25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H22" i="25"/>
  <c r="G22" i="25"/>
  <c r="E22" i="25"/>
  <c r="D22" i="25"/>
  <c r="C22" i="25"/>
  <c r="B22" i="25"/>
  <c r="N21" i="25"/>
  <c r="M21" i="25"/>
  <c r="K21" i="25"/>
  <c r="J21" i="25"/>
  <c r="H21" i="25"/>
  <c r="G21" i="25"/>
  <c r="F21" i="25"/>
  <c r="E21" i="25"/>
  <c r="D21" i="25"/>
  <c r="C21" i="25"/>
  <c r="B21" i="25"/>
  <c r="N20" i="25"/>
  <c r="M20" i="25"/>
  <c r="L20" i="25"/>
  <c r="K20" i="25"/>
  <c r="J20" i="25"/>
  <c r="H20" i="25"/>
  <c r="G20" i="25"/>
  <c r="E20" i="25"/>
  <c r="D20" i="25"/>
  <c r="C20" i="25"/>
  <c r="B20" i="25"/>
  <c r="N19" i="25"/>
  <c r="M19" i="25"/>
  <c r="L19" i="25"/>
  <c r="K19" i="25"/>
  <c r="J19" i="25"/>
  <c r="H19" i="25"/>
  <c r="G19" i="25"/>
  <c r="F19" i="25"/>
  <c r="E19" i="25"/>
  <c r="D19" i="25"/>
  <c r="C19" i="25"/>
  <c r="B19" i="25"/>
  <c r="N18" i="25"/>
  <c r="M18" i="25"/>
  <c r="L18" i="25"/>
  <c r="K18" i="25"/>
  <c r="J18" i="25"/>
  <c r="H18" i="25"/>
  <c r="G18" i="25"/>
  <c r="F18" i="25"/>
  <c r="E18" i="25"/>
  <c r="D18" i="25"/>
  <c r="C18" i="25"/>
  <c r="B18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F198" i="24" s="1"/>
  <c r="N198" i="24"/>
  <c r="O198" i="24" s="1"/>
  <c r="K198" i="24"/>
  <c r="H198" i="24"/>
  <c r="I198" i="24" s="1"/>
  <c r="E198" i="24"/>
  <c r="N197" i="24"/>
  <c r="O197" i="24" s="1"/>
  <c r="K197" i="24"/>
  <c r="H197" i="24"/>
  <c r="F197" i="24"/>
  <c r="E197" i="24"/>
  <c r="O196" i="24"/>
  <c r="N196" i="24"/>
  <c r="K196" i="24"/>
  <c r="L196" i="24" s="1"/>
  <c r="H196" i="24"/>
  <c r="I196" i="24" s="1"/>
  <c r="E196" i="24"/>
  <c r="N195" i="24"/>
  <c r="O195" i="24" s="1"/>
  <c r="K195" i="24"/>
  <c r="H195" i="24"/>
  <c r="F195" i="24"/>
  <c r="E195" i="24"/>
  <c r="N194" i="24"/>
  <c r="O194" i="24" s="1"/>
  <c r="L194" i="24"/>
  <c r="K194" i="24"/>
  <c r="H194" i="24"/>
  <c r="E194" i="24"/>
  <c r="N193" i="24"/>
  <c r="O193" i="24" s="1"/>
  <c r="K193" i="24"/>
  <c r="H193" i="24"/>
  <c r="I193" i="24" s="1"/>
  <c r="F193" i="24"/>
  <c r="E193" i="24"/>
  <c r="N192" i="24"/>
  <c r="O192" i="24" s="1"/>
  <c r="K192" i="24"/>
  <c r="L192" i="24" s="1"/>
  <c r="H192" i="24"/>
  <c r="E192" i="24"/>
  <c r="O191" i="24"/>
  <c r="N191" i="24"/>
  <c r="K191" i="24"/>
  <c r="H191" i="24"/>
  <c r="I191" i="24" s="1"/>
  <c r="F191" i="24"/>
  <c r="E191" i="24"/>
  <c r="N190" i="24"/>
  <c r="O190" i="24" s="1"/>
  <c r="L190" i="24"/>
  <c r="K190" i="24"/>
  <c r="H190" i="24"/>
  <c r="F190" i="24"/>
  <c r="E190" i="24"/>
  <c r="N189" i="24"/>
  <c r="O189" i="24" s="1"/>
  <c r="K189" i="24"/>
  <c r="L189" i="24" s="1"/>
  <c r="H189" i="24"/>
  <c r="I189" i="24" s="1"/>
  <c r="E189" i="24"/>
  <c r="N188" i="24"/>
  <c r="O188" i="24" s="1"/>
  <c r="K188" i="24"/>
  <c r="H188" i="24"/>
  <c r="F188" i="24"/>
  <c r="E188" i="24"/>
  <c r="O187" i="24"/>
  <c r="N187" i="24"/>
  <c r="K187" i="24"/>
  <c r="L187" i="24" s="1"/>
  <c r="H187" i="24"/>
  <c r="I187" i="24" s="1"/>
  <c r="E187" i="24"/>
  <c r="N186" i="24"/>
  <c r="O186" i="24" s="1"/>
  <c r="K186" i="24"/>
  <c r="H186" i="24"/>
  <c r="I186" i="24" s="1"/>
  <c r="F186" i="24"/>
  <c r="E186" i="24"/>
  <c r="N185" i="24"/>
  <c r="O185" i="24" s="1"/>
  <c r="K185" i="24"/>
  <c r="L185" i="24" s="1"/>
  <c r="H185" i="24"/>
  <c r="E185" i="24"/>
  <c r="O184" i="24"/>
  <c r="N184" i="24"/>
  <c r="K184" i="24"/>
  <c r="H184" i="24"/>
  <c r="I184" i="24" s="1"/>
  <c r="F184" i="24"/>
  <c r="E184" i="24"/>
  <c r="N183" i="24"/>
  <c r="O183" i="24" s="1"/>
  <c r="K183" i="24"/>
  <c r="L183" i="24" s="1"/>
  <c r="H183" i="24"/>
  <c r="E183" i="24"/>
  <c r="N182" i="24"/>
  <c r="O182" i="24" s="1"/>
  <c r="K182" i="24"/>
  <c r="H182" i="24"/>
  <c r="I182" i="24" s="1"/>
  <c r="E182" i="24"/>
  <c r="O181" i="24"/>
  <c r="N181" i="24"/>
  <c r="K181" i="24"/>
  <c r="H181" i="24"/>
  <c r="F181" i="24"/>
  <c r="E181" i="24"/>
  <c r="N180" i="24"/>
  <c r="O180" i="24" s="1"/>
  <c r="K180" i="24"/>
  <c r="L180" i="24" s="1"/>
  <c r="H180" i="24"/>
  <c r="I180" i="24" s="1"/>
  <c r="E180" i="24"/>
  <c r="N179" i="24"/>
  <c r="N199" i="24" s="1"/>
  <c r="K179" i="24"/>
  <c r="H179" i="24"/>
  <c r="H199" i="24" s="1"/>
  <c r="F179" i="24"/>
  <c r="E179" i="24"/>
  <c r="E199" i="24" s="1"/>
  <c r="M177" i="24"/>
  <c r="J177" i="24"/>
  <c r="G177" i="24"/>
  <c r="D177" i="24"/>
  <c r="B177" i="24"/>
  <c r="M176" i="24"/>
  <c r="G176" i="24"/>
  <c r="B172" i="24"/>
  <c r="F166" i="24" s="1"/>
  <c r="N171" i="24"/>
  <c r="O171" i="24" s="1"/>
  <c r="O19" i="24" s="1"/>
  <c r="L171" i="24"/>
  <c r="K171" i="24"/>
  <c r="H171" i="24"/>
  <c r="E171" i="24"/>
  <c r="N170" i="24"/>
  <c r="O170" i="24" s="1"/>
  <c r="K170" i="24"/>
  <c r="H170" i="24"/>
  <c r="I170" i="24" s="1"/>
  <c r="F170" i="24"/>
  <c r="E170" i="24"/>
  <c r="N169" i="24"/>
  <c r="O169" i="24" s="1"/>
  <c r="K169" i="24"/>
  <c r="L169" i="24" s="1"/>
  <c r="H169" i="24"/>
  <c r="E169" i="24"/>
  <c r="N168" i="24"/>
  <c r="O168" i="24" s="1"/>
  <c r="K168" i="24"/>
  <c r="H168" i="24"/>
  <c r="I168" i="24" s="1"/>
  <c r="F168" i="24"/>
  <c r="E168" i="24"/>
  <c r="O167" i="24"/>
  <c r="N167" i="24"/>
  <c r="L167" i="24"/>
  <c r="K167" i="24"/>
  <c r="H167" i="24"/>
  <c r="F167" i="24"/>
  <c r="E167" i="24"/>
  <c r="N166" i="24"/>
  <c r="O166" i="24" s="1"/>
  <c r="K166" i="24"/>
  <c r="L166" i="24" s="1"/>
  <c r="H166" i="24"/>
  <c r="I166" i="24" s="1"/>
  <c r="E166" i="24"/>
  <c r="O165" i="24"/>
  <c r="N165" i="24"/>
  <c r="K165" i="24"/>
  <c r="H165" i="24"/>
  <c r="F165" i="24"/>
  <c r="E165" i="24"/>
  <c r="N164" i="24"/>
  <c r="O164" i="24" s="1"/>
  <c r="O21" i="24" s="1"/>
  <c r="K164" i="24"/>
  <c r="L164" i="24" s="1"/>
  <c r="L21" i="24" s="1"/>
  <c r="H164" i="24"/>
  <c r="I164" i="24" s="1"/>
  <c r="I21" i="24" s="1"/>
  <c r="E164" i="24"/>
  <c r="N163" i="24"/>
  <c r="O163" i="24" s="1"/>
  <c r="K163" i="24"/>
  <c r="H163" i="24"/>
  <c r="I163" i="24" s="1"/>
  <c r="F163" i="24"/>
  <c r="E163" i="24"/>
  <c r="O162" i="24"/>
  <c r="N162" i="24"/>
  <c r="K162" i="24"/>
  <c r="L162" i="24" s="1"/>
  <c r="H162" i="24"/>
  <c r="E162" i="24"/>
  <c r="N161" i="24"/>
  <c r="O161" i="24" s="1"/>
  <c r="K161" i="24"/>
  <c r="H161" i="24"/>
  <c r="I161" i="24" s="1"/>
  <c r="F161" i="24"/>
  <c r="E161" i="24"/>
  <c r="O160" i="24"/>
  <c r="N160" i="24"/>
  <c r="K160" i="24"/>
  <c r="L160" i="24" s="1"/>
  <c r="H160" i="24"/>
  <c r="E160" i="24"/>
  <c r="O159" i="24"/>
  <c r="N159" i="24"/>
  <c r="K159" i="24"/>
  <c r="H159" i="24"/>
  <c r="I159" i="24" s="1"/>
  <c r="E159" i="24"/>
  <c r="N158" i="24"/>
  <c r="O158" i="24" s="1"/>
  <c r="K158" i="24"/>
  <c r="H158" i="24"/>
  <c r="F158" i="24"/>
  <c r="E158" i="24"/>
  <c r="O157" i="24"/>
  <c r="N157" i="24"/>
  <c r="K157" i="24"/>
  <c r="L157" i="24" s="1"/>
  <c r="H157" i="24"/>
  <c r="I157" i="24" s="1"/>
  <c r="E157" i="24"/>
  <c r="O156" i="24"/>
  <c r="N156" i="24"/>
  <c r="K156" i="24"/>
  <c r="H156" i="24"/>
  <c r="F156" i="24"/>
  <c r="E156" i="24"/>
  <c r="N155" i="24"/>
  <c r="O155" i="24" s="1"/>
  <c r="L155" i="24"/>
  <c r="K155" i="24"/>
  <c r="H155" i="24"/>
  <c r="E155" i="24"/>
  <c r="O154" i="24"/>
  <c r="N154" i="24"/>
  <c r="K154" i="24"/>
  <c r="H154" i="24"/>
  <c r="I154" i="24" s="1"/>
  <c r="F154" i="24"/>
  <c r="E154" i="24"/>
  <c r="N153" i="24"/>
  <c r="O153" i="24" s="1"/>
  <c r="K153" i="24"/>
  <c r="L153" i="24" s="1"/>
  <c r="H153" i="24"/>
  <c r="E153" i="24"/>
  <c r="O152" i="24"/>
  <c r="N152" i="24"/>
  <c r="K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N144" i="24"/>
  <c r="O144" i="24" s="1"/>
  <c r="L144" i="24"/>
  <c r="K144" i="24"/>
  <c r="H144" i="24"/>
  <c r="I144" i="24" s="1"/>
  <c r="F144" i="24"/>
  <c r="E144" i="24"/>
  <c r="O143" i="24"/>
  <c r="N143" i="24"/>
  <c r="K143" i="24"/>
  <c r="L143" i="24" s="1"/>
  <c r="H143" i="24"/>
  <c r="I143" i="24" s="1"/>
  <c r="F143" i="24"/>
  <c r="E143" i="24"/>
  <c r="N142" i="24"/>
  <c r="O142" i="24" s="1"/>
  <c r="K142" i="24"/>
  <c r="L142" i="24" s="1"/>
  <c r="H142" i="24"/>
  <c r="I142" i="24" s="1"/>
  <c r="F142" i="24"/>
  <c r="E142" i="24"/>
  <c r="O141" i="24"/>
  <c r="N141" i="24"/>
  <c r="K141" i="24"/>
  <c r="L141" i="24" s="1"/>
  <c r="H141" i="24"/>
  <c r="I141" i="24" s="1"/>
  <c r="F141" i="24"/>
  <c r="E141" i="24"/>
  <c r="N140" i="24"/>
  <c r="O140" i="24" s="1"/>
  <c r="L140" i="24"/>
  <c r="K140" i="24"/>
  <c r="H140" i="24"/>
  <c r="I140" i="24" s="1"/>
  <c r="F140" i="24"/>
  <c r="E140" i="24"/>
  <c r="N139" i="24"/>
  <c r="O139" i="24" s="1"/>
  <c r="K139" i="24"/>
  <c r="L139" i="24" s="1"/>
  <c r="H139" i="24"/>
  <c r="I139" i="24" s="1"/>
  <c r="F139" i="24"/>
  <c r="E139" i="24"/>
  <c r="O138" i="24"/>
  <c r="N138" i="24"/>
  <c r="K138" i="24"/>
  <c r="L138" i="24" s="1"/>
  <c r="H138" i="24"/>
  <c r="I138" i="24" s="1"/>
  <c r="F138" i="24"/>
  <c r="E138" i="24"/>
  <c r="N137" i="24"/>
  <c r="O137" i="24" s="1"/>
  <c r="K137" i="24"/>
  <c r="L137" i="24" s="1"/>
  <c r="H137" i="24"/>
  <c r="I137" i="24" s="1"/>
  <c r="F137" i="24"/>
  <c r="E137" i="24"/>
  <c r="O136" i="24"/>
  <c r="N136" i="24"/>
  <c r="L136" i="24"/>
  <c r="K136" i="24"/>
  <c r="H136" i="24"/>
  <c r="I136" i="24" s="1"/>
  <c r="F136" i="24"/>
  <c r="E136" i="24"/>
  <c r="N135" i="24"/>
  <c r="O135" i="24" s="1"/>
  <c r="K135" i="24"/>
  <c r="L135" i="24" s="1"/>
  <c r="H135" i="24"/>
  <c r="I135" i="24" s="1"/>
  <c r="F135" i="24"/>
  <c r="E135" i="24"/>
  <c r="O134" i="24"/>
  <c r="N134" i="24"/>
  <c r="K134" i="24"/>
  <c r="L134" i="24" s="1"/>
  <c r="H134" i="24"/>
  <c r="I134" i="24" s="1"/>
  <c r="F134" i="24"/>
  <c r="E134" i="24"/>
  <c r="N133" i="24"/>
  <c r="O133" i="24" s="1"/>
  <c r="K133" i="24"/>
  <c r="L133" i="24" s="1"/>
  <c r="H133" i="24"/>
  <c r="I133" i="24" s="1"/>
  <c r="F133" i="24"/>
  <c r="E133" i="24"/>
  <c r="O132" i="24"/>
  <c r="N132" i="24"/>
  <c r="L132" i="24"/>
  <c r="K132" i="24"/>
  <c r="H132" i="24"/>
  <c r="I132" i="24" s="1"/>
  <c r="F132" i="24"/>
  <c r="E132" i="24"/>
  <c r="O131" i="24"/>
  <c r="N131" i="24"/>
  <c r="K131" i="24"/>
  <c r="L131" i="24" s="1"/>
  <c r="H131" i="24"/>
  <c r="I131" i="24" s="1"/>
  <c r="F131" i="24"/>
  <c r="E131" i="24"/>
  <c r="N130" i="24"/>
  <c r="O130" i="24" s="1"/>
  <c r="K130" i="24"/>
  <c r="L130" i="24" s="1"/>
  <c r="H130" i="24"/>
  <c r="I130" i="24" s="1"/>
  <c r="F130" i="24"/>
  <c r="E130" i="24"/>
  <c r="O129" i="24"/>
  <c r="N129" i="24"/>
  <c r="K129" i="24"/>
  <c r="L129" i="24" s="1"/>
  <c r="H129" i="24"/>
  <c r="I129" i="24" s="1"/>
  <c r="F129" i="24"/>
  <c r="E129" i="24"/>
  <c r="N128" i="24"/>
  <c r="O128" i="24" s="1"/>
  <c r="L128" i="24"/>
  <c r="K128" i="24"/>
  <c r="H128" i="24"/>
  <c r="I128" i="24" s="1"/>
  <c r="F128" i="24"/>
  <c r="E128" i="24"/>
  <c r="O127" i="24"/>
  <c r="N127" i="24"/>
  <c r="K127" i="24"/>
  <c r="L127" i="24" s="1"/>
  <c r="H127" i="24"/>
  <c r="I127" i="24" s="1"/>
  <c r="F127" i="24"/>
  <c r="E127" i="24"/>
  <c r="N126" i="24"/>
  <c r="O126" i="24" s="1"/>
  <c r="K126" i="24"/>
  <c r="L126" i="24" s="1"/>
  <c r="H126" i="24"/>
  <c r="I126" i="24" s="1"/>
  <c r="F126" i="24"/>
  <c r="E126" i="24"/>
  <c r="O125" i="24"/>
  <c r="N125" i="24"/>
  <c r="K125" i="24"/>
  <c r="H125" i="24"/>
  <c r="H145" i="24" s="1"/>
  <c r="F125" i="24"/>
  <c r="E125" i="24"/>
  <c r="E145" i="24" s="1"/>
  <c r="M123" i="24"/>
  <c r="J123" i="24"/>
  <c r="G123" i="24"/>
  <c r="D123" i="24"/>
  <c r="B123" i="24"/>
  <c r="M122" i="24"/>
  <c r="G122" i="24"/>
  <c r="B118" i="24"/>
  <c r="N117" i="24"/>
  <c r="O117" i="24" s="1"/>
  <c r="L117" i="24"/>
  <c r="K117" i="24"/>
  <c r="H117" i="24"/>
  <c r="I117" i="24" s="1"/>
  <c r="F117" i="24"/>
  <c r="E117" i="24"/>
  <c r="N116" i="24"/>
  <c r="O116" i="24" s="1"/>
  <c r="K116" i="24"/>
  <c r="L116" i="24" s="1"/>
  <c r="H116" i="24"/>
  <c r="I116" i="24" s="1"/>
  <c r="F116" i="24"/>
  <c r="E116" i="24"/>
  <c r="O115" i="24"/>
  <c r="N115" i="24"/>
  <c r="K115" i="24"/>
  <c r="L115" i="24" s="1"/>
  <c r="H115" i="24"/>
  <c r="I115" i="24" s="1"/>
  <c r="F115" i="24"/>
  <c r="E115" i="24"/>
  <c r="N114" i="24"/>
  <c r="O114" i="24" s="1"/>
  <c r="K114" i="24"/>
  <c r="L114" i="24" s="1"/>
  <c r="I114" i="24"/>
  <c r="H114" i="24"/>
  <c r="F114" i="24"/>
  <c r="E114" i="24"/>
  <c r="O113" i="24"/>
  <c r="N113" i="24"/>
  <c r="K113" i="24"/>
  <c r="L113" i="24" s="1"/>
  <c r="I113" i="24"/>
  <c r="H113" i="24"/>
  <c r="F113" i="24"/>
  <c r="E113" i="24"/>
  <c r="O112" i="24"/>
  <c r="N112" i="24"/>
  <c r="K112" i="24"/>
  <c r="L112" i="24" s="1"/>
  <c r="I112" i="24"/>
  <c r="H112" i="24"/>
  <c r="F112" i="24"/>
  <c r="E112" i="24"/>
  <c r="N111" i="24"/>
  <c r="O111" i="24" s="1"/>
  <c r="K111" i="24"/>
  <c r="L111" i="24" s="1"/>
  <c r="I111" i="24"/>
  <c r="H111" i="24"/>
  <c r="F111" i="24"/>
  <c r="E111" i="24"/>
  <c r="N110" i="24"/>
  <c r="O110" i="24" s="1"/>
  <c r="K110" i="24"/>
  <c r="L110" i="24" s="1"/>
  <c r="I110" i="24"/>
  <c r="H110" i="24"/>
  <c r="F110" i="24"/>
  <c r="E110" i="24"/>
  <c r="O109" i="24"/>
  <c r="N109" i="24"/>
  <c r="K109" i="24"/>
  <c r="L109" i="24" s="1"/>
  <c r="I109" i="24"/>
  <c r="H109" i="24"/>
  <c r="F109" i="24"/>
  <c r="E109" i="24"/>
  <c r="O108" i="24"/>
  <c r="N108" i="24"/>
  <c r="K108" i="24"/>
  <c r="L108" i="24" s="1"/>
  <c r="I108" i="24"/>
  <c r="H108" i="24"/>
  <c r="F108" i="24"/>
  <c r="E108" i="24"/>
  <c r="N107" i="24"/>
  <c r="O107" i="24" s="1"/>
  <c r="K107" i="24"/>
  <c r="L107" i="24" s="1"/>
  <c r="I107" i="24"/>
  <c r="H107" i="24"/>
  <c r="F107" i="24"/>
  <c r="E107" i="24"/>
  <c r="N106" i="24"/>
  <c r="O106" i="24" s="1"/>
  <c r="K106" i="24"/>
  <c r="L106" i="24" s="1"/>
  <c r="I106" i="24"/>
  <c r="H106" i="24"/>
  <c r="F106" i="24"/>
  <c r="E106" i="24"/>
  <c r="O105" i="24"/>
  <c r="N105" i="24"/>
  <c r="K105" i="24"/>
  <c r="L105" i="24" s="1"/>
  <c r="H105" i="24"/>
  <c r="I105" i="24" s="1"/>
  <c r="F105" i="24"/>
  <c r="E105" i="24"/>
  <c r="N104" i="24"/>
  <c r="O104" i="24" s="1"/>
  <c r="L104" i="24"/>
  <c r="K104" i="24"/>
  <c r="H104" i="24"/>
  <c r="I104" i="24" s="1"/>
  <c r="F104" i="24"/>
  <c r="E104" i="24"/>
  <c r="N103" i="24"/>
  <c r="O103" i="24" s="1"/>
  <c r="K103" i="24"/>
  <c r="L103" i="24" s="1"/>
  <c r="H103" i="24"/>
  <c r="I103" i="24" s="1"/>
  <c r="F103" i="24"/>
  <c r="E103" i="24"/>
  <c r="O102" i="24"/>
  <c r="N102" i="24"/>
  <c r="K102" i="24"/>
  <c r="L102" i="24" s="1"/>
  <c r="H102" i="24"/>
  <c r="I102" i="24" s="1"/>
  <c r="F102" i="24"/>
  <c r="E102" i="24"/>
  <c r="N101" i="24"/>
  <c r="O101" i="24" s="1"/>
  <c r="K101" i="24"/>
  <c r="L101" i="24" s="1"/>
  <c r="H101" i="24"/>
  <c r="I101" i="24" s="1"/>
  <c r="F101" i="24"/>
  <c r="E101" i="24"/>
  <c r="O100" i="24"/>
  <c r="N100" i="24"/>
  <c r="L100" i="24"/>
  <c r="K100" i="24"/>
  <c r="H100" i="24"/>
  <c r="I100" i="24" s="1"/>
  <c r="F100" i="24"/>
  <c r="E100" i="24"/>
  <c r="N99" i="24"/>
  <c r="O99" i="24" s="1"/>
  <c r="K99" i="24"/>
  <c r="L99" i="24" s="1"/>
  <c r="H99" i="24"/>
  <c r="I99" i="24" s="1"/>
  <c r="F99" i="24"/>
  <c r="E99" i="24"/>
  <c r="O98" i="24"/>
  <c r="N98" i="24"/>
  <c r="K98" i="24"/>
  <c r="H98" i="24"/>
  <c r="H118" i="24" s="1"/>
  <c r="F98" i="24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O89" i="24"/>
  <c r="N89" i="24"/>
  <c r="K89" i="24"/>
  <c r="L89" i="24" s="1"/>
  <c r="H89" i="24"/>
  <c r="I89" i="24" s="1"/>
  <c r="E89" i="24"/>
  <c r="F89" i="24" s="1"/>
  <c r="O88" i="24"/>
  <c r="N88" i="24"/>
  <c r="K88" i="24"/>
  <c r="L88" i="24" s="1"/>
  <c r="I88" i="24"/>
  <c r="H88" i="24"/>
  <c r="E88" i="24"/>
  <c r="F88" i="24" s="1"/>
  <c r="N87" i="24"/>
  <c r="O87" i="24" s="1"/>
  <c r="L87" i="24"/>
  <c r="K87" i="24"/>
  <c r="H87" i="24"/>
  <c r="I87" i="24" s="1"/>
  <c r="E87" i="24"/>
  <c r="F87" i="24" s="1"/>
  <c r="O86" i="24"/>
  <c r="N86" i="24"/>
  <c r="K86" i="24"/>
  <c r="L86" i="24" s="1"/>
  <c r="H86" i="24"/>
  <c r="I86" i="24" s="1"/>
  <c r="E86" i="24"/>
  <c r="F86" i="24" s="1"/>
  <c r="N85" i="24"/>
  <c r="O85" i="24" s="1"/>
  <c r="L85" i="24"/>
  <c r="K85" i="24"/>
  <c r="H85" i="24"/>
  <c r="I85" i="24" s="1"/>
  <c r="E85" i="24"/>
  <c r="F85" i="24" s="1"/>
  <c r="O84" i="24"/>
  <c r="N84" i="24"/>
  <c r="K84" i="24"/>
  <c r="L84" i="24" s="1"/>
  <c r="I84" i="24"/>
  <c r="H84" i="24"/>
  <c r="E84" i="24"/>
  <c r="F84" i="24" s="1"/>
  <c r="N83" i="24"/>
  <c r="O83" i="24" s="1"/>
  <c r="K83" i="24"/>
  <c r="L83" i="24" s="1"/>
  <c r="H83" i="24"/>
  <c r="I83" i="24" s="1"/>
  <c r="E83" i="24"/>
  <c r="F83" i="24" s="1"/>
  <c r="N82" i="24"/>
  <c r="O82" i="24" s="1"/>
  <c r="K82" i="24"/>
  <c r="L82" i="24" s="1"/>
  <c r="H82" i="24"/>
  <c r="I82" i="24" s="1"/>
  <c r="E82" i="24"/>
  <c r="F82" i="24" s="1"/>
  <c r="O81" i="24"/>
  <c r="N81" i="24"/>
  <c r="K81" i="24"/>
  <c r="L81" i="24" s="1"/>
  <c r="H81" i="24"/>
  <c r="I81" i="24" s="1"/>
  <c r="E81" i="24"/>
  <c r="F81" i="24" s="1"/>
  <c r="O80" i="24"/>
  <c r="N80" i="24"/>
  <c r="K80" i="24"/>
  <c r="L80" i="24" s="1"/>
  <c r="I80" i="24"/>
  <c r="H80" i="24"/>
  <c r="E80" i="24"/>
  <c r="F80" i="24" s="1"/>
  <c r="N79" i="24"/>
  <c r="O79" i="24" s="1"/>
  <c r="K79" i="24"/>
  <c r="L79" i="24" s="1"/>
  <c r="H79" i="24"/>
  <c r="I79" i="24" s="1"/>
  <c r="E79" i="24"/>
  <c r="F79" i="24" s="1"/>
  <c r="O78" i="24"/>
  <c r="N78" i="24"/>
  <c r="L78" i="24"/>
  <c r="K78" i="24"/>
  <c r="H78" i="24"/>
  <c r="I78" i="24" s="1"/>
  <c r="E78" i="24"/>
  <c r="F78" i="24" s="1"/>
  <c r="N77" i="24"/>
  <c r="O77" i="24" s="1"/>
  <c r="K77" i="24"/>
  <c r="L77" i="24" s="1"/>
  <c r="H77" i="24"/>
  <c r="I77" i="24" s="1"/>
  <c r="E77" i="24"/>
  <c r="F77" i="24" s="1"/>
  <c r="N76" i="24"/>
  <c r="O76" i="24" s="1"/>
  <c r="L76" i="24"/>
  <c r="K76" i="24"/>
  <c r="I76" i="24"/>
  <c r="H76" i="24"/>
  <c r="E76" i="24"/>
  <c r="F76" i="24" s="1"/>
  <c r="N75" i="24"/>
  <c r="O75" i="24" s="1"/>
  <c r="K75" i="24"/>
  <c r="L75" i="24" s="1"/>
  <c r="H75" i="24"/>
  <c r="I75" i="24" s="1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O72" i="24"/>
  <c r="N72" i="24"/>
  <c r="K72" i="24"/>
  <c r="L72" i="24" s="1"/>
  <c r="I72" i="24"/>
  <c r="H72" i="24"/>
  <c r="E72" i="24"/>
  <c r="F72" i="24" s="1"/>
  <c r="N71" i="24"/>
  <c r="N91" i="24" s="1"/>
  <c r="L71" i="24"/>
  <c r="K71" i="24"/>
  <c r="H71" i="24"/>
  <c r="H91" i="24" s="1"/>
  <c r="E71" i="24"/>
  <c r="E91" i="24" s="1"/>
  <c r="M69" i="24"/>
  <c r="J69" i="24"/>
  <c r="G69" i="24"/>
  <c r="D69" i="24"/>
  <c r="B69" i="24"/>
  <c r="M68" i="24"/>
  <c r="G68" i="24"/>
  <c r="B64" i="24"/>
  <c r="I58" i="24" s="1"/>
  <c r="I22" i="24" s="1"/>
  <c r="O63" i="24"/>
  <c r="N63" i="24"/>
  <c r="K63" i="24"/>
  <c r="H63" i="24"/>
  <c r="I63" i="24" s="1"/>
  <c r="E63" i="24"/>
  <c r="O62" i="24"/>
  <c r="N62" i="24"/>
  <c r="L62" i="24"/>
  <c r="K62" i="24"/>
  <c r="H62" i="24"/>
  <c r="E62" i="24"/>
  <c r="F62" i="24" s="1"/>
  <c r="O61" i="24"/>
  <c r="N61" i="24"/>
  <c r="K61" i="24"/>
  <c r="I61" i="24"/>
  <c r="H61" i="24"/>
  <c r="E61" i="24"/>
  <c r="O60" i="24"/>
  <c r="N60" i="24"/>
  <c r="K60" i="24"/>
  <c r="H60" i="24"/>
  <c r="E60" i="24"/>
  <c r="F60" i="24" s="1"/>
  <c r="N59" i="24"/>
  <c r="O59" i="24" s="1"/>
  <c r="K59" i="24"/>
  <c r="H59" i="24"/>
  <c r="I59" i="24" s="1"/>
  <c r="E59" i="24"/>
  <c r="O58" i="24"/>
  <c r="O22" i="24" s="1"/>
  <c r="N58" i="24"/>
  <c r="K58" i="24"/>
  <c r="L58" i="24" s="1"/>
  <c r="L22" i="24" s="1"/>
  <c r="H58" i="24"/>
  <c r="E58" i="24"/>
  <c r="F58" i="24" s="1"/>
  <c r="F22" i="24" s="1"/>
  <c r="O57" i="24"/>
  <c r="N57" i="24"/>
  <c r="K57" i="24"/>
  <c r="I57" i="24"/>
  <c r="H57" i="24"/>
  <c r="E57" i="24"/>
  <c r="N56" i="24"/>
  <c r="N17" i="24" s="1"/>
  <c r="L56" i="24"/>
  <c r="K56" i="24"/>
  <c r="H56" i="24"/>
  <c r="E56" i="24"/>
  <c r="F56" i="24" s="1"/>
  <c r="F17" i="24" s="1"/>
  <c r="O55" i="24"/>
  <c r="N55" i="24"/>
  <c r="K55" i="24"/>
  <c r="H55" i="24"/>
  <c r="I55" i="24" s="1"/>
  <c r="E55" i="24"/>
  <c r="F55" i="24" s="1"/>
  <c r="O54" i="24"/>
  <c r="N54" i="24"/>
  <c r="L54" i="24"/>
  <c r="K54" i="24"/>
  <c r="H54" i="24"/>
  <c r="E54" i="24"/>
  <c r="F54" i="24" s="1"/>
  <c r="O53" i="24"/>
  <c r="N53" i="24"/>
  <c r="K53" i="24"/>
  <c r="I53" i="24"/>
  <c r="H53" i="24"/>
  <c r="E53" i="24"/>
  <c r="O52" i="24"/>
  <c r="N52" i="24"/>
  <c r="K52" i="24"/>
  <c r="L52" i="24" s="1"/>
  <c r="H52" i="24"/>
  <c r="E52" i="24"/>
  <c r="N51" i="24"/>
  <c r="O51" i="24" s="1"/>
  <c r="K51" i="24"/>
  <c r="H51" i="24"/>
  <c r="I51" i="24" s="1"/>
  <c r="E51" i="24"/>
  <c r="F51" i="24" s="1"/>
  <c r="O50" i="24"/>
  <c r="N50" i="24"/>
  <c r="K50" i="24"/>
  <c r="L50" i="24" s="1"/>
  <c r="I50" i="24"/>
  <c r="H50" i="24"/>
  <c r="E50" i="24"/>
  <c r="O49" i="24"/>
  <c r="N49" i="24"/>
  <c r="K49" i="24"/>
  <c r="H49" i="24"/>
  <c r="E49" i="24"/>
  <c r="F49" i="24" s="1"/>
  <c r="N48" i="24"/>
  <c r="O48" i="24" s="1"/>
  <c r="L48" i="24"/>
  <c r="K48" i="24"/>
  <c r="H48" i="24"/>
  <c r="E48" i="24"/>
  <c r="O47" i="24"/>
  <c r="N47" i="24"/>
  <c r="K47" i="24"/>
  <c r="H47" i="24"/>
  <c r="E47" i="24"/>
  <c r="F47" i="24" s="1"/>
  <c r="O46" i="24"/>
  <c r="N46" i="24"/>
  <c r="K46" i="24"/>
  <c r="I46" i="24"/>
  <c r="H46" i="24"/>
  <c r="E46" i="24"/>
  <c r="O45" i="24"/>
  <c r="N45" i="24"/>
  <c r="K45" i="24"/>
  <c r="H45" i="24"/>
  <c r="E45" i="24"/>
  <c r="F45" i="24" s="1"/>
  <c r="O44" i="24"/>
  <c r="N44" i="24"/>
  <c r="K44" i="24"/>
  <c r="H44" i="24"/>
  <c r="H64" i="24" s="1"/>
  <c r="E44" i="24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N22" i="24"/>
  <c r="M22" i="24"/>
  <c r="K22" i="24"/>
  <c r="J22" i="24"/>
  <c r="H22" i="24"/>
  <c r="G22" i="24"/>
  <c r="D22" i="24"/>
  <c r="C22" i="24"/>
  <c r="B22" i="24"/>
  <c r="N21" i="24"/>
  <c r="M21" i="24"/>
  <c r="K21" i="24"/>
  <c r="J21" i="24"/>
  <c r="H21" i="24"/>
  <c r="G21" i="24"/>
  <c r="E21" i="24"/>
  <c r="D21" i="24"/>
  <c r="C21" i="24"/>
  <c r="B21" i="24"/>
  <c r="N20" i="24"/>
  <c r="M20" i="24"/>
  <c r="K20" i="24"/>
  <c r="J20" i="24"/>
  <c r="H20" i="24"/>
  <c r="G20" i="24"/>
  <c r="F20" i="24"/>
  <c r="E20" i="24"/>
  <c r="D20" i="24"/>
  <c r="C20" i="24"/>
  <c r="B20" i="24"/>
  <c r="N19" i="24"/>
  <c r="M19" i="24"/>
  <c r="L19" i="24"/>
  <c r="K19" i="24"/>
  <c r="J19" i="24"/>
  <c r="H19" i="24"/>
  <c r="G19" i="24"/>
  <c r="E19" i="24"/>
  <c r="D19" i="24"/>
  <c r="C19" i="24"/>
  <c r="B19" i="24"/>
  <c r="M18" i="24"/>
  <c r="K18" i="24"/>
  <c r="J18" i="24"/>
  <c r="G18" i="24"/>
  <c r="E18" i="24"/>
  <c r="D18" i="24"/>
  <c r="C18" i="24"/>
  <c r="B18" i="24"/>
  <c r="M17" i="24"/>
  <c r="L17" i="24"/>
  <c r="K17" i="24"/>
  <c r="J17" i="24"/>
  <c r="H17" i="24"/>
  <c r="G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L98" i="39" l="1"/>
  <c r="L118" i="39" s="1"/>
  <c r="L71" i="39"/>
  <c r="L91" i="39" s="1"/>
  <c r="L44" i="39"/>
  <c r="L64" i="39" s="1"/>
  <c r="O179" i="38"/>
  <c r="O199" i="38" s="1"/>
  <c r="O152" i="38"/>
  <c r="O172" i="38" s="1"/>
  <c r="N145" i="38"/>
  <c r="O125" i="38"/>
  <c r="O145" i="38" s="1"/>
  <c r="O118" i="38"/>
  <c r="N118" i="38"/>
  <c r="O76" i="38"/>
  <c r="O31" i="38" s="1"/>
  <c r="O37" i="38" s="1"/>
  <c r="N91" i="38"/>
  <c r="O71" i="38"/>
  <c r="O91" i="38" s="1"/>
  <c r="N64" i="38"/>
  <c r="O44" i="38"/>
  <c r="O64" i="38" s="1"/>
  <c r="F37" i="39"/>
  <c r="N37" i="39"/>
  <c r="K37" i="39"/>
  <c r="O37" i="39"/>
  <c r="H37" i="39"/>
  <c r="L37" i="39"/>
  <c r="E37" i="39"/>
  <c r="I37" i="39"/>
  <c r="G9" i="39"/>
  <c r="G5" i="39"/>
  <c r="G7" i="39"/>
  <c r="G3" i="39"/>
  <c r="K172" i="38"/>
  <c r="L152" i="38"/>
  <c r="L172" i="38" s="1"/>
  <c r="K145" i="38"/>
  <c r="L125" i="38"/>
  <c r="L145" i="38" s="1"/>
  <c r="K28" i="38"/>
  <c r="K37" i="38" s="1"/>
  <c r="L104" i="38"/>
  <c r="L23" i="38" s="1"/>
  <c r="L37" i="38" s="1"/>
  <c r="K118" i="38"/>
  <c r="L118" i="38"/>
  <c r="K91" i="38"/>
  <c r="L91" i="38"/>
  <c r="L64" i="38"/>
  <c r="K64" i="38"/>
  <c r="I152" i="38"/>
  <c r="I172" i="38" s="1"/>
  <c r="I125" i="38"/>
  <c r="I145" i="38" s="1"/>
  <c r="I98" i="38"/>
  <c r="I104" i="38"/>
  <c r="I23" i="38" s="1"/>
  <c r="I110" i="38"/>
  <c r="I27" i="38" s="1"/>
  <c r="I115" i="38"/>
  <c r="I29" i="38" s="1"/>
  <c r="I91" i="38"/>
  <c r="H91" i="38"/>
  <c r="I64" i="38"/>
  <c r="F71" i="38"/>
  <c r="F91" i="38" s="1"/>
  <c r="F44" i="38"/>
  <c r="F64" i="38" s="1"/>
  <c r="O199" i="37"/>
  <c r="N199" i="37"/>
  <c r="O152" i="37"/>
  <c r="O172" i="37" s="1"/>
  <c r="N145" i="37"/>
  <c r="O125" i="37"/>
  <c r="O145" i="37" s="1"/>
  <c r="O98" i="37"/>
  <c r="O118" i="37" s="1"/>
  <c r="O106" i="37"/>
  <c r="O25" i="37" s="1"/>
  <c r="N91" i="37"/>
  <c r="O71" i="37"/>
  <c r="O91" i="37" s="1"/>
  <c r="N64" i="37"/>
  <c r="O44" i="37"/>
  <c r="H37" i="38"/>
  <c r="E37" i="38"/>
  <c r="F37" i="38"/>
  <c r="N37" i="38"/>
  <c r="G5" i="38"/>
  <c r="G9" i="38"/>
  <c r="G7" i="38"/>
  <c r="L199" i="37"/>
  <c r="K199" i="37"/>
  <c r="L172" i="37"/>
  <c r="K172" i="37"/>
  <c r="L145" i="37"/>
  <c r="K145" i="37"/>
  <c r="L118" i="37"/>
  <c r="K28" i="37"/>
  <c r="K118" i="37"/>
  <c r="L71" i="37"/>
  <c r="L91" i="37" s="1"/>
  <c r="L74" i="37"/>
  <c r="L22" i="37" s="1"/>
  <c r="L37" i="37" s="1"/>
  <c r="K24" i="37"/>
  <c r="K37" i="37" s="1"/>
  <c r="L64" i="37"/>
  <c r="K64" i="37"/>
  <c r="I179" i="37"/>
  <c r="I199" i="37" s="1"/>
  <c r="I152" i="37"/>
  <c r="I172" i="37" s="1"/>
  <c r="I125" i="37"/>
  <c r="I145" i="37" s="1"/>
  <c r="I98" i="37"/>
  <c r="I118" i="37" s="1"/>
  <c r="I71" i="37"/>
  <c r="I91" i="37" s="1"/>
  <c r="I44" i="37"/>
  <c r="F71" i="37"/>
  <c r="F91" i="37" s="1"/>
  <c r="F44" i="37"/>
  <c r="N199" i="36"/>
  <c r="O179" i="36"/>
  <c r="O199" i="36" s="1"/>
  <c r="O152" i="36"/>
  <c r="O172" i="36" s="1"/>
  <c r="O125" i="36"/>
  <c r="O145" i="36" s="1"/>
  <c r="O98" i="36"/>
  <c r="O118" i="36" s="1"/>
  <c r="O44" i="36"/>
  <c r="O64" i="36" s="1"/>
  <c r="G5" i="36" s="1"/>
  <c r="E37" i="37"/>
  <c r="N37" i="37"/>
  <c r="H37" i="37"/>
  <c r="G7" i="37"/>
  <c r="G3" i="37"/>
  <c r="G9" i="37"/>
  <c r="K199" i="36"/>
  <c r="L179" i="36"/>
  <c r="L199" i="36" s="1"/>
  <c r="K145" i="36"/>
  <c r="L125" i="36"/>
  <c r="L145" i="36" s="1"/>
  <c r="K118" i="36"/>
  <c r="L98" i="36"/>
  <c r="L118" i="36" s="1"/>
  <c r="L64" i="36"/>
  <c r="I179" i="36"/>
  <c r="I199" i="36" s="1"/>
  <c r="I125" i="36"/>
  <c r="I145" i="36" s="1"/>
  <c r="I98" i="36"/>
  <c r="I118" i="36" s="1"/>
  <c r="G3" i="36" s="1"/>
  <c r="E37" i="36"/>
  <c r="I37" i="36"/>
  <c r="O179" i="35"/>
  <c r="O199" i="35" s="1"/>
  <c r="O152" i="35"/>
  <c r="O172" i="35" s="1"/>
  <c r="O125" i="35"/>
  <c r="O145" i="35" s="1"/>
  <c r="O98" i="35"/>
  <c r="O118" i="35" s="1"/>
  <c r="O71" i="35"/>
  <c r="O91" i="35" s="1"/>
  <c r="N64" i="35"/>
  <c r="O64" i="35"/>
  <c r="H37" i="36"/>
  <c r="L37" i="36"/>
  <c r="K37" i="36"/>
  <c r="O37" i="36"/>
  <c r="F37" i="36"/>
  <c r="N37" i="36"/>
  <c r="G9" i="36"/>
  <c r="G7" i="36"/>
  <c r="K199" i="35"/>
  <c r="L179" i="35"/>
  <c r="L199" i="35" s="1"/>
  <c r="L98" i="35"/>
  <c r="L118" i="35" s="1"/>
  <c r="K91" i="35"/>
  <c r="L71" i="35"/>
  <c r="L91" i="35" s="1"/>
  <c r="L64" i="35"/>
  <c r="K64" i="35"/>
  <c r="K18" i="35"/>
  <c r="K37" i="35" s="1"/>
  <c r="I179" i="35"/>
  <c r="I199" i="35" s="1"/>
  <c r="I98" i="35"/>
  <c r="I118" i="35" s="1"/>
  <c r="I71" i="35"/>
  <c r="I91" i="35" s="1"/>
  <c r="G7" i="35" s="1"/>
  <c r="I64" i="35"/>
  <c r="H64" i="35"/>
  <c r="E118" i="35"/>
  <c r="E64" i="35"/>
  <c r="N199" i="34"/>
  <c r="O179" i="34"/>
  <c r="O199" i="34" s="1"/>
  <c r="O172" i="34"/>
  <c r="N172" i="34"/>
  <c r="N145" i="34"/>
  <c r="O125" i="34"/>
  <c r="O145" i="34" s="1"/>
  <c r="N118" i="34"/>
  <c r="O98" i="34"/>
  <c r="O118" i="34" s="1"/>
  <c r="N91" i="34"/>
  <c r="O71" i="34"/>
  <c r="O91" i="34" s="1"/>
  <c r="N64" i="34"/>
  <c r="O44" i="34"/>
  <c r="O64" i="34" s="1"/>
  <c r="E91" i="35"/>
  <c r="F98" i="35"/>
  <c r="F118" i="35" s="1"/>
  <c r="F71" i="35"/>
  <c r="F91" i="35" s="1"/>
  <c r="F44" i="35"/>
  <c r="F64" i="35" s="1"/>
  <c r="O37" i="35"/>
  <c r="H37" i="35"/>
  <c r="L37" i="35"/>
  <c r="F37" i="35"/>
  <c r="E37" i="35"/>
  <c r="I37" i="35"/>
  <c r="N37" i="35"/>
  <c r="G3" i="35"/>
  <c r="G9" i="35"/>
  <c r="L179" i="34"/>
  <c r="L161" i="34"/>
  <c r="L20" i="34" s="1"/>
  <c r="L37" i="34" s="1"/>
  <c r="L145" i="34"/>
  <c r="L98" i="34"/>
  <c r="L71" i="34"/>
  <c r="L91" i="34" s="1"/>
  <c r="K64" i="34"/>
  <c r="L44" i="34"/>
  <c r="L199" i="34"/>
  <c r="K145" i="34"/>
  <c r="L118" i="34"/>
  <c r="L64" i="34"/>
  <c r="I179" i="34"/>
  <c r="I199" i="34" s="1"/>
  <c r="I125" i="34"/>
  <c r="I145" i="34" s="1"/>
  <c r="I98" i="34"/>
  <c r="I118" i="34" s="1"/>
  <c r="I44" i="34"/>
  <c r="I64" i="34" s="1"/>
  <c r="F64" i="34"/>
  <c r="N172" i="33"/>
  <c r="O152" i="33"/>
  <c r="O172" i="33" s="1"/>
  <c r="O125" i="33"/>
  <c r="O145" i="33" s="1"/>
  <c r="O98" i="33"/>
  <c r="O118" i="33" s="1"/>
  <c r="O71" i="33"/>
  <c r="O91" i="33" s="1"/>
  <c r="G7" i="33" s="1"/>
  <c r="N64" i="33"/>
  <c r="O44" i="33"/>
  <c r="F37" i="34"/>
  <c r="N37" i="34"/>
  <c r="K37" i="34"/>
  <c r="O37" i="34"/>
  <c r="E37" i="34"/>
  <c r="I37" i="34"/>
  <c r="H37" i="34"/>
  <c r="G5" i="34"/>
  <c r="G7" i="34"/>
  <c r="G3" i="34"/>
  <c r="G9" i="34"/>
  <c r="K199" i="33"/>
  <c r="L179" i="33"/>
  <c r="L199" i="33" s="1"/>
  <c r="K172" i="33"/>
  <c r="L172" i="33"/>
  <c r="K145" i="33"/>
  <c r="L145" i="33"/>
  <c r="K64" i="33"/>
  <c r="L64" i="33"/>
  <c r="I179" i="33"/>
  <c r="I199" i="33" s="1"/>
  <c r="I152" i="33"/>
  <c r="I172" i="33" s="1"/>
  <c r="I125" i="33"/>
  <c r="I145" i="33" s="1"/>
  <c r="I44" i="33"/>
  <c r="O179" i="32"/>
  <c r="O199" i="32" s="1"/>
  <c r="O172" i="32"/>
  <c r="N172" i="32"/>
  <c r="O125" i="32"/>
  <c r="O145" i="32" s="1"/>
  <c r="N118" i="32"/>
  <c r="O118" i="32"/>
  <c r="N64" i="32"/>
  <c r="O64" i="32"/>
  <c r="G5" i="32" s="1"/>
  <c r="N199" i="33"/>
  <c r="K37" i="33"/>
  <c r="E37" i="33"/>
  <c r="F37" i="33"/>
  <c r="N37" i="33"/>
  <c r="H37" i="33"/>
  <c r="L37" i="33"/>
  <c r="G3" i="33"/>
  <c r="G9" i="33"/>
  <c r="L179" i="32"/>
  <c r="L199" i="32" s="1"/>
  <c r="K172" i="32"/>
  <c r="L167" i="32"/>
  <c r="L21" i="32" s="1"/>
  <c r="L152" i="32"/>
  <c r="L172" i="32" s="1"/>
  <c r="L125" i="32"/>
  <c r="L145" i="32" s="1"/>
  <c r="L141" i="32"/>
  <c r="L18" i="32" s="1"/>
  <c r="L118" i="32"/>
  <c r="I179" i="32"/>
  <c r="I199" i="32" s="1"/>
  <c r="I152" i="32"/>
  <c r="I172" i="32" s="1"/>
  <c r="I125" i="32"/>
  <c r="I145" i="32" s="1"/>
  <c r="I141" i="32"/>
  <c r="I18" i="32" s="1"/>
  <c r="I37" i="32" s="1"/>
  <c r="I118" i="32"/>
  <c r="H118" i="32"/>
  <c r="I44" i="32"/>
  <c r="I64" i="32" s="1"/>
  <c r="F179" i="32"/>
  <c r="F199" i="32" s="1"/>
  <c r="G9" i="32" s="1"/>
  <c r="F152" i="32"/>
  <c r="F172" i="32" s="1"/>
  <c r="F125" i="32"/>
  <c r="F145" i="32" s="1"/>
  <c r="F98" i="32"/>
  <c r="F118" i="32" s="1"/>
  <c r="F44" i="32"/>
  <c r="F64" i="32" s="1"/>
  <c r="N199" i="31"/>
  <c r="O179" i="31"/>
  <c r="O199" i="31" s="1"/>
  <c r="O152" i="31"/>
  <c r="O172" i="31" s="1"/>
  <c r="N145" i="31"/>
  <c r="O145" i="31"/>
  <c r="N118" i="31"/>
  <c r="O98" i="31"/>
  <c r="O118" i="31" s="1"/>
  <c r="O91" i="31"/>
  <c r="N91" i="31"/>
  <c r="O59" i="31"/>
  <c r="O18" i="31" s="1"/>
  <c r="O37" i="31" s="1"/>
  <c r="N64" i="31"/>
  <c r="F37" i="32"/>
  <c r="H37" i="32"/>
  <c r="E37" i="32"/>
  <c r="N37" i="32"/>
  <c r="K37" i="32"/>
  <c r="O37" i="32"/>
  <c r="G7" i="32"/>
  <c r="K199" i="31"/>
  <c r="L179" i="31"/>
  <c r="L199" i="31" s="1"/>
  <c r="K172" i="31"/>
  <c r="L172" i="31"/>
  <c r="K145" i="31"/>
  <c r="L145" i="31"/>
  <c r="L118" i="31"/>
  <c r="K118" i="31"/>
  <c r="L91" i="31"/>
  <c r="K20" i="31"/>
  <c r="K37" i="31" s="1"/>
  <c r="K91" i="31"/>
  <c r="K64" i="31"/>
  <c r="L64" i="31"/>
  <c r="I179" i="31"/>
  <c r="I199" i="31" s="1"/>
  <c r="I152" i="31"/>
  <c r="I172" i="31" s="1"/>
  <c r="I125" i="31"/>
  <c r="I145" i="31" s="1"/>
  <c r="I98" i="31"/>
  <c r="I118" i="31" s="1"/>
  <c r="I71" i="31"/>
  <c r="I91" i="31" s="1"/>
  <c r="H64" i="31"/>
  <c r="I44" i="31"/>
  <c r="I64" i="31" s="1"/>
  <c r="F118" i="31"/>
  <c r="F44" i="31"/>
  <c r="F64" i="31" s="1"/>
  <c r="N199" i="30"/>
  <c r="O179" i="30"/>
  <c r="O199" i="30" s="1"/>
  <c r="O172" i="30"/>
  <c r="N172" i="30"/>
  <c r="N145" i="30"/>
  <c r="O125" i="30"/>
  <c r="O145" i="30" s="1"/>
  <c r="N28" i="30"/>
  <c r="N118" i="30"/>
  <c r="O98" i="30"/>
  <c r="O118" i="30" s="1"/>
  <c r="N20" i="30"/>
  <c r="N26" i="30"/>
  <c r="O91" i="30"/>
  <c r="O23" i="30"/>
  <c r="O37" i="30" s="1"/>
  <c r="N91" i="30"/>
  <c r="O44" i="30"/>
  <c r="O64" i="30" s="1"/>
  <c r="G9" i="31"/>
  <c r="H37" i="31"/>
  <c r="E37" i="31"/>
  <c r="I37" i="31"/>
  <c r="F37" i="31"/>
  <c r="N37" i="31"/>
  <c r="L37" i="31"/>
  <c r="G7" i="31"/>
  <c r="G3" i="31"/>
  <c r="L145" i="30"/>
  <c r="K22" i="30"/>
  <c r="K37" i="30" s="1"/>
  <c r="L111" i="30"/>
  <c r="L30" i="30" s="1"/>
  <c r="L72" i="30"/>
  <c r="L26" i="30" s="1"/>
  <c r="L45" i="30"/>
  <c r="L25" i="30" s="1"/>
  <c r="L19" i="30"/>
  <c r="K199" i="30"/>
  <c r="L199" i="30"/>
  <c r="G9" i="30" s="1"/>
  <c r="K172" i="30"/>
  <c r="L172" i="30"/>
  <c r="K145" i="30"/>
  <c r="K118" i="30"/>
  <c r="K91" i="30"/>
  <c r="L91" i="30"/>
  <c r="K64" i="30"/>
  <c r="L64" i="30"/>
  <c r="I179" i="30"/>
  <c r="I199" i="30" s="1"/>
  <c r="I152" i="30"/>
  <c r="I172" i="30" s="1"/>
  <c r="I125" i="30"/>
  <c r="I145" i="30" s="1"/>
  <c r="I98" i="30"/>
  <c r="I118" i="30" s="1"/>
  <c r="I19" i="30"/>
  <c r="I29" i="30"/>
  <c r="I86" i="30"/>
  <c r="I20" i="30" s="1"/>
  <c r="H91" i="30"/>
  <c r="I64" i="30"/>
  <c r="H31" i="30"/>
  <c r="H37" i="30" s="1"/>
  <c r="H64" i="30"/>
  <c r="F125" i="30"/>
  <c r="F145" i="30" s="1"/>
  <c r="F98" i="30"/>
  <c r="F118" i="30" s="1"/>
  <c r="F29" i="30"/>
  <c r="F19" i="30"/>
  <c r="F71" i="30"/>
  <c r="F44" i="30"/>
  <c r="F64" i="30" s="1"/>
  <c r="O179" i="29"/>
  <c r="O199" i="29" s="1"/>
  <c r="O152" i="29"/>
  <c r="O172" i="29" s="1"/>
  <c r="O125" i="29"/>
  <c r="O145" i="29" s="1"/>
  <c r="N118" i="29"/>
  <c r="O98" i="29"/>
  <c r="O118" i="29" s="1"/>
  <c r="O71" i="29"/>
  <c r="O80" i="29"/>
  <c r="O20" i="29" s="1"/>
  <c r="O85" i="29"/>
  <c r="O19" i="29" s="1"/>
  <c r="O64" i="29"/>
  <c r="N64" i="29"/>
  <c r="E37" i="30"/>
  <c r="G5" i="30"/>
  <c r="K172" i="29"/>
  <c r="L152" i="29"/>
  <c r="L172" i="29" s="1"/>
  <c r="L145" i="29"/>
  <c r="K145" i="29"/>
  <c r="L98" i="29"/>
  <c r="L118" i="29" s="1"/>
  <c r="L91" i="29"/>
  <c r="L82" i="29"/>
  <c r="L21" i="29" s="1"/>
  <c r="L37" i="29" s="1"/>
  <c r="K91" i="29"/>
  <c r="K64" i="29"/>
  <c r="L44" i="29"/>
  <c r="L64" i="29" s="1"/>
  <c r="I152" i="29"/>
  <c r="I172" i="29" s="1"/>
  <c r="H145" i="29"/>
  <c r="I145" i="29"/>
  <c r="I98" i="29"/>
  <c r="I118" i="29" s="1"/>
  <c r="I71" i="29"/>
  <c r="I91" i="29" s="1"/>
  <c r="I44" i="29"/>
  <c r="I64" i="29" s="1"/>
  <c r="F172" i="29"/>
  <c r="E91" i="29"/>
  <c r="O199" i="28"/>
  <c r="N199" i="28"/>
  <c r="N172" i="28"/>
  <c r="O172" i="28"/>
  <c r="O145" i="28"/>
  <c r="N145" i="28"/>
  <c r="O98" i="28"/>
  <c r="O118" i="28" s="1"/>
  <c r="N91" i="28"/>
  <c r="O91" i="28"/>
  <c r="N64" i="28"/>
  <c r="O44" i="28"/>
  <c r="O64" i="28" s="1"/>
  <c r="G5" i="28" s="1"/>
  <c r="E145" i="29"/>
  <c r="E118" i="29"/>
  <c r="E64" i="29"/>
  <c r="F145" i="29"/>
  <c r="F98" i="29"/>
  <c r="F118" i="29" s="1"/>
  <c r="G3" i="29" s="1"/>
  <c r="F71" i="29"/>
  <c r="F91" i="29" s="1"/>
  <c r="F44" i="29"/>
  <c r="F64" i="29" s="1"/>
  <c r="K37" i="29"/>
  <c r="H37" i="29"/>
  <c r="E37" i="29"/>
  <c r="I37" i="29"/>
  <c r="F37" i="29"/>
  <c r="N37" i="29"/>
  <c r="G9" i="29"/>
  <c r="K199" i="28"/>
  <c r="L179" i="28"/>
  <c r="L199" i="28" s="1"/>
  <c r="K172" i="28"/>
  <c r="L152" i="28"/>
  <c r="L172" i="28" s="1"/>
  <c r="K145" i="28"/>
  <c r="L125" i="28"/>
  <c r="L145" i="28" s="1"/>
  <c r="K118" i="28"/>
  <c r="L98" i="28"/>
  <c r="L118" i="28" s="1"/>
  <c r="K91" i="28"/>
  <c r="L71" i="28"/>
  <c r="L91" i="28" s="1"/>
  <c r="K64" i="28"/>
  <c r="L64" i="28"/>
  <c r="I179" i="28"/>
  <c r="I199" i="28" s="1"/>
  <c r="I152" i="28"/>
  <c r="I172" i="28" s="1"/>
  <c r="I125" i="28"/>
  <c r="I145" i="28" s="1"/>
  <c r="I98" i="28"/>
  <c r="I118" i="28" s="1"/>
  <c r="H21" i="28"/>
  <c r="H37" i="28" s="1"/>
  <c r="I71" i="28"/>
  <c r="I91" i="28" s="1"/>
  <c r="I44" i="28"/>
  <c r="I64" i="28" s="1"/>
  <c r="N199" i="27"/>
  <c r="O179" i="27"/>
  <c r="O199" i="27" s="1"/>
  <c r="O172" i="27"/>
  <c r="N172" i="27"/>
  <c r="O145" i="27"/>
  <c r="N145" i="27"/>
  <c r="O118" i="27"/>
  <c r="G3" i="27" s="1"/>
  <c r="N118" i="27"/>
  <c r="N91" i="27"/>
  <c r="O91" i="27"/>
  <c r="O61" i="27"/>
  <c r="O18" i="27" s="1"/>
  <c r="O37" i="27" s="1"/>
  <c r="O64" i="27"/>
  <c r="N64" i="27"/>
  <c r="K37" i="28"/>
  <c r="O37" i="28"/>
  <c r="E37" i="28"/>
  <c r="F37" i="28"/>
  <c r="N37" i="28"/>
  <c r="L37" i="28"/>
  <c r="I37" i="28"/>
  <c r="G9" i="28"/>
  <c r="G7" i="28"/>
  <c r="G3" i="28"/>
  <c r="L179" i="27"/>
  <c r="L199" i="27" s="1"/>
  <c r="L172" i="27"/>
  <c r="K21" i="27"/>
  <c r="K37" i="27" s="1"/>
  <c r="K172" i="27"/>
  <c r="K145" i="27"/>
  <c r="L125" i="27"/>
  <c r="L145" i="27" s="1"/>
  <c r="K118" i="27"/>
  <c r="L118" i="27"/>
  <c r="K91" i="27"/>
  <c r="L71" i="27"/>
  <c r="L91" i="27" s="1"/>
  <c r="K64" i="27"/>
  <c r="L64" i="27"/>
  <c r="I199" i="27"/>
  <c r="I152" i="27"/>
  <c r="I172" i="27" s="1"/>
  <c r="I125" i="27"/>
  <c r="I145" i="27" s="1"/>
  <c r="I98" i="27"/>
  <c r="I118" i="27" s="1"/>
  <c r="H19" i="27"/>
  <c r="H37" i="27" s="1"/>
  <c r="H91" i="27"/>
  <c r="I71" i="27"/>
  <c r="I91" i="27" s="1"/>
  <c r="H64" i="27"/>
  <c r="I64" i="27"/>
  <c r="F125" i="27"/>
  <c r="F145" i="27" s="1"/>
  <c r="F98" i="27"/>
  <c r="F118" i="27" s="1"/>
  <c r="F71" i="27"/>
  <c r="F91" i="27" s="1"/>
  <c r="F44" i="27"/>
  <c r="F64" i="27" s="1"/>
  <c r="G5" i="27" s="1"/>
  <c r="O179" i="26"/>
  <c r="O199" i="26" s="1"/>
  <c r="N172" i="26"/>
  <c r="O152" i="26"/>
  <c r="O172" i="26" s="1"/>
  <c r="O145" i="26"/>
  <c r="N145" i="26"/>
  <c r="O111" i="26"/>
  <c r="O31" i="26" s="1"/>
  <c r="N118" i="26"/>
  <c r="O118" i="26"/>
  <c r="O77" i="26"/>
  <c r="O21" i="26" s="1"/>
  <c r="N91" i="26"/>
  <c r="O71" i="26"/>
  <c r="N28" i="26"/>
  <c r="N37" i="26" s="1"/>
  <c r="O44" i="26"/>
  <c r="F37" i="27"/>
  <c r="N37" i="27"/>
  <c r="E37" i="27"/>
  <c r="L37" i="27"/>
  <c r="I37" i="27"/>
  <c r="G7" i="27"/>
  <c r="G9" i="27"/>
  <c r="K31" i="26"/>
  <c r="K27" i="26"/>
  <c r="K64" i="26"/>
  <c r="K172" i="26"/>
  <c r="L152" i="26"/>
  <c r="L172" i="26" s="1"/>
  <c r="K145" i="26"/>
  <c r="L125" i="26"/>
  <c r="L145" i="26" s="1"/>
  <c r="L104" i="26"/>
  <c r="L24" i="26" s="1"/>
  <c r="K118" i="26"/>
  <c r="L118" i="26"/>
  <c r="K91" i="26"/>
  <c r="L91" i="26"/>
  <c r="L44" i="26"/>
  <c r="K28" i="26"/>
  <c r="I152" i="26"/>
  <c r="I172" i="26" s="1"/>
  <c r="I125" i="26"/>
  <c r="I145" i="26" s="1"/>
  <c r="I98" i="26"/>
  <c r="I118" i="26" s="1"/>
  <c r="I71" i="26"/>
  <c r="I91" i="26" s="1"/>
  <c r="H17" i="26"/>
  <c r="H37" i="26" s="1"/>
  <c r="I44" i="26"/>
  <c r="F44" i="26"/>
  <c r="H199" i="25"/>
  <c r="I179" i="25"/>
  <c r="I199" i="25" s="1"/>
  <c r="H172" i="25"/>
  <c r="I152" i="25"/>
  <c r="I172" i="25" s="1"/>
  <c r="H118" i="25"/>
  <c r="I98" i="25"/>
  <c r="I118" i="25" s="1"/>
  <c r="H91" i="25"/>
  <c r="I71" i="25"/>
  <c r="I91" i="25" s="1"/>
  <c r="I125" i="25"/>
  <c r="I145" i="25" s="1"/>
  <c r="H64" i="25"/>
  <c r="I64" i="25"/>
  <c r="E37" i="26"/>
  <c r="O179" i="25"/>
  <c r="O199" i="25" s="1"/>
  <c r="O152" i="25"/>
  <c r="O172" i="25" s="1"/>
  <c r="O71" i="25"/>
  <c r="O91" i="25" s="1"/>
  <c r="O44" i="25"/>
  <c r="O64" i="25" s="1"/>
  <c r="G3" i="26"/>
  <c r="G9" i="26"/>
  <c r="L145" i="25"/>
  <c r="F64" i="25"/>
  <c r="O179" i="24"/>
  <c r="O199" i="24" s="1"/>
  <c r="O172" i="24"/>
  <c r="O20" i="24"/>
  <c r="N172" i="24"/>
  <c r="N145" i="24"/>
  <c r="N118" i="24"/>
  <c r="O71" i="24"/>
  <c r="O18" i="24" s="1"/>
  <c r="N18" i="24"/>
  <c r="O56" i="24"/>
  <c r="O17" i="24" s="1"/>
  <c r="N64" i="24"/>
  <c r="L37" i="25"/>
  <c r="F37" i="25"/>
  <c r="K37" i="25"/>
  <c r="O37" i="25"/>
  <c r="H37" i="25"/>
  <c r="N37" i="25"/>
  <c r="E37" i="25"/>
  <c r="I37" i="25"/>
  <c r="G5" i="25"/>
  <c r="G7" i="25"/>
  <c r="G3" i="25"/>
  <c r="G9" i="25"/>
  <c r="I45" i="24"/>
  <c r="F46" i="24"/>
  <c r="L46" i="24"/>
  <c r="I47" i="24"/>
  <c r="F48" i="24"/>
  <c r="I49" i="24"/>
  <c r="F50" i="24"/>
  <c r="F52" i="24"/>
  <c r="L53" i="24"/>
  <c r="L55" i="24"/>
  <c r="I56" i="24"/>
  <c r="I17" i="24" s="1"/>
  <c r="L57" i="24"/>
  <c r="L59" i="24"/>
  <c r="I60" i="24"/>
  <c r="F61" i="24"/>
  <c r="I62" i="24"/>
  <c r="F153" i="24"/>
  <c r="L154" i="24"/>
  <c r="F155" i="24"/>
  <c r="F172" i="24" s="1"/>
  <c r="I156" i="24"/>
  <c r="I158" i="24"/>
  <c r="L159" i="24"/>
  <c r="F160" i="24"/>
  <c r="L161" i="24"/>
  <c r="F162" i="24"/>
  <c r="I165" i="24"/>
  <c r="I167" i="24"/>
  <c r="L168" i="24"/>
  <c r="F169" i="24"/>
  <c r="L170" i="24"/>
  <c r="F171" i="24"/>
  <c r="F19" i="24" s="1"/>
  <c r="I181" i="24"/>
  <c r="L182" i="24"/>
  <c r="F183" i="24"/>
  <c r="L184" i="24"/>
  <c r="F185" i="24"/>
  <c r="I188" i="24"/>
  <c r="I190" i="24"/>
  <c r="L191" i="24"/>
  <c r="F192" i="24"/>
  <c r="L193" i="24"/>
  <c r="F194" i="24"/>
  <c r="I195" i="24"/>
  <c r="I197" i="24"/>
  <c r="L198" i="24"/>
  <c r="O64" i="24"/>
  <c r="L45" i="24"/>
  <c r="L47" i="24"/>
  <c r="I48" i="24"/>
  <c r="L49" i="24"/>
  <c r="L51" i="24"/>
  <c r="I52" i="24"/>
  <c r="F53" i="24"/>
  <c r="I54" i="24"/>
  <c r="F57" i="24"/>
  <c r="F59" i="24"/>
  <c r="L60" i="24"/>
  <c r="F63" i="24"/>
  <c r="F118" i="24"/>
  <c r="O118" i="24"/>
  <c r="F145" i="24"/>
  <c r="O145" i="24"/>
  <c r="I153" i="24"/>
  <c r="I155" i="24"/>
  <c r="L156" i="24"/>
  <c r="F157" i="24"/>
  <c r="L158" i="24"/>
  <c r="F159" i="24"/>
  <c r="I160" i="24"/>
  <c r="I162" i="24"/>
  <c r="L163" i="24"/>
  <c r="F164" i="24"/>
  <c r="F21" i="24" s="1"/>
  <c r="L165" i="24"/>
  <c r="I169" i="24"/>
  <c r="I171" i="24"/>
  <c r="I19" i="24" s="1"/>
  <c r="F180" i="24"/>
  <c r="F199" i="24" s="1"/>
  <c r="L181" i="24"/>
  <c r="F182" i="24"/>
  <c r="I183" i="24"/>
  <c r="I185" i="24"/>
  <c r="L186" i="24"/>
  <c r="F187" i="24"/>
  <c r="L188" i="24"/>
  <c r="F189" i="24"/>
  <c r="I192" i="24"/>
  <c r="I194" i="24"/>
  <c r="L195" i="24"/>
  <c r="F196" i="24"/>
  <c r="L197" i="24"/>
  <c r="L61" i="24"/>
  <c r="L63" i="24"/>
  <c r="O91" i="24"/>
  <c r="K199" i="24"/>
  <c r="L179" i="24"/>
  <c r="L199" i="24" s="1"/>
  <c r="G9" i="24" s="1"/>
  <c r="K172" i="24"/>
  <c r="L152" i="24"/>
  <c r="K145" i="24"/>
  <c r="L125" i="24"/>
  <c r="L145" i="24" s="1"/>
  <c r="K118" i="24"/>
  <c r="L98" i="24"/>
  <c r="L118" i="24" s="1"/>
  <c r="L91" i="24"/>
  <c r="L18" i="24"/>
  <c r="K91" i="24"/>
  <c r="K64" i="24"/>
  <c r="L44" i="24"/>
  <c r="I179" i="24"/>
  <c r="I199" i="24" s="1"/>
  <c r="I152" i="24"/>
  <c r="I125" i="24"/>
  <c r="I145" i="24" s="1"/>
  <c r="I98" i="24"/>
  <c r="I118" i="24" s="1"/>
  <c r="I71" i="24"/>
  <c r="H18" i="24"/>
  <c r="H37" i="24" s="1"/>
  <c r="I44" i="24"/>
  <c r="F71" i="24"/>
  <c r="E22" i="24"/>
  <c r="E37" i="24" s="1"/>
  <c r="E64" i="24"/>
  <c r="F44" i="24"/>
  <c r="K37" i="24"/>
  <c r="N37" i="24"/>
  <c r="G3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I64" i="6" s="1"/>
  <c r="K44" i="6"/>
  <c r="K64" i="6" s="1"/>
  <c r="L44" i="6"/>
  <c r="N44" i="6"/>
  <c r="O44" i="6"/>
  <c r="O64" i="6" s="1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N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39" l="1"/>
  <c r="I37" i="38"/>
  <c r="I118" i="38"/>
  <c r="G3" i="38" s="1"/>
  <c r="O64" i="37"/>
  <c r="O26" i="37"/>
  <c r="O37" i="37" s="1"/>
  <c r="G11" i="38"/>
  <c r="I64" i="37"/>
  <c r="I26" i="37"/>
  <c r="I37" i="37" s="1"/>
  <c r="F64" i="37"/>
  <c r="G5" i="37" s="1"/>
  <c r="F26" i="37"/>
  <c r="F37" i="37" s="1"/>
  <c r="G11" i="36"/>
  <c r="G5" i="35"/>
  <c r="G11" i="35"/>
  <c r="L172" i="34"/>
  <c r="O64" i="33"/>
  <c r="O23" i="33"/>
  <c r="O37" i="33" s="1"/>
  <c r="G11" i="34"/>
  <c r="I64" i="33"/>
  <c r="G5" i="33" s="1"/>
  <c r="I23" i="33"/>
  <c r="I37" i="33" s="1"/>
  <c r="L37" i="32"/>
  <c r="G11" i="32" s="1"/>
  <c r="G3" i="32"/>
  <c r="O64" i="31"/>
  <c r="G5" i="31" s="1"/>
  <c r="N37" i="30"/>
  <c r="G11" i="31"/>
  <c r="L37" i="30"/>
  <c r="L118" i="30"/>
  <c r="G3" i="30" s="1"/>
  <c r="I37" i="30"/>
  <c r="I91" i="30"/>
  <c r="F91" i="30"/>
  <c r="G7" i="30" s="1"/>
  <c r="F23" i="30"/>
  <c r="F37" i="30" s="1"/>
  <c r="O37" i="29"/>
  <c r="G11" i="29" s="1"/>
  <c r="O91" i="29"/>
  <c r="G7" i="29" s="1"/>
  <c r="G5" i="29"/>
  <c r="G11" i="28"/>
  <c r="O91" i="26"/>
  <c r="O64" i="26"/>
  <c r="O28" i="26"/>
  <c r="O37" i="26" s="1"/>
  <c r="G11" i="27"/>
  <c r="K37" i="26"/>
  <c r="G7" i="26"/>
  <c r="L64" i="26"/>
  <c r="L28" i="26"/>
  <c r="L37" i="26" s="1"/>
  <c r="I64" i="26"/>
  <c r="I28" i="26"/>
  <c r="I37" i="26" s="1"/>
  <c r="F64" i="26"/>
  <c r="G5" i="26" s="1"/>
  <c r="F28" i="26"/>
  <c r="F37" i="26" s="1"/>
  <c r="O37" i="24"/>
  <c r="G11" i="25"/>
  <c r="L64" i="24"/>
  <c r="G5" i="24" s="1"/>
  <c r="F64" i="24"/>
  <c r="I64" i="24"/>
  <c r="L172" i="24"/>
  <c r="L20" i="24"/>
  <c r="L37" i="24" s="1"/>
  <c r="I172" i="24"/>
  <c r="I20" i="24"/>
  <c r="I91" i="24"/>
  <c r="I18" i="24"/>
  <c r="F91" i="24"/>
  <c r="G7" i="24" s="1"/>
  <c r="F18" i="24"/>
  <c r="F37" i="24" s="1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37" l="1"/>
  <c r="G11" i="33"/>
  <c r="G11" i="30"/>
  <c r="G11" i="26"/>
  <c r="I37" i="24"/>
  <c r="G11" i="24" s="1"/>
  <c r="G11" i="23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N27" i="9"/>
  <c r="H162" i="9"/>
  <c r="I231" i="9"/>
  <c r="C85" i="9"/>
  <c r="H275" i="9"/>
  <c r="E158" i="9"/>
  <c r="N24" i="9"/>
  <c r="L262" i="9"/>
  <c r="K280" i="9"/>
  <c r="F22" i="9"/>
  <c r="K46" i="9"/>
  <c r="H62" i="9"/>
  <c r="I178" i="9"/>
  <c r="F273" i="9"/>
  <c r="O253" i="9"/>
  <c r="E152" i="9"/>
  <c r="H46" i="9"/>
  <c r="H147" i="9"/>
  <c r="N184" i="9"/>
  <c r="N87" i="9"/>
  <c r="O68" i="9"/>
  <c r="E33" i="9"/>
  <c r="K113" i="9"/>
  <c r="I106" i="9"/>
  <c r="K238" i="9"/>
  <c r="H240" i="9"/>
  <c r="K256" i="9"/>
  <c r="L88" i="9"/>
  <c r="K140" i="9"/>
  <c r="C101" i="9"/>
  <c r="O35" i="9"/>
  <c r="K258" i="9"/>
  <c r="C280" i="9"/>
  <c r="F255" i="9"/>
  <c r="C109" i="9"/>
  <c r="N51" i="9"/>
  <c r="K237" i="9"/>
  <c r="I147" i="9"/>
  <c r="L266" i="9"/>
  <c r="K155" i="9"/>
  <c r="F274" i="9"/>
  <c r="C271" i="9"/>
  <c r="L240" i="9"/>
  <c r="N76" i="9"/>
  <c r="K188" i="9"/>
  <c r="I140" i="9"/>
  <c r="K30" i="9"/>
  <c r="C41" i="9"/>
  <c r="L106" i="9"/>
  <c r="C233" i="9"/>
  <c r="C252" i="9"/>
  <c r="F227" i="9"/>
  <c r="E278" i="9"/>
  <c r="F61" i="9"/>
  <c r="N85" i="9"/>
  <c r="C66" i="9"/>
  <c r="O265" i="9"/>
  <c r="E268" i="9"/>
  <c r="L254" i="9"/>
  <c r="N185" i="9"/>
  <c r="O98" i="9"/>
  <c r="E84" i="9"/>
  <c r="K29" i="9"/>
  <c r="K120" i="9"/>
  <c r="K229" i="9"/>
  <c r="N226" i="9"/>
  <c r="K265" i="9"/>
  <c r="F180" i="9"/>
  <c r="C231" i="9"/>
  <c r="E112" i="9"/>
  <c r="O212" i="9"/>
  <c r="K183" i="9"/>
  <c r="N260" i="9"/>
  <c r="H41" i="9"/>
  <c r="F229" i="9"/>
  <c r="C52" i="9"/>
  <c r="F73" i="9"/>
  <c r="F47" i="9"/>
  <c r="I158" i="9"/>
  <c r="C260" i="9"/>
  <c r="E101" i="9"/>
  <c r="H51" i="9"/>
  <c r="H164" i="9"/>
  <c r="H98" i="9"/>
  <c r="C50" i="9"/>
  <c r="H100" i="9"/>
  <c r="F186" i="9"/>
  <c r="E79" i="9"/>
  <c r="H136" i="9"/>
  <c r="K225" i="9"/>
  <c r="L265" i="9"/>
  <c r="O238" i="9"/>
  <c r="O58" i="3"/>
  <c r="K181" i="9"/>
  <c r="E39" i="9"/>
  <c r="F106" i="9"/>
  <c r="H220" i="9"/>
  <c r="F148" i="9"/>
  <c r="H269" i="9"/>
  <c r="N40" i="9"/>
  <c r="C184" i="9"/>
  <c r="H256" i="9"/>
  <c r="C158" i="9"/>
  <c r="N239" i="9"/>
  <c r="L252" i="9"/>
  <c r="K122" i="9"/>
  <c r="N23" i="9"/>
  <c r="H229" i="9"/>
  <c r="O231" i="9"/>
  <c r="O33" i="3"/>
  <c r="I47" i="9"/>
  <c r="E229" i="9"/>
  <c r="O74" i="9"/>
  <c r="L113" i="9"/>
  <c r="K51" i="9"/>
  <c r="G74" i="3"/>
  <c r="F177" i="9"/>
  <c r="H76" i="9"/>
  <c r="I165" i="9"/>
  <c r="I43" i="9"/>
  <c r="F278" i="9"/>
  <c r="N38" i="9"/>
  <c r="O139" i="9"/>
  <c r="N276" i="9"/>
  <c r="K106" i="9"/>
  <c r="O69" i="9"/>
  <c r="F60" i="9"/>
  <c r="N32" i="9"/>
  <c r="K50" i="3"/>
  <c r="N200" i="9"/>
  <c r="O182" i="9"/>
  <c r="N187" i="9"/>
  <c r="K197" i="9"/>
  <c r="E141" i="9"/>
  <c r="O160" i="9"/>
  <c r="F80" i="9"/>
  <c r="N103" i="9"/>
  <c r="L136" i="9"/>
  <c r="O109" i="9"/>
  <c r="N123" i="9"/>
  <c r="K121" i="9"/>
  <c r="N26" i="9"/>
  <c r="H277" i="9"/>
  <c r="I88" i="9"/>
  <c r="K235" i="9"/>
  <c r="E125" i="9"/>
  <c r="O227" i="9"/>
  <c r="N81" i="9"/>
  <c r="C145" i="9"/>
  <c r="C139" i="9"/>
  <c r="F216" i="9"/>
  <c r="L138" i="9"/>
  <c r="K260" i="9"/>
  <c r="E143" i="9"/>
  <c r="H43" i="9"/>
  <c r="E64" i="9"/>
  <c r="H259" i="9"/>
  <c r="N104" i="9"/>
  <c r="E272" i="9"/>
  <c r="L105" i="9"/>
  <c r="I124" i="9"/>
  <c r="O146" i="9"/>
  <c r="O125" i="9"/>
  <c r="O56" i="3"/>
  <c r="I33" i="9"/>
  <c r="C42" i="9"/>
  <c r="O197" i="9"/>
  <c r="E230" i="9"/>
  <c r="O76" i="9"/>
  <c r="C22" i="9"/>
  <c r="K262" i="9"/>
  <c r="I81" i="9"/>
  <c r="K240" i="9"/>
  <c r="H278" i="9"/>
  <c r="F84" i="9"/>
  <c r="C270" i="9"/>
  <c r="C49" i="9"/>
  <c r="H83" i="9"/>
  <c r="K159" i="9"/>
  <c r="E179" i="9"/>
  <c r="F28" i="9"/>
  <c r="F200" i="9"/>
  <c r="L268" i="9"/>
  <c r="E69" i="9"/>
  <c r="E118" i="9"/>
  <c r="L77" i="9"/>
  <c r="H165" i="9"/>
  <c r="C181" i="9"/>
  <c r="E250" i="9"/>
  <c r="K6" i="3"/>
  <c r="O136" i="9"/>
  <c r="K250" i="9"/>
  <c r="N254" i="9"/>
  <c r="E196" i="9"/>
  <c r="O101" i="9"/>
  <c r="E44" i="9"/>
  <c r="F269" i="9"/>
  <c r="C108" i="9"/>
  <c r="C70" i="9"/>
  <c r="C89" i="9"/>
  <c r="F39" i="9"/>
  <c r="H271" i="9"/>
  <c r="N216" i="9"/>
  <c r="C264" i="9"/>
  <c r="C24" i="9"/>
  <c r="N271" i="9"/>
  <c r="E83" i="9"/>
  <c r="E27" i="9"/>
  <c r="I127" i="9"/>
  <c r="C105" i="9"/>
  <c r="N45" i="9"/>
  <c r="L152" i="9"/>
  <c r="L40" i="9"/>
  <c r="L65" i="9"/>
  <c r="C147" i="9"/>
  <c r="F231" i="9"/>
  <c r="C203" i="9"/>
  <c r="I98" i="9"/>
  <c r="N125" i="9"/>
  <c r="K62" i="3"/>
  <c r="E138" i="9"/>
  <c r="K60" i="9"/>
  <c r="H85" i="9"/>
  <c r="C156" i="9"/>
  <c r="K68" i="9"/>
  <c r="C98" i="9"/>
  <c r="K22" i="5"/>
  <c r="F259" i="9"/>
  <c r="H265" i="9"/>
  <c r="I146" i="9"/>
  <c r="K251" i="9"/>
  <c r="L38" i="9"/>
  <c r="K275" i="9"/>
  <c r="K11" i="5"/>
  <c r="I154" i="9"/>
  <c r="E177" i="9"/>
  <c r="N33" i="9"/>
  <c r="O200" i="9"/>
  <c r="L192" i="9"/>
  <c r="I200" i="9"/>
  <c r="I152" i="9"/>
  <c r="K264" i="9"/>
  <c r="F195" i="9"/>
  <c r="K200" i="9"/>
  <c r="N47" i="9"/>
  <c r="C39" i="9"/>
  <c r="C79" i="9"/>
  <c r="N70" i="9"/>
  <c r="C259" i="9"/>
  <c r="N232" i="9"/>
  <c r="L139" i="9"/>
  <c r="I119" i="9"/>
  <c r="I257" i="9"/>
  <c r="K24" i="3"/>
  <c r="H253" i="9"/>
  <c r="H190" i="9"/>
  <c r="I279" i="9"/>
  <c r="I271" i="9"/>
  <c r="K176" i="9"/>
  <c r="K268" i="9"/>
  <c r="I255" i="9"/>
  <c r="K38" i="9"/>
  <c r="L261" i="9"/>
  <c r="H82" i="9"/>
  <c r="L239" i="9"/>
  <c r="N99" i="9"/>
  <c r="N50" i="9"/>
  <c r="C267" i="9"/>
  <c r="H157" i="9"/>
  <c r="I254" i="9"/>
  <c r="K190" i="9"/>
  <c r="O103" i="9"/>
  <c r="O87" i="9"/>
  <c r="F149" i="9"/>
  <c r="F212" i="9"/>
  <c r="E121" i="9"/>
  <c r="E122" i="9"/>
  <c r="N42" i="9"/>
  <c r="L218" i="9"/>
  <c r="E178" i="9"/>
  <c r="K105" i="9"/>
  <c r="F158" i="9"/>
  <c r="L271" i="9"/>
  <c r="N147" i="9"/>
  <c r="K142" i="9"/>
  <c r="L101" i="9"/>
  <c r="G61" i="3"/>
  <c r="L212" i="9"/>
  <c r="F103" i="9"/>
  <c r="K86" i="9"/>
  <c r="I251" i="9"/>
  <c r="E160" i="9"/>
  <c r="L225" i="9"/>
  <c r="K257" i="9"/>
  <c r="C255" i="9"/>
  <c r="N238" i="9"/>
  <c r="O49" i="9"/>
  <c r="L108" i="9"/>
  <c r="N80" i="9"/>
  <c r="F192" i="9"/>
  <c r="L162" i="9"/>
  <c r="F266" i="9"/>
  <c r="F225" i="9"/>
  <c r="K11" i="3"/>
  <c r="I234" i="9"/>
  <c r="K272" i="9"/>
  <c r="O48" i="3"/>
  <c r="K74" i="9"/>
  <c r="L35" i="9"/>
  <c r="O203" i="9"/>
  <c r="N30" i="9"/>
  <c r="N201" i="9"/>
  <c r="L215" i="9"/>
  <c r="I24" i="9"/>
  <c r="O72" i="9"/>
  <c r="O177" i="9"/>
  <c r="O148" i="9"/>
  <c r="N165" i="9"/>
  <c r="L36" i="9"/>
  <c r="E75" i="9"/>
  <c r="O50" i="9"/>
  <c r="I220" i="9"/>
  <c r="C71" i="9"/>
  <c r="O110" i="9"/>
  <c r="F178" i="9"/>
  <c r="C240" i="9"/>
  <c r="N268" i="9"/>
  <c r="F102" i="9"/>
  <c r="F42" i="9"/>
  <c r="L78" i="9"/>
  <c r="K10" i="5"/>
  <c r="O36" i="9"/>
  <c r="E153" i="9"/>
  <c r="N100" i="9"/>
  <c r="F257" i="9"/>
  <c r="E36" i="9"/>
  <c r="L154" i="9"/>
  <c r="K77" i="9"/>
  <c r="N121" i="9"/>
  <c r="H120" i="9"/>
  <c r="C83" i="9"/>
  <c r="O179" i="9"/>
  <c r="F182" i="9"/>
  <c r="K45" i="3"/>
  <c r="F109" i="9"/>
  <c r="F183" i="9"/>
  <c r="E182" i="9"/>
  <c r="N280" i="9"/>
  <c r="L146" i="9"/>
  <c r="O41" i="9"/>
  <c r="N222" i="9"/>
  <c r="H26" i="9"/>
  <c r="K72" i="3"/>
  <c r="K61" i="3"/>
  <c r="H107" i="9"/>
  <c r="O116" i="9"/>
  <c r="L153" i="9"/>
  <c r="E145" i="9"/>
  <c r="E242" i="9"/>
  <c r="L160" i="9"/>
  <c r="O228" i="9"/>
  <c r="O237" i="9"/>
  <c r="I138" i="9"/>
  <c r="O159" i="9"/>
  <c r="H194" i="9"/>
  <c r="K7" i="5"/>
  <c r="H102" i="9"/>
  <c r="H254" i="9"/>
  <c r="F174" i="9"/>
  <c r="I194" i="9"/>
  <c r="K187" i="9"/>
  <c r="K64" i="3"/>
  <c r="K124" i="9"/>
  <c r="I116" i="9"/>
  <c r="K46" i="3"/>
  <c r="K45" i="9"/>
  <c r="F185" i="9"/>
  <c r="I164" i="9"/>
  <c r="C100" i="9"/>
  <c r="K32" i="9"/>
  <c r="N122" i="9"/>
  <c r="C140" i="9"/>
  <c r="K277" i="9"/>
  <c r="F237" i="9"/>
  <c r="O150" i="9"/>
  <c r="H221" i="9"/>
  <c r="L121" i="9"/>
  <c r="I76" i="9"/>
  <c r="K18" i="3"/>
  <c r="I199" i="9"/>
  <c r="O144" i="9"/>
  <c r="N204" i="9"/>
  <c r="I142" i="9"/>
  <c r="N257" i="9"/>
  <c r="N160" i="9"/>
  <c r="K100" i="9"/>
  <c r="H146" i="9"/>
  <c r="H65" i="9"/>
  <c r="E90" i="9"/>
  <c r="F77" i="9"/>
  <c r="C23" i="9"/>
  <c r="K58" i="3"/>
  <c r="K144" i="9"/>
  <c r="K266" i="9"/>
  <c r="H224" i="9"/>
  <c r="C27" i="9"/>
  <c r="L29" i="9"/>
  <c r="K253" i="9"/>
  <c r="K115" i="9"/>
  <c r="H264" i="9"/>
  <c r="E120" i="9"/>
  <c r="F150" i="9"/>
  <c r="I225" i="9"/>
  <c r="K228" i="9"/>
  <c r="E127" i="9"/>
  <c r="L151" i="9"/>
  <c r="K261" i="9"/>
  <c r="E225" i="9"/>
  <c r="O175" i="9"/>
  <c r="K73" i="3"/>
  <c r="F143" i="9"/>
  <c r="I182" i="9"/>
  <c r="I104" i="9"/>
  <c r="G41" i="3"/>
  <c r="L80" i="9"/>
  <c r="H192" i="9"/>
  <c r="O38" i="3"/>
  <c r="L22" i="9"/>
  <c r="L140" i="9"/>
  <c r="C254" i="9"/>
  <c r="H101" i="9"/>
  <c r="O68" i="3"/>
  <c r="C137" i="9"/>
  <c r="C277" i="9"/>
  <c r="F123" i="9"/>
  <c r="I229" i="9"/>
  <c r="O66" i="9"/>
  <c r="O262" i="9"/>
  <c r="F76" i="9"/>
  <c r="O196" i="9"/>
  <c r="O222" i="9"/>
  <c r="F175" i="9"/>
  <c r="L142" i="9"/>
  <c r="K49" i="9"/>
  <c r="H268" i="9"/>
  <c r="H90" i="9"/>
  <c r="N277" i="9"/>
  <c r="K193" i="9"/>
  <c r="C275" i="9"/>
  <c r="C269" i="9"/>
  <c r="F62" i="9"/>
  <c r="N192" i="9"/>
  <c r="N236" i="9"/>
  <c r="K274" i="9"/>
  <c r="O234" i="9"/>
  <c r="C86" i="9"/>
  <c r="E106" i="9"/>
  <c r="E63" i="9"/>
  <c r="L165" i="9"/>
  <c r="G58" i="3"/>
  <c r="O180" i="9"/>
  <c r="C176" i="9"/>
  <c r="L260" i="9"/>
  <c r="N61" i="9"/>
  <c r="C186" i="9"/>
  <c r="L195" i="9"/>
  <c r="I39" i="9"/>
  <c r="H203" i="9"/>
  <c r="O124" i="9"/>
  <c r="H191" i="9"/>
  <c r="O259" i="9"/>
  <c r="I25" i="9"/>
  <c r="H79" i="9"/>
  <c r="L155" i="9"/>
  <c r="E214" i="9"/>
  <c r="L178" i="9"/>
  <c r="E151" i="9"/>
  <c r="O106" i="9"/>
  <c r="C234" i="9"/>
  <c r="O41" i="3"/>
  <c r="E98" i="9"/>
  <c r="N111" i="9"/>
  <c r="O62" i="3"/>
  <c r="N77" i="9"/>
  <c r="N43" i="9"/>
  <c r="F34" i="9"/>
  <c r="F228" i="9"/>
  <c r="H231" i="9"/>
  <c r="I41" i="9"/>
  <c r="H158" i="9"/>
  <c r="I108" i="9"/>
  <c r="O25" i="9"/>
  <c r="K71" i="9"/>
  <c r="N202" i="9"/>
  <c r="K212" i="9"/>
  <c r="N65" i="9"/>
  <c r="I203" i="9"/>
  <c r="I30" i="9"/>
  <c r="I267" i="9"/>
  <c r="I212" i="9"/>
  <c r="N190" i="9"/>
  <c r="F155" i="9"/>
  <c r="C216" i="9"/>
  <c r="O30" i="9"/>
  <c r="K98" i="9"/>
  <c r="O39" i="3"/>
  <c r="H193" i="9"/>
  <c r="L250" i="9"/>
  <c r="N137" i="9"/>
  <c r="N198" i="9"/>
  <c r="I218" i="9"/>
  <c r="O236" i="9"/>
  <c r="N180" i="9"/>
  <c r="N36" i="9"/>
  <c r="I222" i="9"/>
  <c r="L277" i="9"/>
  <c r="L275" i="9"/>
  <c r="C25" i="9"/>
  <c r="C226" i="9"/>
  <c r="L61" i="9"/>
  <c r="F120" i="9"/>
  <c r="N265" i="9"/>
  <c r="N161" i="9"/>
  <c r="L194" i="9"/>
  <c r="C229" i="9"/>
  <c r="I215" i="9"/>
  <c r="C162" i="9"/>
  <c r="O66" i="3"/>
  <c r="K215" i="9"/>
  <c r="K157" i="9"/>
  <c r="N191" i="9"/>
  <c r="O85" i="9"/>
  <c r="K149" i="9"/>
  <c r="L115" i="9"/>
  <c r="L166" i="9"/>
  <c r="H155" i="9"/>
  <c r="H31" i="9"/>
  <c r="F215" i="9"/>
  <c r="I175" i="9"/>
  <c r="I69" i="9"/>
  <c r="K102" i="9"/>
  <c r="N234" i="9"/>
  <c r="H25" i="9"/>
  <c r="H166" i="9"/>
  <c r="E184" i="9"/>
  <c r="E71" i="9"/>
  <c r="I100" i="9"/>
  <c r="N267" i="9"/>
  <c r="E46" i="9"/>
  <c r="H28" i="9"/>
  <c r="K71" i="3"/>
  <c r="E200" i="9"/>
  <c r="E199" i="9"/>
  <c r="N256" i="9"/>
  <c r="K116" i="9"/>
  <c r="I149" i="9"/>
  <c r="O107" i="9"/>
  <c r="O102" i="9"/>
  <c r="I87" i="9"/>
  <c r="C87" i="9"/>
  <c r="I270" i="9"/>
  <c r="I159" i="9"/>
  <c r="I252" i="9"/>
  <c r="O216" i="9"/>
  <c r="F45" i="9"/>
  <c r="E231" i="9"/>
  <c r="E258" i="9"/>
  <c r="E35" i="9"/>
  <c r="I101" i="9"/>
  <c r="F166" i="9"/>
  <c r="H178" i="9"/>
  <c r="N263" i="9"/>
  <c r="K218" i="9"/>
  <c r="F79" i="9"/>
  <c r="I216" i="9"/>
  <c r="C217" i="9"/>
  <c r="C221" i="9"/>
  <c r="H200" i="9"/>
  <c r="C123" i="9"/>
  <c r="N69" i="9"/>
  <c r="F265" i="9"/>
  <c r="I184" i="9"/>
  <c r="L26" i="9"/>
  <c r="F264" i="9"/>
  <c r="F217" i="9"/>
  <c r="I107" i="9"/>
  <c r="E217" i="9"/>
  <c r="H232" i="9"/>
  <c r="K37" i="3"/>
  <c r="C32" i="9"/>
  <c r="E155" i="9"/>
  <c r="K49" i="3"/>
  <c r="N203" i="9"/>
  <c r="O195" i="9"/>
  <c r="E221" i="9"/>
  <c r="H161" i="9"/>
  <c r="K236" i="9"/>
  <c r="L47" i="9"/>
  <c r="E156" i="9"/>
  <c r="N253" i="9"/>
  <c r="L31" i="9"/>
  <c r="L76" i="9"/>
  <c r="K22" i="3"/>
  <c r="L116" i="9"/>
  <c r="C242" i="9"/>
  <c r="N79" i="9"/>
  <c r="O181" i="9"/>
  <c r="E192" i="9"/>
  <c r="I125" i="9"/>
  <c r="O254" i="9"/>
  <c r="I136" i="9"/>
  <c r="N78" i="9"/>
  <c r="I237" i="9"/>
  <c r="F66" i="9"/>
  <c r="K24" i="5"/>
  <c r="F78" i="9"/>
  <c r="L89" i="9"/>
  <c r="N72" i="9"/>
  <c r="H42" i="9"/>
  <c r="N110" i="9"/>
  <c r="K16" i="3"/>
  <c r="E165" i="9"/>
  <c r="O226" i="9"/>
  <c r="C198" i="9"/>
  <c r="H33" i="9"/>
  <c r="L227" i="9"/>
  <c r="L72" i="9"/>
  <c r="C223" i="9"/>
  <c r="L147" i="9"/>
  <c r="N269" i="9"/>
  <c r="O47" i="3"/>
  <c r="C37" i="9"/>
  <c r="I102" i="9"/>
  <c r="O32" i="3"/>
  <c r="N163" i="9"/>
  <c r="K14" i="3"/>
  <c r="I183" i="9"/>
  <c r="E189" i="9"/>
  <c r="N219" i="9"/>
  <c r="F25" i="9"/>
  <c r="H214" i="9"/>
  <c r="N106" i="9"/>
  <c r="F224" i="9"/>
  <c r="I213" i="9"/>
  <c r="I162" i="9"/>
  <c r="H236" i="9"/>
  <c r="O240" i="9"/>
  <c r="L176" i="9"/>
  <c r="H150" i="9"/>
  <c r="K103" i="9"/>
  <c r="F251" i="9"/>
  <c r="O50" i="3"/>
  <c r="F218" i="9"/>
  <c r="N90" i="9"/>
  <c r="C187" i="9"/>
  <c r="I51" i="9"/>
  <c r="K279" i="9"/>
  <c r="H137" i="9"/>
  <c r="E140" i="9"/>
  <c r="I214" i="9"/>
  <c r="N28" i="9"/>
  <c r="O279" i="9"/>
  <c r="O154" i="9"/>
  <c r="L107" i="9"/>
  <c r="G68" i="3"/>
  <c r="E270" i="9"/>
  <c r="F275" i="9"/>
  <c r="K234" i="9"/>
  <c r="N237" i="9"/>
  <c r="H63" i="9"/>
  <c r="E107" i="9"/>
  <c r="K138" i="9"/>
  <c r="F100" i="9"/>
  <c r="E159" i="9"/>
  <c r="O75" i="9"/>
  <c r="N62" i="9"/>
  <c r="H174" i="9"/>
  <c r="C88" i="9"/>
  <c r="O230" i="9"/>
  <c r="O112" i="9"/>
  <c r="L234" i="9"/>
  <c r="E262" i="9"/>
  <c r="H29" i="9"/>
  <c r="C159" i="9"/>
  <c r="C154" i="9"/>
  <c r="K40" i="3"/>
  <c r="O252" i="9"/>
  <c r="F280" i="9"/>
  <c r="N22" i="9"/>
  <c r="C65" i="9"/>
  <c r="C74" i="9"/>
  <c r="F23" i="9"/>
  <c r="E280" i="9"/>
  <c r="I34" i="9"/>
  <c r="H104" i="9"/>
  <c r="O161" i="9"/>
  <c r="O63" i="9"/>
  <c r="F30" i="9"/>
  <c r="L221" i="9"/>
  <c r="N261" i="9"/>
  <c r="E161" i="9"/>
  <c r="F219" i="9"/>
  <c r="N251" i="9"/>
  <c r="I64" i="9"/>
  <c r="H89" i="9"/>
  <c r="K152" i="9"/>
  <c r="K8" i="5"/>
  <c r="K62" i="9"/>
  <c r="I32" i="9"/>
  <c r="F87" i="9"/>
  <c r="I45" i="9"/>
  <c r="C201" i="9"/>
  <c r="O241" i="9"/>
  <c r="I180" i="9"/>
  <c r="O258" i="9"/>
  <c r="H223" i="9"/>
  <c r="H113" i="9"/>
  <c r="I262" i="9"/>
  <c r="E175" i="9"/>
  <c r="I72" i="9"/>
  <c r="C227" i="9"/>
  <c r="K79" i="9"/>
  <c r="K42" i="3"/>
  <c r="F51" i="9"/>
  <c r="L278" i="9"/>
  <c r="I202" i="9"/>
  <c r="I78" i="9"/>
  <c r="E137" i="9"/>
  <c r="H119" i="9"/>
  <c r="K252" i="9"/>
  <c r="O220" i="9"/>
  <c r="I89" i="9"/>
  <c r="H181" i="9"/>
  <c r="I258" i="9"/>
  <c r="O215" i="9"/>
  <c r="O60" i="3"/>
  <c r="K125" i="9"/>
  <c r="E117" i="9"/>
  <c r="N49" i="9"/>
  <c r="K201" i="9"/>
  <c r="H228" i="9"/>
  <c r="C197" i="9"/>
  <c r="L175" i="9"/>
  <c r="O111" i="9"/>
  <c r="I112" i="9"/>
  <c r="E274" i="9"/>
  <c r="H44" i="9"/>
  <c r="I105" i="9"/>
  <c r="I166" i="9"/>
  <c r="E183" i="9"/>
  <c r="G35" i="3"/>
  <c r="N144" i="9"/>
  <c r="E213" i="9"/>
  <c r="I265" i="9"/>
  <c r="N228" i="9"/>
  <c r="H67" i="9"/>
  <c r="I230" i="9"/>
  <c r="H156" i="9"/>
  <c r="I232" i="9"/>
  <c r="K16" i="5"/>
  <c r="O43" i="3"/>
  <c r="K224" i="9"/>
  <c r="I70" i="9"/>
  <c r="I27" i="9"/>
  <c r="I141" i="9"/>
  <c r="K189" i="9"/>
  <c r="C166" i="9"/>
  <c r="L236" i="9"/>
  <c r="L51" i="9"/>
  <c r="I174" i="9"/>
  <c r="K23" i="5"/>
  <c r="C44" i="9"/>
  <c r="H118" i="9"/>
  <c r="H125" i="9"/>
  <c r="C117" i="9"/>
  <c r="H238" i="9"/>
  <c r="K74" i="3"/>
  <c r="C29" i="9"/>
  <c r="K59" i="3"/>
  <c r="E187" i="9"/>
  <c r="N181" i="9"/>
  <c r="E74" i="9"/>
  <c r="E266" i="9"/>
  <c r="C274" i="9"/>
  <c r="E72" i="9"/>
  <c r="C266" i="9"/>
  <c r="E233" i="9"/>
  <c r="I143" i="9"/>
  <c r="L279" i="9"/>
  <c r="E109" i="9"/>
  <c r="H153" i="9"/>
  <c r="H235" i="9"/>
  <c r="O272" i="9"/>
  <c r="E146" i="9"/>
  <c r="E45" i="9"/>
  <c r="L84" i="9"/>
  <c r="N229" i="9"/>
  <c r="E164" i="9"/>
  <c r="O74" i="3"/>
  <c r="E238" i="9"/>
  <c r="K198" i="9"/>
  <c r="I66" i="9"/>
  <c r="L237" i="9"/>
  <c r="O48" i="9"/>
  <c r="L66" i="9"/>
  <c r="K165" i="9"/>
  <c r="E103" i="9"/>
  <c r="C64" i="9"/>
  <c r="L45" i="9"/>
  <c r="H186" i="9"/>
  <c r="K145" i="9"/>
  <c r="F137" i="9"/>
  <c r="K68" i="3"/>
  <c r="E31" i="9"/>
  <c r="O119" i="9"/>
  <c r="I99" i="9"/>
  <c r="L251" i="9"/>
  <c r="L232" i="9"/>
  <c r="N60" i="9"/>
  <c r="E142" i="9"/>
  <c r="O71" i="9"/>
  <c r="E186" i="9"/>
  <c r="H213" i="9"/>
  <c r="L124" i="9"/>
  <c r="H274" i="9"/>
  <c r="L127" i="9"/>
  <c r="H114" i="9"/>
  <c r="K25" i="3"/>
  <c r="G48" i="3"/>
  <c r="H182" i="9"/>
  <c r="N188" i="9"/>
  <c r="C212" i="9"/>
  <c r="O105" i="9"/>
  <c r="N241" i="9"/>
  <c r="H266" i="9"/>
  <c r="H267" i="9"/>
  <c r="E212" i="9"/>
  <c r="I150" i="9"/>
  <c r="I77" i="9"/>
  <c r="F145" i="9"/>
  <c r="H197" i="9"/>
  <c r="I201" i="9"/>
  <c r="C121" i="9"/>
  <c r="I52" i="9"/>
  <c r="K78" i="9"/>
  <c r="F101" i="9"/>
  <c r="O142" i="9"/>
  <c r="N138" i="9"/>
  <c r="O164" i="9"/>
  <c r="N214" i="9"/>
  <c r="K43" i="3"/>
  <c r="O140" i="9"/>
  <c r="N275" i="9"/>
  <c r="L253" i="9"/>
  <c r="I266" i="9"/>
  <c r="L270" i="9"/>
  <c r="K112" i="9"/>
  <c r="N120" i="9"/>
  <c r="O65" i="3"/>
  <c r="C228" i="9"/>
  <c r="C138" i="9"/>
  <c r="K151" i="9"/>
  <c r="K177" i="9"/>
  <c r="N108" i="9"/>
  <c r="F112" i="9"/>
  <c r="K84" i="9"/>
  <c r="O233" i="9"/>
  <c r="F142" i="9"/>
  <c r="L81" i="9"/>
  <c r="C80" i="9"/>
  <c r="F115" i="9"/>
  <c r="K15" i="5"/>
  <c r="H225" i="9"/>
  <c r="C191" i="9"/>
  <c r="K67" i="3"/>
  <c r="E259" i="9"/>
  <c r="O224" i="9"/>
  <c r="H87" i="9"/>
  <c r="N262" i="9"/>
  <c r="H237" i="9"/>
  <c r="F221" i="9"/>
  <c r="K90" i="9"/>
  <c r="N153" i="9"/>
  <c r="N274" i="9"/>
  <c r="N270" i="9"/>
  <c r="F203" i="9"/>
  <c r="L52" i="9"/>
  <c r="L104" i="9"/>
  <c r="C48" i="9"/>
  <c r="H124" i="9"/>
  <c r="F241" i="9"/>
  <c r="F196" i="9"/>
  <c r="O155" i="9"/>
  <c r="F165" i="9"/>
  <c r="F128" i="9"/>
  <c r="E202" i="9"/>
  <c r="I277" i="9"/>
  <c r="G47" i="3"/>
  <c r="O174" i="9"/>
  <c r="K34" i="9"/>
  <c r="E102" i="9"/>
  <c r="H255" i="9"/>
  <c r="N74" i="9"/>
  <c r="K216" i="9"/>
  <c r="I37" i="9"/>
  <c r="L229" i="9"/>
  <c r="O37" i="9"/>
  <c r="K269" i="9"/>
  <c r="H143" i="9"/>
  <c r="O37" i="3"/>
  <c r="K123" i="9"/>
  <c r="G60" i="3"/>
  <c r="K143" i="9"/>
  <c r="I189" i="9"/>
  <c r="K9" i="3"/>
  <c r="O217" i="9"/>
  <c r="K36" i="9"/>
  <c r="E50" i="9"/>
  <c r="L193" i="9"/>
  <c r="O23" i="9"/>
  <c r="L33" i="9"/>
  <c r="F152" i="9"/>
  <c r="L256" i="9"/>
  <c r="E276" i="9"/>
  <c r="I40" i="9"/>
  <c r="G57" i="3"/>
  <c r="I185" i="9"/>
  <c r="G65" i="3"/>
  <c r="E271" i="9"/>
  <c r="N139" i="9"/>
  <c r="I275" i="9"/>
  <c r="H49" i="9"/>
  <c r="C153" i="9"/>
  <c r="N195" i="9"/>
  <c r="F64" i="9"/>
  <c r="F242" i="9"/>
  <c r="C165" i="9"/>
  <c r="G62" i="3"/>
  <c r="L214" i="9"/>
  <c r="E191" i="9"/>
  <c r="F74" i="9"/>
  <c r="H270" i="9"/>
  <c r="C73" i="9"/>
  <c r="K24" i="9"/>
  <c r="I103" i="9"/>
  <c r="L141" i="9"/>
  <c r="L272" i="9"/>
  <c r="C177" i="9"/>
  <c r="O78" i="9"/>
  <c r="E128" i="9"/>
  <c r="F188" i="9"/>
  <c r="G70" i="3"/>
  <c r="K25" i="5"/>
  <c r="L75" i="9"/>
  <c r="O39" i="9"/>
  <c r="N109" i="9"/>
  <c r="O156" i="9"/>
  <c r="E37" i="9"/>
  <c r="N158" i="9"/>
  <c r="O57" i="3"/>
  <c r="H75" i="9"/>
  <c r="K57" i="3"/>
  <c r="L258" i="9"/>
  <c r="E163" i="9"/>
  <c r="N31" i="9"/>
  <c r="I42" i="9"/>
  <c r="K73" i="9"/>
  <c r="N116" i="9"/>
  <c r="H204" i="9"/>
  <c r="E241" i="9"/>
  <c r="O33" i="9"/>
  <c r="G46" i="3"/>
  <c r="N233" i="9"/>
  <c r="I177" i="9"/>
  <c r="K153" i="9"/>
  <c r="C155" i="9"/>
  <c r="E99" i="9"/>
  <c r="C112" i="9"/>
  <c r="K195" i="9"/>
  <c r="K25" i="9"/>
  <c r="E190" i="9"/>
  <c r="O44" i="3"/>
  <c r="H123" i="9"/>
  <c r="H257" i="9"/>
  <c r="O62" i="9"/>
  <c r="K87" i="9"/>
  <c r="K66" i="3"/>
  <c r="K186" i="9"/>
  <c r="C119" i="9"/>
  <c r="F46" i="9"/>
  <c r="O31" i="3"/>
  <c r="L71" i="9"/>
  <c r="C222" i="9"/>
  <c r="C174" i="9"/>
  <c r="N112" i="9"/>
  <c r="E198" i="9"/>
  <c r="O198" i="9"/>
  <c r="C195" i="9"/>
  <c r="I123" i="9"/>
  <c r="L41" i="9"/>
  <c r="F69" i="9"/>
  <c r="O138" i="9"/>
  <c r="L235" i="9"/>
  <c r="L23" i="9"/>
  <c r="K66" i="9"/>
  <c r="L64" i="9"/>
  <c r="O186" i="9"/>
  <c r="O218" i="9"/>
  <c r="F37" i="9"/>
  <c r="L197" i="9"/>
  <c r="E65" i="9"/>
  <c r="K44" i="3"/>
  <c r="E232" i="9"/>
  <c r="O65" i="9"/>
  <c r="F199" i="9"/>
  <c r="L163" i="9"/>
  <c r="F114" i="9"/>
  <c r="C128" i="9"/>
  <c r="H216" i="9"/>
  <c r="L183" i="9"/>
  <c r="I163" i="9"/>
  <c r="K166" i="9"/>
  <c r="I224" i="9"/>
  <c r="F75" i="9"/>
  <c r="H279" i="9"/>
  <c r="C26" i="9"/>
  <c r="F71" i="9"/>
  <c r="L180" i="9"/>
  <c r="L181" i="9"/>
  <c r="I240" i="9"/>
  <c r="L230" i="9"/>
  <c r="O35" i="3"/>
  <c r="H86" i="9"/>
  <c r="F198" i="9"/>
  <c r="C103" i="9"/>
  <c r="E86" i="9"/>
  <c r="L274" i="9"/>
  <c r="O63" i="3"/>
  <c r="I84" i="9"/>
  <c r="E144" i="9"/>
  <c r="O38" i="9"/>
  <c r="I190" i="9"/>
  <c r="K278" i="9"/>
  <c r="K47" i="9"/>
  <c r="L280" i="9"/>
  <c r="K150" i="9"/>
  <c r="I115" i="9"/>
  <c r="N44" i="9"/>
  <c r="L228" i="9"/>
  <c r="H110" i="9"/>
  <c r="K33" i="9"/>
  <c r="N52" i="9"/>
  <c r="N212" i="9"/>
  <c r="N82" i="9"/>
  <c r="C36" i="9"/>
  <c r="I68" i="9"/>
  <c r="E180" i="9"/>
  <c r="I276" i="9"/>
  <c r="F65" i="9"/>
  <c r="C183" i="9"/>
  <c r="E110" i="9"/>
  <c r="N176" i="9"/>
  <c r="F63" i="9"/>
  <c r="E81" i="9"/>
  <c r="O274" i="9"/>
  <c r="E235" i="9"/>
  <c r="O64" i="9"/>
  <c r="K34" i="3"/>
  <c r="C82" i="9"/>
  <c r="F124" i="9"/>
  <c r="N224" i="9"/>
  <c r="F181" i="9"/>
  <c r="C68" i="9"/>
  <c r="C268" i="9"/>
  <c r="H103" i="9"/>
  <c r="F81" i="9"/>
  <c r="O185" i="9"/>
  <c r="O163" i="9"/>
  <c r="I109" i="9"/>
  <c r="K85" i="9"/>
  <c r="K88" i="9"/>
  <c r="I155" i="9"/>
  <c r="C225" i="9"/>
  <c r="K21" i="3"/>
  <c r="C110" i="9"/>
  <c r="C75" i="9"/>
  <c r="G40" i="3"/>
  <c r="L25" i="9"/>
  <c r="F153" i="9"/>
  <c r="H127" i="9"/>
  <c r="K31" i="3"/>
  <c r="I36" i="9"/>
  <c r="F89" i="9"/>
  <c r="H73" i="9"/>
  <c r="H111" i="9"/>
  <c r="N156" i="9"/>
  <c r="N273" i="9"/>
  <c r="L269" i="9"/>
  <c r="E76" i="9"/>
  <c r="L190" i="9"/>
  <c r="O193" i="9"/>
  <c r="K156" i="9"/>
  <c r="E25" i="9"/>
  <c r="G64" i="3"/>
  <c r="N107" i="9"/>
  <c r="L177" i="9"/>
  <c r="L118" i="9"/>
  <c r="O32" i="9"/>
  <c r="C150" i="9"/>
  <c r="I61" i="9"/>
  <c r="E22" i="9"/>
  <c r="L24" i="9"/>
  <c r="I261" i="9"/>
  <c r="C178" i="9"/>
  <c r="K259" i="9"/>
  <c r="K270" i="9"/>
  <c r="I137" i="9"/>
  <c r="N128" i="9"/>
  <c r="E104" i="9"/>
  <c r="K17" i="3"/>
  <c r="K126" i="9"/>
  <c r="F105" i="9"/>
  <c r="G37" i="3"/>
  <c r="I86" i="9"/>
  <c r="O24" i="9"/>
  <c r="O191" i="9"/>
  <c r="F163" i="9"/>
  <c r="L199" i="9"/>
  <c r="H212" i="9"/>
  <c r="I156" i="9"/>
  <c r="C69" i="9"/>
  <c r="N159" i="9"/>
  <c r="E77" i="9"/>
  <c r="N250" i="9"/>
  <c r="C273" i="9"/>
  <c r="O34" i="3"/>
  <c r="F32" i="9"/>
  <c r="O123" i="9"/>
  <c r="O73" i="3"/>
  <c r="C230" i="9"/>
  <c r="F44" i="9"/>
  <c r="G50" i="3"/>
  <c r="I35" i="9"/>
  <c r="K32" i="3"/>
  <c r="C114" i="9"/>
  <c r="E267" i="9"/>
  <c r="N278" i="9"/>
  <c r="K192" i="9"/>
  <c r="L28" i="9"/>
  <c r="C118" i="9"/>
  <c r="C180" i="9"/>
  <c r="C125" i="9"/>
  <c r="O27" i="9"/>
  <c r="L63" i="9"/>
  <c r="I114" i="9"/>
  <c r="H64" i="9"/>
  <c r="I44" i="9"/>
  <c r="E216" i="9"/>
  <c r="O84" i="9"/>
  <c r="H163" i="9"/>
  <c r="H187" i="9"/>
  <c r="O250" i="9"/>
  <c r="O117" i="9"/>
  <c r="F276" i="9"/>
  <c r="E201" i="9"/>
  <c r="L42" i="9"/>
  <c r="K184" i="9"/>
  <c r="C111" i="9"/>
  <c r="F107" i="9"/>
  <c r="K160" i="9"/>
  <c r="H198" i="9"/>
  <c r="E62" i="9"/>
  <c r="C104" i="9"/>
  <c r="L220" i="9"/>
  <c r="E257" i="9"/>
  <c r="L100" i="9"/>
  <c r="O118" i="9"/>
  <c r="F99" i="9"/>
  <c r="O100" i="9"/>
  <c r="H185" i="9"/>
  <c r="K108" i="9"/>
  <c r="I128" i="9"/>
  <c r="F68" i="9"/>
  <c r="H140" i="9"/>
  <c r="N75" i="9"/>
  <c r="H27" i="9"/>
  <c r="C142" i="9"/>
  <c r="E239" i="9"/>
  <c r="H39" i="9"/>
  <c r="O147" i="9"/>
  <c r="K41" i="3"/>
  <c r="F140" i="9"/>
  <c r="K163" i="9"/>
  <c r="I268" i="9"/>
  <c r="K254" i="9"/>
  <c r="K107" i="9"/>
  <c r="C77" i="9"/>
  <c r="K20" i="3"/>
  <c r="O266" i="9"/>
  <c r="C160" i="9"/>
  <c r="K179" i="9"/>
  <c r="O72" i="3"/>
  <c r="K148" i="9"/>
  <c r="H61" i="9"/>
  <c r="L69" i="9"/>
  <c r="C67" i="9"/>
  <c r="E34" i="9"/>
  <c r="K75" i="9"/>
  <c r="F50" i="9"/>
  <c r="K196" i="9"/>
  <c r="H115" i="9"/>
  <c r="I28" i="9"/>
  <c r="O251" i="9"/>
  <c r="H48" i="9"/>
  <c r="F27" i="9"/>
  <c r="O270" i="9"/>
  <c r="K69" i="3"/>
  <c r="I139" i="9"/>
  <c r="N182" i="9"/>
  <c r="F238" i="9"/>
  <c r="O255" i="9"/>
  <c r="K136" i="9"/>
  <c r="L223" i="9"/>
  <c r="K72" i="9"/>
  <c r="F161" i="9"/>
  <c r="E237" i="9"/>
  <c r="L37" i="9"/>
  <c r="H234" i="9"/>
  <c r="O260" i="9"/>
  <c r="K119" i="9"/>
  <c r="H38" i="9"/>
  <c r="L144" i="9"/>
  <c r="K214" i="9"/>
  <c r="F220" i="9"/>
  <c r="O77" i="9"/>
  <c r="K38" i="3"/>
  <c r="N279" i="9"/>
  <c r="I22" i="9"/>
  <c r="E222" i="9"/>
  <c r="I233" i="9"/>
  <c r="O189" i="9"/>
  <c r="K31" i="9"/>
  <c r="I188" i="9"/>
  <c r="L182" i="9"/>
  <c r="C204" i="9"/>
  <c r="C193" i="9"/>
  <c r="I48" i="9"/>
  <c r="E116" i="9"/>
  <c r="O67" i="3"/>
  <c r="I235" i="9"/>
  <c r="N162" i="9"/>
  <c r="N105" i="9"/>
  <c r="H183" i="9"/>
  <c r="O242" i="9"/>
  <c r="F43" i="9"/>
  <c r="O162" i="9"/>
  <c r="E260" i="9"/>
  <c r="F213" i="9"/>
  <c r="F230" i="9"/>
  <c r="H23" i="9"/>
  <c r="F267" i="9"/>
  <c r="K199" i="9"/>
  <c r="E82" i="9"/>
  <c r="I238" i="9"/>
  <c r="H138" i="9"/>
  <c r="H69" i="9"/>
  <c r="N235" i="9"/>
  <c r="N220" i="9"/>
  <c r="H222" i="9"/>
  <c r="O81" i="9"/>
  <c r="K69" i="9"/>
  <c r="K42" i="9"/>
  <c r="F164" i="9"/>
  <c r="C61" i="9"/>
  <c r="K67" i="9"/>
  <c r="L184" i="9"/>
  <c r="K6" i="5"/>
  <c r="I26" i="9"/>
  <c r="F184" i="9"/>
  <c r="F38" i="9"/>
  <c r="H35" i="9"/>
  <c r="C182" i="9"/>
  <c r="K114" i="9"/>
  <c r="F222" i="9"/>
  <c r="F88" i="9"/>
  <c r="K154" i="9"/>
  <c r="K263" i="9"/>
  <c r="K222" i="9"/>
  <c r="N194" i="9"/>
  <c r="C253" i="9"/>
  <c r="O61" i="9"/>
  <c r="K81" i="9"/>
  <c r="K60" i="3"/>
  <c r="N66" i="9"/>
  <c r="I274" i="9"/>
  <c r="L46" i="9"/>
  <c r="F226" i="9"/>
  <c r="H151" i="9"/>
  <c r="L62" i="9"/>
  <c r="E78" i="9"/>
  <c r="F26" i="9"/>
  <c r="O52" i="9"/>
  <c r="H72" i="9"/>
  <c r="K182" i="9"/>
  <c r="C185" i="9"/>
  <c r="I75" i="9"/>
  <c r="K99" i="9"/>
  <c r="K203" i="9"/>
  <c r="I148" i="9"/>
  <c r="K191" i="9"/>
  <c r="F191" i="9"/>
  <c r="L224" i="9"/>
  <c r="E52" i="9"/>
  <c r="F252" i="9"/>
  <c r="C224" i="9"/>
  <c r="H177" i="9"/>
  <c r="L233" i="9"/>
  <c r="L255" i="9"/>
  <c r="E261" i="9"/>
  <c r="C38" i="9"/>
  <c r="K18" i="5"/>
  <c r="F151" i="9"/>
  <c r="C241" i="9"/>
  <c r="F254" i="9"/>
  <c r="L70" i="9"/>
  <c r="F139" i="9"/>
  <c r="H195" i="9"/>
  <c r="O271" i="9"/>
  <c r="H71" i="9"/>
  <c r="I60" i="9"/>
  <c r="E150" i="9"/>
  <c r="H258" i="9"/>
  <c r="O219" i="9"/>
  <c r="N124" i="9"/>
  <c r="I82" i="9"/>
  <c r="K13" i="3"/>
  <c r="H84" i="9"/>
  <c r="C235" i="9"/>
  <c r="H250" i="9"/>
  <c r="E220" i="9"/>
  <c r="L185" i="9"/>
  <c r="I272" i="9"/>
  <c r="E43" i="9"/>
  <c r="L238" i="9"/>
  <c r="K64" i="9"/>
  <c r="C219" i="9"/>
  <c r="E61" i="9"/>
  <c r="N179" i="9"/>
  <c r="H116" i="9"/>
  <c r="F154" i="9"/>
  <c r="L67" i="9"/>
  <c r="K48" i="9"/>
  <c r="F111" i="9"/>
  <c r="E100" i="9"/>
  <c r="K39" i="3"/>
  <c r="K9" i="5"/>
  <c r="H45" i="9"/>
  <c r="F260" i="9"/>
  <c r="O79" i="9"/>
  <c r="O70" i="3"/>
  <c r="C141" i="9"/>
  <c r="N68" i="9"/>
  <c r="L201" i="9"/>
  <c r="F157" i="9"/>
  <c r="E147" i="9"/>
  <c r="C148" i="9"/>
  <c r="L200" i="9"/>
  <c r="C149" i="9"/>
  <c r="O143" i="9"/>
  <c r="O115" i="9"/>
  <c r="O82" i="9"/>
  <c r="I144" i="9"/>
  <c r="K52" i="9"/>
  <c r="N230" i="9"/>
  <c r="K161" i="9"/>
  <c r="E204" i="9"/>
  <c r="O28" i="9"/>
  <c r="K7" i="3"/>
  <c r="E124" i="9"/>
  <c r="H141" i="9"/>
  <c r="I273" i="9"/>
  <c r="K230" i="9"/>
  <c r="K47" i="3"/>
  <c r="F110" i="9"/>
  <c r="C35" i="9"/>
  <c r="E224" i="9"/>
  <c r="K241" i="9"/>
  <c r="C194" i="9"/>
  <c r="E47" i="9"/>
  <c r="H47" i="9"/>
  <c r="C33" i="9"/>
  <c r="O269" i="9"/>
  <c r="K41" i="9"/>
  <c r="N255" i="9"/>
  <c r="I259" i="9"/>
  <c r="I160" i="9"/>
  <c r="K139" i="9"/>
  <c r="F147" i="9"/>
  <c r="O31" i="9"/>
  <c r="O46" i="3"/>
  <c r="L79" i="9"/>
  <c r="C263" i="9"/>
  <c r="O34" i="9"/>
  <c r="N264" i="9"/>
  <c r="H142" i="9"/>
  <c r="O275" i="9"/>
  <c r="H139" i="9"/>
  <c r="L39" i="9"/>
  <c r="L150" i="9"/>
  <c r="N266" i="9"/>
  <c r="G44" i="3"/>
  <c r="F193" i="9"/>
  <c r="E264" i="9"/>
  <c r="I145" i="9"/>
  <c r="C175" i="9"/>
  <c r="E114" i="9"/>
  <c r="C72" i="9"/>
  <c r="F187" i="9"/>
  <c r="K147" i="9"/>
  <c r="H109" i="9"/>
  <c r="F85" i="9"/>
  <c r="E88" i="9"/>
  <c r="L148" i="9"/>
  <c r="I49" i="9"/>
  <c r="C250" i="9"/>
  <c r="C28" i="9"/>
  <c r="L226" i="9"/>
  <c r="N149" i="9"/>
  <c r="H52" i="9"/>
  <c r="H99" i="9"/>
  <c r="I239" i="9"/>
  <c r="C157" i="9"/>
  <c r="F144" i="9"/>
  <c r="L50" i="9"/>
  <c r="C164" i="9"/>
  <c r="O88" i="9"/>
  <c r="O51" i="9"/>
  <c r="K35" i="3"/>
  <c r="H37" i="9"/>
  <c r="G45" i="3"/>
  <c r="O42" i="9"/>
  <c r="F162" i="9"/>
  <c r="I226" i="9"/>
  <c r="K267" i="9"/>
  <c r="K276" i="9"/>
  <c r="I253" i="9"/>
  <c r="F82" i="9"/>
  <c r="F232" i="9"/>
  <c r="I260" i="9"/>
  <c r="H242" i="9"/>
  <c r="F98" i="9"/>
  <c r="C136" i="9"/>
  <c r="F160" i="9"/>
  <c r="N175" i="9"/>
  <c r="E115" i="9"/>
  <c r="O190" i="9"/>
  <c r="C151" i="9"/>
  <c r="O73" i="9"/>
  <c r="K204" i="9"/>
  <c r="K28" i="9"/>
  <c r="E234" i="9"/>
  <c r="K223" i="9"/>
  <c r="K12" i="5"/>
  <c r="K242" i="9"/>
  <c r="C124" i="9"/>
  <c r="K19" i="3"/>
  <c r="I157" i="9"/>
  <c r="C51" i="9"/>
  <c r="E41" i="9"/>
  <c r="N193" i="9"/>
  <c r="E194" i="9"/>
  <c r="L112" i="9"/>
  <c r="C190" i="9"/>
  <c r="E48" i="9"/>
  <c r="L86" i="9"/>
  <c r="C214" i="9"/>
  <c r="E154" i="9"/>
  <c r="F250" i="9"/>
  <c r="H106" i="9"/>
  <c r="H68" i="9"/>
  <c r="O263" i="9"/>
  <c r="N217" i="9"/>
  <c r="O151" i="9"/>
  <c r="L82" i="9"/>
  <c r="O166" i="9"/>
  <c r="C200" i="9"/>
  <c r="C262" i="9"/>
  <c r="K117" i="9"/>
  <c r="K164" i="9"/>
  <c r="O201" i="9"/>
  <c r="F36" i="9"/>
  <c r="I31" i="9"/>
  <c r="I117" i="9"/>
  <c r="K19" i="5"/>
  <c r="N73" i="9"/>
  <c r="K10" i="3"/>
  <c r="O153" i="9"/>
  <c r="N142" i="9"/>
  <c r="O235" i="9"/>
  <c r="I204" i="9"/>
  <c r="L85" i="9"/>
  <c r="N127" i="9"/>
  <c r="H80" i="9"/>
  <c r="I250" i="9"/>
  <c r="E181" i="9"/>
  <c r="H263" i="9"/>
  <c r="C276" i="9"/>
  <c r="O126" i="9"/>
  <c r="E236" i="9"/>
  <c r="F33" i="9"/>
  <c r="O49" i="3"/>
  <c r="I192" i="9"/>
  <c r="C47" i="9"/>
  <c r="H154" i="9"/>
  <c r="O199" i="9"/>
  <c r="C237" i="9"/>
  <c r="N150" i="9"/>
  <c r="N119" i="9"/>
  <c r="K128" i="9"/>
  <c r="C257" i="9"/>
  <c r="K202" i="9"/>
  <c r="O277" i="9"/>
  <c r="I118" i="9"/>
  <c r="H70" i="9"/>
  <c r="H262" i="9"/>
  <c r="O264" i="9"/>
  <c r="F156" i="9"/>
  <c r="H88" i="9"/>
  <c r="C116" i="9"/>
  <c r="I120" i="9"/>
  <c r="K70" i="3"/>
  <c r="K158" i="9"/>
  <c r="L149" i="9"/>
  <c r="K22" i="9"/>
  <c r="L159" i="9"/>
  <c r="F29" i="9"/>
  <c r="O128" i="9"/>
  <c r="H50" i="9"/>
  <c r="I195" i="9"/>
  <c r="O47" i="9"/>
  <c r="F49" i="9"/>
  <c r="K213" i="9"/>
  <c r="N189" i="9"/>
  <c r="L263" i="9"/>
  <c r="K194" i="9"/>
  <c r="L99" i="9"/>
  <c r="F277" i="9"/>
  <c r="L111" i="9"/>
  <c r="L43" i="9"/>
  <c r="N71" i="9"/>
  <c r="I73" i="9"/>
  <c r="E89" i="9"/>
  <c r="I83" i="9"/>
  <c r="C102" i="9"/>
  <c r="G33" i="3"/>
  <c r="F48" i="9"/>
  <c r="H218" i="9"/>
  <c r="L156" i="9"/>
  <c r="N35" i="9"/>
  <c r="N67" i="9"/>
  <c r="F179" i="9"/>
  <c r="O29" i="9"/>
  <c r="I263" i="9"/>
  <c r="O59" i="3"/>
  <c r="E30" i="9"/>
  <c r="L128" i="9"/>
  <c r="F201" i="9"/>
  <c r="O70" i="9"/>
  <c r="K174" i="9"/>
  <c r="K8" i="3"/>
  <c r="G63" i="3"/>
  <c r="E70" i="9"/>
  <c r="G73" i="3"/>
  <c r="O165" i="9"/>
  <c r="E38" i="9"/>
  <c r="C218" i="9"/>
  <c r="F239" i="9"/>
  <c r="F194" i="9"/>
  <c r="K33" i="3"/>
  <c r="C126" i="9"/>
  <c r="E195" i="9"/>
  <c r="N166" i="9"/>
  <c r="O80" i="9"/>
  <c r="K76" i="9"/>
  <c r="O45" i="9"/>
  <c r="O149" i="9"/>
  <c r="F263" i="9"/>
  <c r="N136" i="9"/>
  <c r="H144" i="9"/>
  <c r="C265" i="9"/>
  <c r="L259" i="9"/>
  <c r="I153" i="9"/>
  <c r="C113" i="9"/>
  <c r="F122" i="9"/>
  <c r="G56" i="3"/>
  <c r="H272" i="9"/>
  <c r="O122" i="9"/>
  <c r="E251" i="9"/>
  <c r="L187" i="9"/>
  <c r="N63" i="9"/>
  <c r="E193" i="9"/>
  <c r="G38" i="3"/>
  <c r="O273" i="9"/>
  <c r="N114" i="9"/>
  <c r="O64" i="3"/>
  <c r="K23" i="9"/>
  <c r="O99" i="9"/>
  <c r="O42" i="3"/>
  <c r="E228" i="9"/>
  <c r="E279" i="9"/>
  <c r="I186" i="9"/>
  <c r="N259" i="9"/>
  <c r="I65" i="9"/>
  <c r="L158" i="9"/>
  <c r="H34" i="9"/>
  <c r="N101" i="9"/>
  <c r="H105" i="9"/>
  <c r="K36" i="3"/>
  <c r="I181" i="9"/>
  <c r="H189" i="9"/>
  <c r="F104" i="9"/>
  <c r="I85" i="9"/>
  <c r="E269" i="9"/>
  <c r="H251" i="9"/>
  <c r="O90" i="9"/>
  <c r="L120" i="9"/>
  <c r="N151" i="9"/>
  <c r="E113" i="9"/>
  <c r="C106" i="9"/>
  <c r="E256" i="9"/>
  <c r="K14" i="5"/>
  <c r="N196" i="9"/>
  <c r="H196" i="9"/>
  <c r="C81" i="9"/>
  <c r="H122" i="9"/>
  <c r="I113" i="9"/>
  <c r="E253" i="9"/>
  <c r="K273" i="9"/>
  <c r="C40" i="9"/>
  <c r="E227" i="9"/>
  <c r="H160" i="9"/>
  <c r="F146" i="9"/>
  <c r="L68" i="9"/>
  <c r="F125" i="9"/>
  <c r="G36" i="3"/>
  <c r="H260" i="9"/>
  <c r="N126" i="9"/>
  <c r="F24" i="9"/>
  <c r="N29" i="9"/>
  <c r="L44" i="9"/>
  <c r="O26" i="9"/>
  <c r="F70" i="9"/>
  <c r="L98" i="9"/>
  <c r="N221" i="9"/>
  <c r="L189" i="9"/>
  <c r="L123" i="9"/>
  <c r="F202" i="9"/>
  <c r="F253" i="9"/>
  <c r="O127" i="9"/>
  <c r="F52" i="9"/>
  <c r="N177" i="9"/>
  <c r="E23" i="9"/>
  <c r="L174" i="9"/>
  <c r="F72" i="9"/>
  <c r="N231" i="9"/>
  <c r="F141" i="9"/>
  <c r="L217" i="9"/>
  <c r="K111" i="9"/>
  <c r="L87" i="9"/>
  <c r="E218" i="9"/>
  <c r="H128" i="9"/>
  <c r="I62" i="9"/>
  <c r="L122" i="9"/>
  <c r="K180" i="9"/>
  <c r="O137" i="9"/>
  <c r="N223" i="9"/>
  <c r="K221" i="9"/>
  <c r="F272" i="9"/>
  <c r="O229" i="9"/>
  <c r="O223" i="9"/>
  <c r="L196" i="9"/>
  <c r="N88" i="9"/>
  <c r="O71" i="3"/>
  <c r="N218" i="9"/>
  <c r="H112" i="9"/>
  <c r="I29" i="9"/>
  <c r="E60" i="9"/>
  <c r="C152" i="9"/>
  <c r="L273" i="9"/>
  <c r="N197" i="9"/>
  <c r="O60" i="9"/>
  <c r="I227" i="9"/>
  <c r="I71" i="9"/>
  <c r="C213" i="9"/>
  <c r="F67" i="9"/>
  <c r="H22" i="9"/>
  <c r="N174" i="9"/>
  <c r="F90" i="9"/>
  <c r="N213" i="9"/>
  <c r="K44" i="9"/>
  <c r="N25" i="9"/>
  <c r="F258" i="9"/>
  <c r="K141" i="9"/>
  <c r="N117" i="9"/>
  <c r="N46" i="9"/>
  <c r="G49" i="3"/>
  <c r="L186" i="9"/>
  <c r="K63" i="9"/>
  <c r="C238" i="9"/>
  <c r="K20" i="5"/>
  <c r="H108" i="9"/>
  <c r="N102" i="9"/>
  <c r="K89" i="9"/>
  <c r="K110" i="9"/>
  <c r="G66" i="3"/>
  <c r="O214" i="9"/>
  <c r="E29" i="9"/>
  <c r="E139" i="9"/>
  <c r="H159" i="9"/>
  <c r="F136" i="9"/>
  <c r="C258" i="9"/>
  <c r="N199" i="9"/>
  <c r="G75" i="3"/>
  <c r="H24" i="9"/>
  <c r="K82" i="9"/>
  <c r="N113" i="9"/>
  <c r="H226" i="9"/>
  <c r="E49" i="9"/>
  <c r="F190" i="9"/>
  <c r="C188" i="9"/>
  <c r="L264" i="9"/>
  <c r="N115" i="9"/>
  <c r="K48" i="3"/>
  <c r="K219" i="9"/>
  <c r="K104" i="9"/>
  <c r="I90" i="9"/>
  <c r="F127" i="9"/>
  <c r="K56" i="3"/>
  <c r="O256" i="9"/>
  <c r="E85" i="9"/>
  <c r="I223" i="9"/>
  <c r="E273" i="9"/>
  <c r="L242" i="9"/>
  <c r="L126" i="9"/>
  <c r="C146" i="9"/>
  <c r="N86" i="9"/>
  <c r="H273" i="9"/>
  <c r="L103" i="9"/>
  <c r="I217" i="9"/>
  <c r="N143" i="9"/>
  <c r="L143" i="9"/>
  <c r="N215" i="9"/>
  <c r="L198" i="9"/>
  <c r="E185" i="9"/>
  <c r="C202" i="9"/>
  <c r="H276" i="9"/>
  <c r="L60" i="9"/>
  <c r="K65" i="3"/>
  <c r="I126" i="9"/>
  <c r="E197" i="9"/>
  <c r="H176" i="9"/>
  <c r="E66" i="9"/>
  <c r="O261" i="9"/>
  <c r="N89" i="9"/>
  <c r="O45" i="3"/>
  <c r="L202" i="9"/>
  <c r="C199" i="9"/>
  <c r="I278" i="9"/>
  <c r="C78" i="9"/>
  <c r="G34" i="3"/>
  <c r="K185" i="9"/>
  <c r="F240" i="9"/>
  <c r="E80" i="9"/>
  <c r="H230" i="9"/>
  <c r="E105" i="9"/>
  <c r="L257" i="9"/>
  <c r="E108" i="9"/>
  <c r="H261" i="9"/>
  <c r="O120" i="9"/>
  <c r="F279" i="9"/>
  <c r="I74" i="9"/>
  <c r="L231" i="9"/>
  <c r="I161" i="9"/>
  <c r="E26" i="9"/>
  <c r="O141" i="9"/>
  <c r="L276" i="9"/>
  <c r="C115" i="9"/>
  <c r="K43" i="9"/>
  <c r="I187" i="9"/>
  <c r="F108" i="9"/>
  <c r="C30" i="9"/>
  <c r="O176" i="9"/>
  <c r="L222" i="9"/>
  <c r="N240" i="9"/>
  <c r="F262" i="9"/>
  <c r="K232" i="9"/>
  <c r="F117" i="9"/>
  <c r="O36" i="3"/>
  <c r="K13" i="5"/>
  <c r="N148" i="9"/>
  <c r="N145" i="9"/>
  <c r="I122" i="9"/>
  <c r="E119" i="9"/>
  <c r="H188" i="9"/>
  <c r="K255" i="9"/>
  <c r="I63" i="9"/>
  <c r="C34" i="9"/>
  <c r="E136" i="9"/>
  <c r="O83" i="9"/>
  <c r="G67" i="3"/>
  <c r="N140" i="9"/>
  <c r="K118" i="9"/>
  <c r="E40" i="9"/>
  <c r="H149" i="9"/>
  <c r="O221" i="9"/>
  <c r="K26" i="9"/>
  <c r="N41" i="9"/>
  <c r="O75" i="3"/>
  <c r="L30" i="9"/>
  <c r="I221" i="9"/>
  <c r="C236" i="9"/>
  <c r="H175" i="9"/>
  <c r="N64" i="9"/>
  <c r="C251" i="9"/>
  <c r="O145" i="9"/>
  <c r="O276" i="9"/>
  <c r="K271" i="9"/>
  <c r="E51" i="9"/>
  <c r="O43" i="9"/>
  <c r="O213" i="9"/>
  <c r="N37" i="9"/>
  <c r="E126" i="9"/>
  <c r="O86" i="9"/>
  <c r="F86" i="9"/>
  <c r="I46" i="9"/>
  <c r="I121" i="9"/>
  <c r="O232" i="9"/>
  <c r="F271" i="9"/>
  <c r="I79" i="9"/>
  <c r="O187" i="9"/>
  <c r="I197" i="9"/>
  <c r="E188" i="9"/>
  <c r="H219" i="9"/>
  <c r="O113" i="9"/>
  <c r="I38" i="9"/>
  <c r="E263" i="9"/>
  <c r="N225" i="9"/>
  <c r="H36" i="9"/>
  <c r="K217" i="9"/>
  <c r="N164" i="9"/>
  <c r="E215" i="9"/>
  <c r="E68" i="9"/>
  <c r="I228" i="9"/>
  <c r="K12" i="3"/>
  <c r="K226" i="9"/>
  <c r="L179" i="9"/>
  <c r="H202" i="9"/>
  <c r="H215" i="9"/>
  <c r="C60" i="9"/>
  <c r="L188" i="9"/>
  <c r="C107" i="9"/>
  <c r="O69" i="3"/>
  <c r="K61" i="9"/>
  <c r="F121" i="9"/>
  <c r="E219" i="9"/>
  <c r="C31" i="9"/>
  <c r="N83" i="9"/>
  <c r="C239" i="9"/>
  <c r="C256" i="9"/>
  <c r="I269" i="9"/>
  <c r="L161" i="9"/>
  <c r="F233" i="9"/>
  <c r="O267" i="9"/>
  <c r="F223" i="9"/>
  <c r="L74" i="9"/>
  <c r="E275" i="9"/>
  <c r="C76" i="9"/>
  <c r="K227" i="9"/>
  <c r="K39" i="9"/>
  <c r="K220" i="9"/>
  <c r="E32" i="9"/>
  <c r="C99" i="9"/>
  <c r="E223" i="9"/>
  <c r="L90" i="9"/>
  <c r="H30" i="9"/>
  <c r="I241" i="9"/>
  <c r="O40" i="9"/>
  <c r="L102" i="9"/>
  <c r="G59" i="3"/>
  <c r="L203" i="9"/>
  <c r="C62" i="9"/>
  <c r="F270" i="9"/>
  <c r="O61" i="3"/>
  <c r="H66" i="9"/>
  <c r="G72" i="3"/>
  <c r="L125" i="9"/>
  <c r="L110" i="9"/>
  <c r="E157" i="9"/>
  <c r="O22" i="9"/>
  <c r="H199" i="9"/>
  <c r="K127" i="9"/>
  <c r="N183" i="9"/>
  <c r="F35" i="9"/>
  <c r="L117" i="9"/>
  <c r="O204" i="9"/>
  <c r="L119" i="9"/>
  <c r="O184" i="9"/>
  <c r="L73" i="9"/>
  <c r="C272" i="9"/>
  <c r="I111" i="9"/>
  <c r="E73" i="9"/>
  <c r="O114" i="9"/>
  <c r="K40" i="9"/>
  <c r="K239" i="9"/>
  <c r="E254" i="9"/>
  <c r="K17" i="5"/>
  <c r="E42" i="9"/>
  <c r="N252" i="9"/>
  <c r="H201" i="9"/>
  <c r="H217" i="9"/>
  <c r="F214" i="9"/>
  <c r="E123" i="9"/>
  <c r="G71" i="3"/>
  <c r="K37" i="9"/>
  <c r="F197" i="9"/>
  <c r="O178" i="9"/>
  <c r="N48" i="9"/>
  <c r="E255" i="9"/>
  <c r="H40" i="9"/>
  <c r="I179" i="9"/>
  <c r="I80" i="9"/>
  <c r="C161" i="9"/>
  <c r="I242" i="9"/>
  <c r="E240" i="9"/>
  <c r="N34" i="9"/>
  <c r="K80" i="9"/>
  <c r="O152" i="9"/>
  <c r="G32" i="3"/>
  <c r="E252" i="9"/>
  <c r="C189" i="9"/>
  <c r="H233" i="9"/>
  <c r="H241" i="9"/>
  <c r="C163" i="9"/>
  <c r="K83" i="9"/>
  <c r="G31" i="3"/>
  <c r="C90" i="9"/>
  <c r="E265" i="9"/>
  <c r="K175" i="9"/>
  <c r="O280" i="9"/>
  <c r="F40" i="9"/>
  <c r="C192" i="9"/>
  <c r="I193" i="9"/>
  <c r="L219" i="9"/>
  <c r="N186" i="9"/>
  <c r="N258" i="9"/>
  <c r="H77" i="9"/>
  <c r="C127" i="9"/>
  <c r="O239" i="9"/>
  <c r="C63" i="9"/>
  <c r="H126" i="9"/>
  <c r="N272" i="9"/>
  <c r="O278" i="9"/>
  <c r="L34" i="9"/>
  <c r="C261" i="9"/>
  <c r="N84" i="9"/>
  <c r="F116" i="9"/>
  <c r="C196" i="9"/>
  <c r="O202" i="9"/>
  <c r="L145" i="9"/>
  <c r="I176" i="9"/>
  <c r="C122" i="9"/>
  <c r="C232" i="9"/>
  <c r="C45" i="9"/>
  <c r="C278" i="9"/>
  <c r="C46" i="9"/>
  <c r="K101" i="9"/>
  <c r="O192" i="9"/>
  <c r="H60" i="9"/>
  <c r="L137" i="9"/>
  <c r="E24" i="9"/>
  <c r="I219" i="9"/>
  <c r="C215" i="9"/>
  <c r="O67" i="9"/>
  <c r="L109" i="9"/>
  <c r="L114" i="9"/>
  <c r="F256" i="9"/>
  <c r="O89" i="9"/>
  <c r="I50" i="9"/>
  <c r="K50" i="9"/>
  <c r="O104" i="9"/>
  <c r="C84" i="9"/>
  <c r="L49" i="9"/>
  <c r="H152" i="9"/>
  <c r="K75" i="3"/>
  <c r="L216" i="9"/>
  <c r="O158" i="9"/>
  <c r="F204" i="9"/>
  <c r="H81" i="9"/>
  <c r="L213" i="9"/>
  <c r="K162" i="9"/>
  <c r="L164" i="9"/>
  <c r="C143" i="9"/>
  <c r="E149" i="9"/>
  <c r="E67" i="9"/>
  <c r="C43" i="9"/>
  <c r="O44" i="9"/>
  <c r="E87" i="9"/>
  <c r="O194" i="9"/>
  <c r="H78" i="9"/>
  <c r="E277" i="9"/>
  <c r="N227" i="9"/>
  <c r="N146" i="9"/>
  <c r="K231" i="9"/>
  <c r="H280" i="9"/>
  <c r="O268" i="9"/>
  <c r="O40" i="3"/>
  <c r="L32" i="9"/>
  <c r="K27" i="9"/>
  <c r="O257" i="9"/>
  <c r="I67" i="9"/>
  <c r="K35" i="9"/>
  <c r="G39" i="3"/>
  <c r="L267" i="9"/>
  <c r="F268" i="9"/>
  <c r="N155" i="9"/>
  <c r="F113" i="9"/>
  <c r="E111" i="9"/>
  <c r="C179" i="9"/>
  <c r="O121" i="9"/>
  <c r="K233" i="9"/>
  <c r="H32" i="9"/>
  <c r="I236" i="9"/>
  <c r="K146" i="9"/>
  <c r="L204" i="9"/>
  <c r="F119" i="9"/>
  <c r="I196" i="9"/>
  <c r="O183" i="9"/>
  <c r="K70" i="9"/>
  <c r="L191" i="9"/>
  <c r="F41" i="9"/>
  <c r="F159" i="9"/>
  <c r="N39" i="9"/>
  <c r="H180" i="9"/>
  <c r="K109" i="9"/>
  <c r="G69" i="3"/>
  <c r="F176" i="9"/>
  <c r="F118" i="9"/>
  <c r="H239" i="9"/>
  <c r="F234" i="9"/>
  <c r="G42" i="3"/>
  <c r="L83" i="9"/>
  <c r="H227" i="9"/>
  <c r="H184" i="9"/>
  <c r="I191" i="9"/>
  <c r="C279" i="9"/>
  <c r="E148" i="9"/>
  <c r="O225" i="9"/>
  <c r="K65" i="9"/>
  <c r="I256" i="9"/>
  <c r="F189" i="9"/>
  <c r="E226" i="9"/>
  <c r="L157" i="9"/>
  <c r="F235" i="9"/>
  <c r="I280" i="9"/>
  <c r="F31" i="9"/>
  <c r="L27" i="9"/>
  <c r="H145" i="9"/>
  <c r="F261" i="9"/>
  <c r="I151" i="9"/>
  <c r="O46" i="9"/>
  <c r="H121" i="9"/>
  <c r="E166" i="9"/>
  <c r="F83" i="9"/>
  <c r="N118" i="9"/>
  <c r="N157" i="9"/>
  <c r="L241" i="9"/>
  <c r="F126" i="9"/>
  <c r="C144" i="9"/>
  <c r="O108" i="9"/>
  <c r="H148" i="9"/>
  <c r="E174" i="9"/>
  <c r="N152" i="9"/>
  <c r="E203" i="9"/>
  <c r="E162" i="9"/>
  <c r="I264" i="9"/>
  <c r="N154" i="9"/>
  <c r="N178" i="9"/>
  <c r="K23" i="3"/>
  <c r="O188" i="9"/>
  <c r="H179" i="9"/>
  <c r="H252" i="9"/>
  <c r="F138" i="9"/>
  <c r="N242" i="9"/>
  <c r="F236" i="9"/>
  <c r="O157" i="9"/>
  <c r="C120" i="9"/>
  <c r="H117" i="9"/>
  <c r="K63" i="3"/>
  <c r="E28" i="9"/>
  <c r="I23" i="9"/>
  <c r="G43" i="3"/>
  <c r="C220" i="9"/>
  <c r="K21" i="5"/>
  <c r="I198" i="9"/>
  <c r="N98" i="9"/>
  <c r="I110" i="9"/>
  <c r="H74" i="9"/>
  <c r="N141" i="9"/>
  <c r="L48" i="9"/>
  <c r="K137" i="9"/>
  <c r="K15" i="3"/>
  <c r="E176" i="9"/>
  <c r="K178" i="9"/>
  <c r="L15" i="3" l="1"/>
  <c r="N15" i="3"/>
  <c r="M15" i="3"/>
  <c r="L21" i="5"/>
  <c r="N21" i="5"/>
  <c r="M21" i="5"/>
  <c r="M220" i="9"/>
  <c r="G220" i="9"/>
  <c r="J220" i="9"/>
  <c r="D220" i="9"/>
  <c r="J43" i="3"/>
  <c r="I43" i="3"/>
  <c r="H43" i="3"/>
  <c r="M63" i="3"/>
  <c r="N63" i="3"/>
  <c r="L63" i="3"/>
  <c r="D120" i="9"/>
  <c r="M120" i="9"/>
  <c r="G120" i="9"/>
  <c r="J120" i="9"/>
  <c r="M23" i="3"/>
  <c r="N23" i="3"/>
  <c r="L23" i="3"/>
  <c r="G144" i="9"/>
  <c r="M144" i="9"/>
  <c r="J144" i="9"/>
  <c r="D144" i="9"/>
  <c r="D279" i="9"/>
  <c r="M279" i="9"/>
  <c r="G279" i="9"/>
  <c r="J279" i="9"/>
  <c r="J42" i="3"/>
  <c r="H42" i="3"/>
  <c r="I42" i="3"/>
  <c r="J69" i="3"/>
  <c r="H69" i="3"/>
  <c r="I69" i="3"/>
  <c r="J179" i="9"/>
  <c r="M179" i="9"/>
  <c r="D179" i="9"/>
  <c r="G179" i="9"/>
  <c r="J39" i="3"/>
  <c r="H39" i="3"/>
  <c r="I39" i="3"/>
  <c r="P40" i="3"/>
  <c r="R40" i="3"/>
  <c r="Q40" i="3"/>
  <c r="D43" i="9"/>
  <c r="M43" i="9"/>
  <c r="G43" i="9"/>
  <c r="J43" i="9"/>
  <c r="M143" i="9"/>
  <c r="G143" i="9"/>
  <c r="J143" i="9"/>
  <c r="D143" i="9"/>
  <c r="N75" i="3"/>
  <c r="M75" i="3"/>
  <c r="L75" i="3"/>
  <c r="M84" i="9"/>
  <c r="D84" i="9"/>
  <c r="J84" i="9"/>
  <c r="G84" i="9"/>
  <c r="J215" i="9"/>
  <c r="D215" i="9"/>
  <c r="G215" i="9"/>
  <c r="M215" i="9"/>
  <c r="G46" i="9"/>
  <c r="M46" i="9"/>
  <c r="J46" i="9"/>
  <c r="D46" i="9"/>
  <c r="D278" i="9"/>
  <c r="G278" i="9"/>
  <c r="M278" i="9"/>
  <c r="J278" i="9"/>
  <c r="J45" i="9"/>
  <c r="D45" i="9"/>
  <c r="M45" i="9"/>
  <c r="G45" i="9"/>
  <c r="J232" i="9"/>
  <c r="G232" i="9"/>
  <c r="M232" i="9"/>
  <c r="D232" i="9"/>
  <c r="J122" i="9"/>
  <c r="D122" i="9"/>
  <c r="M122" i="9"/>
  <c r="G122" i="9"/>
  <c r="D196" i="9"/>
  <c r="G196" i="9"/>
  <c r="J196" i="9"/>
  <c r="M196" i="9"/>
  <c r="G261" i="9"/>
  <c r="M261" i="9"/>
  <c r="D261" i="9"/>
  <c r="J261" i="9"/>
  <c r="D63" i="9"/>
  <c r="J63" i="9"/>
  <c r="M63" i="9"/>
  <c r="G63" i="9"/>
  <c r="D127" i="9"/>
  <c r="M127" i="9"/>
  <c r="J127" i="9"/>
  <c r="G127" i="9"/>
  <c r="M192" i="9"/>
  <c r="D192" i="9"/>
  <c r="J192" i="9"/>
  <c r="G192" i="9"/>
  <c r="M90" i="9"/>
  <c r="J90" i="9"/>
  <c r="D90" i="9"/>
  <c r="G90" i="9"/>
  <c r="H31" i="3"/>
  <c r="J31" i="3"/>
  <c r="I31" i="3"/>
  <c r="G163" i="9"/>
  <c r="J163" i="9"/>
  <c r="D163" i="9"/>
  <c r="M163" i="9"/>
  <c r="M189" i="9"/>
  <c r="J189" i="9"/>
  <c r="G189" i="9"/>
  <c r="D189" i="9"/>
  <c r="I32" i="3"/>
  <c r="H32" i="3"/>
  <c r="J32" i="3"/>
  <c r="M161" i="9"/>
  <c r="J161" i="9"/>
  <c r="D161" i="9"/>
  <c r="G161" i="9"/>
  <c r="I71" i="3"/>
  <c r="J71" i="3"/>
  <c r="H71" i="3"/>
  <c r="N17" i="5"/>
  <c r="L17" i="5"/>
  <c r="M17" i="5"/>
  <c r="D272" i="9"/>
  <c r="J272" i="9"/>
  <c r="M272" i="9"/>
  <c r="G272" i="9"/>
  <c r="O54" i="9"/>
  <c r="N54" i="9" s="1"/>
  <c r="M16" i="9" s="1"/>
  <c r="J72" i="3"/>
  <c r="H72" i="3"/>
  <c r="I72" i="3"/>
  <c r="P61" i="3"/>
  <c r="R61" i="3"/>
  <c r="Q61" i="3"/>
  <c r="G62" i="9"/>
  <c r="M62" i="9"/>
  <c r="J62" i="9"/>
  <c r="D62" i="9"/>
  <c r="I59" i="3"/>
  <c r="J59" i="3"/>
  <c r="H59" i="3"/>
  <c r="M99" i="9"/>
  <c r="G99" i="9"/>
  <c r="J99" i="9"/>
  <c r="D99" i="9"/>
  <c r="D76" i="9"/>
  <c r="M76" i="9"/>
  <c r="G76" i="9"/>
  <c r="J76" i="9"/>
  <c r="J256" i="9"/>
  <c r="G256" i="9"/>
  <c r="D256" i="9"/>
  <c r="M256" i="9"/>
  <c r="M239" i="9"/>
  <c r="G239" i="9"/>
  <c r="J239" i="9"/>
  <c r="D239" i="9"/>
  <c r="G31" i="9"/>
  <c r="J31" i="9"/>
  <c r="D31" i="9"/>
  <c r="M31" i="9"/>
  <c r="R69" i="3"/>
  <c r="Q69" i="3"/>
  <c r="P69" i="3"/>
  <c r="D107" i="9"/>
  <c r="M107" i="9"/>
  <c r="G107" i="9"/>
  <c r="J107" i="9"/>
  <c r="D60" i="9"/>
  <c r="M60" i="9"/>
  <c r="G60" i="9"/>
  <c r="C92" i="9"/>
  <c r="J60" i="9"/>
  <c r="N12" i="3"/>
  <c r="L12" i="3"/>
  <c r="M12" i="3"/>
  <c r="M251" i="9"/>
  <c r="J251" i="9"/>
  <c r="G251" i="9"/>
  <c r="D251" i="9"/>
  <c r="G236" i="9"/>
  <c r="J236" i="9"/>
  <c r="M236" i="9"/>
  <c r="D236" i="9"/>
  <c r="Q75" i="3"/>
  <c r="P75" i="3"/>
  <c r="R75" i="3"/>
  <c r="J67" i="3"/>
  <c r="I67" i="3"/>
  <c r="H67" i="3"/>
  <c r="G34" i="9"/>
  <c r="D34" i="9"/>
  <c r="J34" i="9"/>
  <c r="M34" i="9"/>
  <c r="L13" i="5"/>
  <c r="M13" i="5"/>
  <c r="N13" i="5"/>
  <c r="R36" i="3"/>
  <c r="P36" i="3"/>
  <c r="Q36" i="3"/>
  <c r="G30" i="9"/>
  <c r="J30" i="9"/>
  <c r="M30" i="9"/>
  <c r="D30" i="9"/>
  <c r="J115" i="9"/>
  <c r="D115" i="9"/>
  <c r="M115" i="9"/>
  <c r="G115" i="9"/>
  <c r="H34" i="3"/>
  <c r="J34" i="3"/>
  <c r="I34" i="3"/>
  <c r="D78" i="9"/>
  <c r="G78" i="9"/>
  <c r="M78" i="9"/>
  <c r="J78" i="9"/>
  <c r="J199" i="9"/>
  <c r="D199" i="9"/>
  <c r="M199" i="9"/>
  <c r="G199" i="9"/>
  <c r="Q45" i="3"/>
  <c r="R45" i="3"/>
  <c r="P45" i="3"/>
  <c r="M65" i="3"/>
  <c r="N65" i="3"/>
  <c r="L65" i="3"/>
  <c r="L92" i="9"/>
  <c r="K92" i="9" s="1"/>
  <c r="J4" i="9" s="1"/>
  <c r="M202" i="9"/>
  <c r="J202" i="9"/>
  <c r="D202" i="9"/>
  <c r="G202" i="9"/>
  <c r="J146" i="9"/>
  <c r="D146" i="9"/>
  <c r="G146" i="9"/>
  <c r="M146" i="9"/>
  <c r="M56" i="3"/>
  <c r="N56" i="3"/>
  <c r="L56" i="3"/>
  <c r="M48" i="3"/>
  <c r="N48" i="3"/>
  <c r="L48" i="3"/>
  <c r="G188" i="9"/>
  <c r="M188" i="9"/>
  <c r="J188" i="9"/>
  <c r="D188" i="9"/>
  <c r="J75" i="3"/>
  <c r="I75" i="3"/>
  <c r="H75" i="3"/>
  <c r="J258" i="9"/>
  <c r="M258" i="9"/>
  <c r="D258" i="9"/>
  <c r="G258" i="9"/>
  <c r="F168" i="9"/>
  <c r="E168" i="9" s="1"/>
  <c r="D12" i="9" s="1"/>
  <c r="H66" i="3"/>
  <c r="I66" i="3"/>
  <c r="J66" i="3"/>
  <c r="M20" i="5"/>
  <c r="N20" i="5"/>
  <c r="L20" i="5"/>
  <c r="J238" i="9"/>
  <c r="G238" i="9"/>
  <c r="M238" i="9"/>
  <c r="D238" i="9"/>
  <c r="J49" i="3"/>
  <c r="H49" i="3"/>
  <c r="I49" i="3"/>
  <c r="D213" i="9"/>
  <c r="J213" i="9"/>
  <c r="G213" i="9"/>
  <c r="M213" i="9"/>
  <c r="O92" i="9"/>
  <c r="N92" i="9" s="1"/>
  <c r="M4" i="9" s="1"/>
  <c r="J152" i="9"/>
  <c r="G152" i="9"/>
  <c r="M152" i="9"/>
  <c r="D152" i="9"/>
  <c r="Q71" i="3"/>
  <c r="P71" i="3"/>
  <c r="R71" i="3"/>
  <c r="L206" i="9"/>
  <c r="K206" i="9" s="1"/>
  <c r="J8" i="9" s="1"/>
  <c r="L130" i="9"/>
  <c r="K130" i="9" s="1"/>
  <c r="J6" i="9" s="1"/>
  <c r="I36" i="3"/>
  <c r="H36" i="3"/>
  <c r="J36" i="3"/>
  <c r="G40" i="9"/>
  <c r="M40" i="9"/>
  <c r="D40" i="9"/>
  <c r="J40" i="9"/>
  <c r="M81" i="9"/>
  <c r="G81" i="9"/>
  <c r="D81" i="9"/>
  <c r="J81" i="9"/>
  <c r="L14" i="5"/>
  <c r="M14" i="5"/>
  <c r="N14" i="5"/>
  <c r="M106" i="9"/>
  <c r="J106" i="9"/>
  <c r="D106" i="9"/>
  <c r="G106" i="9"/>
  <c r="M36" i="3"/>
  <c r="L36" i="3"/>
  <c r="N36" i="3"/>
  <c r="P42" i="3"/>
  <c r="R42" i="3"/>
  <c r="Q42" i="3"/>
  <c r="R64" i="3"/>
  <c r="Q64" i="3"/>
  <c r="P64" i="3"/>
  <c r="I38" i="3"/>
  <c r="J38" i="3"/>
  <c r="H38" i="3"/>
  <c r="H56" i="3"/>
  <c r="I56" i="3"/>
  <c r="J56" i="3"/>
  <c r="J113" i="9"/>
  <c r="M113" i="9"/>
  <c r="D113" i="9"/>
  <c r="G113" i="9"/>
  <c r="D265" i="9"/>
  <c r="M265" i="9"/>
  <c r="J265" i="9"/>
  <c r="G265" i="9"/>
  <c r="J126" i="9"/>
  <c r="D126" i="9"/>
  <c r="G126" i="9"/>
  <c r="M126" i="9"/>
  <c r="N33" i="3"/>
  <c r="M33" i="3"/>
  <c r="L33" i="3"/>
  <c r="J218" i="9"/>
  <c r="D218" i="9"/>
  <c r="G218" i="9"/>
  <c r="M218" i="9"/>
  <c r="J73" i="3"/>
  <c r="H73" i="3"/>
  <c r="I73" i="3"/>
  <c r="H63" i="3"/>
  <c r="J63" i="3"/>
  <c r="I63" i="3"/>
  <c r="L8" i="3"/>
  <c r="N8" i="3"/>
  <c r="M8" i="3"/>
  <c r="P59" i="3"/>
  <c r="Q59" i="3"/>
  <c r="R59" i="3"/>
  <c r="H33" i="3"/>
  <c r="J33" i="3"/>
  <c r="I33" i="3"/>
  <c r="G102" i="9"/>
  <c r="J102" i="9"/>
  <c r="D102" i="9"/>
  <c r="M102" i="9"/>
  <c r="N70" i="3"/>
  <c r="M70" i="3"/>
  <c r="L70" i="3"/>
  <c r="G116" i="9"/>
  <c r="D116" i="9"/>
  <c r="M116" i="9"/>
  <c r="J116" i="9"/>
  <c r="M257" i="9"/>
  <c r="G257" i="9"/>
  <c r="D257" i="9"/>
  <c r="J257" i="9"/>
  <c r="J237" i="9"/>
  <c r="D237" i="9"/>
  <c r="G237" i="9"/>
  <c r="M237" i="9"/>
  <c r="M47" i="9"/>
  <c r="J47" i="9"/>
  <c r="D47" i="9"/>
  <c r="G47" i="9"/>
  <c r="R49" i="3"/>
  <c r="P49" i="3"/>
  <c r="Q49" i="3"/>
  <c r="J276" i="9"/>
  <c r="D276" i="9"/>
  <c r="M276" i="9"/>
  <c r="G276" i="9"/>
  <c r="I282" i="9"/>
  <c r="H282" i="9" s="1"/>
  <c r="G14" i="9" s="1"/>
  <c r="M10" i="3"/>
  <c r="L10" i="3"/>
  <c r="N10" i="3"/>
  <c r="N19" i="5"/>
  <c r="M19" i="5"/>
  <c r="L19" i="5"/>
  <c r="J262" i="9"/>
  <c r="D262" i="9"/>
  <c r="G262" i="9"/>
  <c r="M262" i="9"/>
  <c r="M200" i="9"/>
  <c r="J200" i="9"/>
  <c r="G200" i="9"/>
  <c r="D200" i="9"/>
  <c r="F282" i="9"/>
  <c r="E282" i="9" s="1"/>
  <c r="D14" i="9" s="1"/>
  <c r="J214" i="9"/>
  <c r="G214" i="9"/>
  <c r="D214" i="9"/>
  <c r="M214" i="9"/>
  <c r="J190" i="9"/>
  <c r="G190" i="9"/>
  <c r="M190" i="9"/>
  <c r="D190" i="9"/>
  <c r="G51" i="9"/>
  <c r="D51" i="9"/>
  <c r="J51" i="9"/>
  <c r="M51" i="9"/>
  <c r="L19" i="3"/>
  <c r="M19" i="3"/>
  <c r="N19" i="3"/>
  <c r="D124" i="9"/>
  <c r="M124" i="9"/>
  <c r="J124" i="9"/>
  <c r="G124" i="9"/>
  <c r="N12" i="5"/>
  <c r="L12" i="5"/>
  <c r="M12" i="5"/>
  <c r="G151" i="9"/>
  <c r="D151" i="9"/>
  <c r="J151" i="9"/>
  <c r="M151" i="9"/>
  <c r="D136" i="9"/>
  <c r="J136" i="9"/>
  <c r="C168" i="9"/>
  <c r="M136" i="9"/>
  <c r="G136" i="9"/>
  <c r="F130" i="9"/>
  <c r="E130" i="9" s="1"/>
  <c r="D6" i="9" s="1"/>
  <c r="H45" i="3"/>
  <c r="J45" i="3"/>
  <c r="I45" i="3"/>
  <c r="M35" i="3"/>
  <c r="N35" i="3"/>
  <c r="L35" i="3"/>
  <c r="J164" i="9"/>
  <c r="G164" i="9"/>
  <c r="M164" i="9"/>
  <c r="D164" i="9"/>
  <c r="D157" i="9"/>
  <c r="G157" i="9"/>
  <c r="M157" i="9"/>
  <c r="J157" i="9"/>
  <c r="D28" i="9"/>
  <c r="G28" i="9"/>
  <c r="J28" i="9"/>
  <c r="M28" i="9"/>
  <c r="G250" i="9"/>
  <c r="D250" i="9"/>
  <c r="J250" i="9"/>
  <c r="M250" i="9"/>
  <c r="C282" i="9"/>
  <c r="M72" i="9"/>
  <c r="G72" i="9"/>
  <c r="J72" i="9"/>
  <c r="D72" i="9"/>
  <c r="D175" i="9"/>
  <c r="G175" i="9"/>
  <c r="M175" i="9"/>
  <c r="J175" i="9"/>
  <c r="H44" i="3"/>
  <c r="J44" i="3"/>
  <c r="I44" i="3"/>
  <c r="D263" i="9"/>
  <c r="G263" i="9"/>
  <c r="M263" i="9"/>
  <c r="J263" i="9"/>
  <c r="Q46" i="3"/>
  <c r="R46" i="3"/>
  <c r="P46" i="3"/>
  <c r="G33" i="9"/>
  <c r="J33" i="9"/>
  <c r="D33" i="9"/>
  <c r="M33" i="9"/>
  <c r="G194" i="9"/>
  <c r="M194" i="9"/>
  <c r="D194" i="9"/>
  <c r="J194" i="9"/>
  <c r="D35" i="9"/>
  <c r="M35" i="9"/>
  <c r="J35" i="9"/>
  <c r="G35" i="9"/>
  <c r="M47" i="3"/>
  <c r="L47" i="3"/>
  <c r="N47" i="3"/>
  <c r="L7" i="3"/>
  <c r="N7" i="3"/>
  <c r="M7" i="3"/>
  <c r="D149" i="9"/>
  <c r="G149" i="9"/>
  <c r="J149" i="9"/>
  <c r="M149" i="9"/>
  <c r="J148" i="9"/>
  <c r="M148" i="9"/>
  <c r="G148" i="9"/>
  <c r="D148" i="9"/>
  <c r="G141" i="9"/>
  <c r="M141" i="9"/>
  <c r="D141" i="9"/>
  <c r="J141" i="9"/>
  <c r="R70" i="3"/>
  <c r="P70" i="3"/>
  <c r="Q70" i="3"/>
  <c r="L9" i="5"/>
  <c r="N9" i="5"/>
  <c r="M9" i="5"/>
  <c r="N39" i="3"/>
  <c r="L39" i="3"/>
  <c r="M39" i="3"/>
  <c r="G219" i="9"/>
  <c r="M219" i="9"/>
  <c r="J219" i="9"/>
  <c r="D219" i="9"/>
  <c r="G235" i="9"/>
  <c r="D235" i="9"/>
  <c r="J235" i="9"/>
  <c r="M235" i="9"/>
  <c r="L13" i="3"/>
  <c r="M13" i="3"/>
  <c r="N13" i="3"/>
  <c r="I92" i="9"/>
  <c r="H92" i="9" s="1"/>
  <c r="G4" i="9" s="1"/>
  <c r="G241" i="9"/>
  <c r="D241" i="9"/>
  <c r="M241" i="9"/>
  <c r="J241" i="9"/>
  <c r="N18" i="5"/>
  <c r="L18" i="5"/>
  <c r="M18" i="5"/>
  <c r="G38" i="9"/>
  <c r="D38" i="9"/>
  <c r="M38" i="9"/>
  <c r="J38" i="9"/>
  <c r="G224" i="9"/>
  <c r="J224" i="9"/>
  <c r="D224" i="9"/>
  <c r="M224" i="9"/>
  <c r="M185" i="9"/>
  <c r="G185" i="9"/>
  <c r="D185" i="9"/>
  <c r="J185" i="9"/>
  <c r="L60" i="3"/>
  <c r="M60" i="3"/>
  <c r="N60" i="3"/>
  <c r="M253" i="9"/>
  <c r="G253" i="9"/>
  <c r="J253" i="9"/>
  <c r="D253" i="9"/>
  <c r="M182" i="9"/>
  <c r="J182" i="9"/>
  <c r="G182" i="9"/>
  <c r="D182" i="9"/>
  <c r="L6" i="5"/>
  <c r="M6" i="5"/>
  <c r="N6" i="5"/>
  <c r="D61" i="9"/>
  <c r="J61" i="9"/>
  <c r="G61" i="9"/>
  <c r="M61" i="9"/>
  <c r="P67" i="3"/>
  <c r="R67" i="3"/>
  <c r="Q67" i="3"/>
  <c r="G193" i="9"/>
  <c r="D193" i="9"/>
  <c r="J193" i="9"/>
  <c r="M193" i="9"/>
  <c r="G204" i="9"/>
  <c r="J204" i="9"/>
  <c r="D204" i="9"/>
  <c r="M204" i="9"/>
  <c r="I54" i="9"/>
  <c r="H54" i="9" s="1"/>
  <c r="G16" i="9" s="1"/>
  <c r="N38" i="3"/>
  <c r="M38" i="3"/>
  <c r="L38" i="3"/>
  <c r="M69" i="3"/>
  <c r="L69" i="3"/>
  <c r="N69" i="3"/>
  <c r="G67" i="9"/>
  <c r="D67" i="9"/>
  <c r="M67" i="9"/>
  <c r="J67" i="9"/>
  <c r="Q72" i="3"/>
  <c r="P72" i="3"/>
  <c r="R72" i="3"/>
  <c r="J160" i="9"/>
  <c r="M160" i="9"/>
  <c r="G160" i="9"/>
  <c r="D160" i="9"/>
  <c r="M20" i="3"/>
  <c r="L20" i="3"/>
  <c r="N20" i="3"/>
  <c r="J77" i="9"/>
  <c r="D77" i="9"/>
  <c r="M77" i="9"/>
  <c r="G77" i="9"/>
  <c r="N41" i="3"/>
  <c r="M41" i="3"/>
  <c r="L41" i="3"/>
  <c r="M142" i="9"/>
  <c r="J142" i="9"/>
  <c r="D142" i="9"/>
  <c r="G142" i="9"/>
  <c r="G104" i="9"/>
  <c r="D104" i="9"/>
  <c r="J104" i="9"/>
  <c r="M104" i="9"/>
  <c r="M111" i="9"/>
  <c r="J111" i="9"/>
  <c r="G111" i="9"/>
  <c r="D111" i="9"/>
  <c r="O282" i="9"/>
  <c r="N282" i="9" s="1"/>
  <c r="M14" i="9" s="1"/>
  <c r="G125" i="9"/>
  <c r="J125" i="9"/>
  <c r="D125" i="9"/>
  <c r="M125" i="9"/>
  <c r="D180" i="9"/>
  <c r="M180" i="9"/>
  <c r="J180" i="9"/>
  <c r="G180" i="9"/>
  <c r="J118" i="9"/>
  <c r="D118" i="9"/>
  <c r="M118" i="9"/>
  <c r="G118" i="9"/>
  <c r="M114" i="9"/>
  <c r="D114" i="9"/>
  <c r="G114" i="9"/>
  <c r="J114" i="9"/>
  <c r="M32" i="3"/>
  <c r="N32" i="3"/>
  <c r="L32" i="3"/>
  <c r="I50" i="3"/>
  <c r="J50" i="3"/>
  <c r="H50" i="3"/>
  <c r="M230" i="9"/>
  <c r="J230" i="9"/>
  <c r="D230" i="9"/>
  <c r="G230" i="9"/>
  <c r="R73" i="3"/>
  <c r="Q73" i="3"/>
  <c r="P73" i="3"/>
  <c r="Q34" i="3"/>
  <c r="P34" i="3"/>
  <c r="R34" i="3"/>
  <c r="J273" i="9"/>
  <c r="D273" i="9"/>
  <c r="G273" i="9"/>
  <c r="M273" i="9"/>
  <c r="M69" i="9"/>
  <c r="G69" i="9"/>
  <c r="J69" i="9"/>
  <c r="D69" i="9"/>
  <c r="H37" i="3"/>
  <c r="I37" i="3"/>
  <c r="J37" i="3"/>
  <c r="N17" i="3"/>
  <c r="L17" i="3"/>
  <c r="M17" i="3"/>
  <c r="D178" i="9"/>
  <c r="G178" i="9"/>
  <c r="M178" i="9"/>
  <c r="J178" i="9"/>
  <c r="D150" i="9"/>
  <c r="M150" i="9"/>
  <c r="J150" i="9"/>
  <c r="G150" i="9"/>
  <c r="J64" i="3"/>
  <c r="H64" i="3"/>
  <c r="I64" i="3"/>
  <c r="N31" i="3"/>
  <c r="L31" i="3"/>
  <c r="M31" i="3"/>
  <c r="H40" i="3"/>
  <c r="I40" i="3"/>
  <c r="J40" i="3"/>
  <c r="J75" i="9"/>
  <c r="D75" i="9"/>
  <c r="G75" i="9"/>
  <c r="M75" i="9"/>
  <c r="D110" i="9"/>
  <c r="J110" i="9"/>
  <c r="M110" i="9"/>
  <c r="G110" i="9"/>
  <c r="M21" i="3"/>
  <c r="L21" i="3"/>
  <c r="N21" i="3"/>
  <c r="M225" i="9"/>
  <c r="J225" i="9"/>
  <c r="D225" i="9"/>
  <c r="G225" i="9"/>
  <c r="M268" i="9"/>
  <c r="D268" i="9"/>
  <c r="J268" i="9"/>
  <c r="G268" i="9"/>
  <c r="G68" i="9"/>
  <c r="J68" i="9"/>
  <c r="M68" i="9"/>
  <c r="D68" i="9"/>
  <c r="M82" i="9"/>
  <c r="J82" i="9"/>
  <c r="G82" i="9"/>
  <c r="D82" i="9"/>
  <c r="N34" i="3"/>
  <c r="L34" i="3"/>
  <c r="M34" i="3"/>
  <c r="J183" i="9"/>
  <c r="G183" i="9"/>
  <c r="D183" i="9"/>
  <c r="M183" i="9"/>
  <c r="D36" i="9"/>
  <c r="M36" i="9"/>
  <c r="J36" i="9"/>
  <c r="G36" i="9"/>
  <c r="R63" i="3"/>
  <c r="Q63" i="3"/>
  <c r="P63" i="3"/>
  <c r="J103" i="9"/>
  <c r="M103" i="9"/>
  <c r="D103" i="9"/>
  <c r="G103" i="9"/>
  <c r="R35" i="3"/>
  <c r="Q35" i="3"/>
  <c r="P35" i="3"/>
  <c r="J26" i="9"/>
  <c r="M26" i="9"/>
  <c r="G26" i="9"/>
  <c r="D26" i="9"/>
  <c r="D128" i="9"/>
  <c r="J128" i="9"/>
  <c r="G128" i="9"/>
  <c r="M128" i="9"/>
  <c r="M44" i="3"/>
  <c r="L44" i="3"/>
  <c r="N44" i="3"/>
  <c r="G195" i="9"/>
  <c r="D195" i="9"/>
  <c r="M195" i="9"/>
  <c r="J195" i="9"/>
  <c r="D174" i="9"/>
  <c r="G174" i="9"/>
  <c r="J174" i="9"/>
  <c r="M174" i="9"/>
  <c r="C206" i="9"/>
  <c r="J222" i="9"/>
  <c r="D222" i="9"/>
  <c r="G222" i="9"/>
  <c r="M222" i="9"/>
  <c r="Q31" i="3"/>
  <c r="R31" i="3"/>
  <c r="P31" i="3"/>
  <c r="D119" i="9"/>
  <c r="M119" i="9"/>
  <c r="G119" i="9"/>
  <c r="J119" i="9"/>
  <c r="L66" i="3"/>
  <c r="N66" i="3"/>
  <c r="M66" i="3"/>
  <c r="P44" i="3"/>
  <c r="Q44" i="3"/>
  <c r="R44" i="3"/>
  <c r="M112" i="9"/>
  <c r="G112" i="9"/>
  <c r="J112" i="9"/>
  <c r="D112" i="9"/>
  <c r="M155" i="9"/>
  <c r="D155" i="9"/>
  <c r="J155" i="9"/>
  <c r="G155" i="9"/>
  <c r="I46" i="3"/>
  <c r="J46" i="3"/>
  <c r="H46" i="3"/>
  <c r="N57" i="3"/>
  <c r="M57" i="3"/>
  <c r="L57" i="3"/>
  <c r="Q57" i="3"/>
  <c r="R57" i="3"/>
  <c r="P57" i="3"/>
  <c r="L25" i="5"/>
  <c r="M25" i="5"/>
  <c r="N25" i="5"/>
  <c r="H70" i="3"/>
  <c r="I70" i="3"/>
  <c r="J70" i="3"/>
  <c r="D177" i="9"/>
  <c r="M177" i="9"/>
  <c r="G177" i="9"/>
  <c r="J177" i="9"/>
  <c r="J73" i="9"/>
  <c r="G73" i="9"/>
  <c r="D73" i="9"/>
  <c r="M73" i="9"/>
  <c r="J62" i="3"/>
  <c r="H62" i="3"/>
  <c r="I62" i="3"/>
  <c r="D165" i="9"/>
  <c r="M165" i="9"/>
  <c r="J165" i="9"/>
  <c r="G165" i="9"/>
  <c r="G153" i="9"/>
  <c r="J153" i="9"/>
  <c r="M153" i="9"/>
  <c r="D153" i="9"/>
  <c r="H65" i="3"/>
  <c r="J65" i="3"/>
  <c r="I65" i="3"/>
  <c r="J57" i="3"/>
  <c r="H57" i="3"/>
  <c r="I57" i="3"/>
  <c r="N9" i="3"/>
  <c r="M9" i="3"/>
  <c r="L9" i="3"/>
  <c r="I60" i="3"/>
  <c r="J60" i="3"/>
  <c r="H60" i="3"/>
  <c r="Q37" i="3"/>
  <c r="P37" i="3"/>
  <c r="R37" i="3"/>
  <c r="O206" i="9"/>
  <c r="N206" i="9" s="1"/>
  <c r="M8" i="9" s="1"/>
  <c r="J47" i="3"/>
  <c r="I47" i="3"/>
  <c r="H47" i="3"/>
  <c r="J48" i="9"/>
  <c r="M48" i="9"/>
  <c r="D48" i="9"/>
  <c r="G48" i="9"/>
  <c r="N67" i="3"/>
  <c r="M67" i="3"/>
  <c r="L67" i="3"/>
  <c r="G191" i="9"/>
  <c r="M191" i="9"/>
  <c r="J191" i="9"/>
  <c r="D191" i="9"/>
  <c r="L15" i="5"/>
  <c r="M15" i="5"/>
  <c r="N15" i="5"/>
  <c r="M80" i="9"/>
  <c r="G80" i="9"/>
  <c r="J80" i="9"/>
  <c r="D80" i="9"/>
  <c r="M138" i="9"/>
  <c r="G138" i="9"/>
  <c r="D138" i="9"/>
  <c r="J138" i="9"/>
  <c r="G228" i="9"/>
  <c r="J228" i="9"/>
  <c r="D228" i="9"/>
  <c r="M228" i="9"/>
  <c r="Q65" i="3"/>
  <c r="P65" i="3"/>
  <c r="R65" i="3"/>
  <c r="M43" i="3"/>
  <c r="L43" i="3"/>
  <c r="N43" i="3"/>
  <c r="M121" i="9"/>
  <c r="D121" i="9"/>
  <c r="G121" i="9"/>
  <c r="J121" i="9"/>
  <c r="M212" i="9"/>
  <c r="D212" i="9"/>
  <c r="J212" i="9"/>
  <c r="G212" i="9"/>
  <c r="C244" i="9"/>
  <c r="I48" i="3"/>
  <c r="H48" i="3"/>
  <c r="J48" i="3"/>
  <c r="N25" i="3"/>
  <c r="M25" i="3"/>
  <c r="L25" i="3"/>
  <c r="N68" i="3"/>
  <c r="M68" i="3"/>
  <c r="L68" i="3"/>
  <c r="G64" i="9"/>
  <c r="D64" i="9"/>
  <c r="J64" i="9"/>
  <c r="M64" i="9"/>
  <c r="P74" i="3"/>
  <c r="Q74" i="3"/>
  <c r="R74" i="3"/>
  <c r="D266" i="9"/>
  <c r="M266" i="9"/>
  <c r="J266" i="9"/>
  <c r="G266" i="9"/>
  <c r="M274" i="9"/>
  <c r="J274" i="9"/>
  <c r="D274" i="9"/>
  <c r="G274" i="9"/>
  <c r="M59" i="3"/>
  <c r="N59" i="3"/>
  <c r="L59" i="3"/>
  <c r="M29" i="9"/>
  <c r="J29" i="9"/>
  <c r="G29" i="9"/>
  <c r="D29" i="9"/>
  <c r="N74" i="3"/>
  <c r="L74" i="3"/>
  <c r="M74" i="3"/>
  <c r="D117" i="9"/>
  <c r="G117" i="9"/>
  <c r="J117" i="9"/>
  <c r="M117" i="9"/>
  <c r="G44" i="9"/>
  <c r="M44" i="9"/>
  <c r="J44" i="9"/>
  <c r="D44" i="9"/>
  <c r="N23" i="5"/>
  <c r="M23" i="5"/>
  <c r="L23" i="5"/>
  <c r="I206" i="9"/>
  <c r="H206" i="9" s="1"/>
  <c r="G8" i="9" s="1"/>
  <c r="G166" i="9"/>
  <c r="M166" i="9"/>
  <c r="J166" i="9"/>
  <c r="D166" i="9"/>
  <c r="R43" i="3"/>
  <c r="Q43" i="3"/>
  <c r="P43" i="3"/>
  <c r="L16" i="5"/>
  <c r="N16" i="5"/>
  <c r="M16" i="5"/>
  <c r="I35" i="3"/>
  <c r="H35" i="3"/>
  <c r="J35" i="3"/>
  <c r="G197" i="9"/>
  <c r="M197" i="9"/>
  <c r="J197" i="9"/>
  <c r="D197" i="9"/>
  <c r="R60" i="3"/>
  <c r="P60" i="3"/>
  <c r="Q60" i="3"/>
  <c r="L42" i="3"/>
  <c r="M42" i="3"/>
  <c r="N42" i="3"/>
  <c r="D227" i="9"/>
  <c r="J227" i="9"/>
  <c r="G227" i="9"/>
  <c r="M227" i="9"/>
  <c r="G201" i="9"/>
  <c r="D201" i="9"/>
  <c r="J201" i="9"/>
  <c r="M201" i="9"/>
  <c r="M8" i="5"/>
  <c r="L8" i="5"/>
  <c r="N8" i="5"/>
  <c r="D74" i="9"/>
  <c r="M74" i="9"/>
  <c r="J74" i="9"/>
  <c r="G74" i="9"/>
  <c r="D65" i="9"/>
  <c r="G65" i="9"/>
  <c r="J65" i="9"/>
  <c r="M65" i="9"/>
  <c r="L40" i="3"/>
  <c r="M40" i="3"/>
  <c r="N40" i="3"/>
  <c r="D154" i="9"/>
  <c r="G154" i="9"/>
  <c r="J154" i="9"/>
  <c r="M154" i="9"/>
  <c r="J159" i="9"/>
  <c r="M159" i="9"/>
  <c r="D159" i="9"/>
  <c r="G159" i="9"/>
  <c r="D88" i="9"/>
  <c r="J88" i="9"/>
  <c r="M88" i="9"/>
  <c r="G88" i="9"/>
  <c r="I68" i="3"/>
  <c r="J68" i="3"/>
  <c r="H68" i="3"/>
  <c r="J187" i="9"/>
  <c r="D187" i="9"/>
  <c r="G187" i="9"/>
  <c r="M187" i="9"/>
  <c r="Q50" i="3"/>
  <c r="P50" i="3"/>
  <c r="R50" i="3"/>
  <c r="L14" i="3"/>
  <c r="N14" i="3"/>
  <c r="M14" i="3"/>
  <c r="R32" i="3"/>
  <c r="P32" i="3"/>
  <c r="Q32" i="3"/>
  <c r="M37" i="9"/>
  <c r="D37" i="9"/>
  <c r="G37" i="9"/>
  <c r="J37" i="9"/>
  <c r="Q47" i="3"/>
  <c r="R47" i="3"/>
  <c r="P47" i="3"/>
  <c r="M223" i="9"/>
  <c r="J223" i="9"/>
  <c r="D223" i="9"/>
  <c r="G223" i="9"/>
  <c r="M198" i="9"/>
  <c r="G198" i="9"/>
  <c r="D198" i="9"/>
  <c r="J198" i="9"/>
  <c r="L16" i="3"/>
  <c r="M16" i="3"/>
  <c r="N16" i="3"/>
  <c r="N24" i="5"/>
  <c r="M24" i="5"/>
  <c r="L24" i="5"/>
  <c r="I168" i="9"/>
  <c r="H168" i="9" s="1"/>
  <c r="G12" i="9" s="1"/>
  <c r="M242" i="9"/>
  <c r="D242" i="9"/>
  <c r="G242" i="9"/>
  <c r="J242" i="9"/>
  <c r="M22" i="3"/>
  <c r="N22" i="3"/>
  <c r="L22" i="3"/>
  <c r="N49" i="3"/>
  <c r="L49" i="3"/>
  <c r="M49" i="3"/>
  <c r="D32" i="9"/>
  <c r="J32" i="9"/>
  <c r="M32" i="9"/>
  <c r="G32" i="9"/>
  <c r="M37" i="3"/>
  <c r="N37" i="3"/>
  <c r="L37" i="3"/>
  <c r="D123" i="9"/>
  <c r="G123" i="9"/>
  <c r="J123" i="9"/>
  <c r="M123" i="9"/>
  <c r="D221" i="9"/>
  <c r="G221" i="9"/>
  <c r="M221" i="9"/>
  <c r="J221" i="9"/>
  <c r="J217" i="9"/>
  <c r="G217" i="9"/>
  <c r="M217" i="9"/>
  <c r="D217" i="9"/>
  <c r="D87" i="9"/>
  <c r="M87" i="9"/>
  <c r="J87" i="9"/>
  <c r="G87" i="9"/>
  <c r="M71" i="3"/>
  <c r="N71" i="3"/>
  <c r="L71" i="3"/>
  <c r="P66" i="3"/>
  <c r="Q66" i="3"/>
  <c r="R66" i="3"/>
  <c r="G162" i="9"/>
  <c r="J162" i="9"/>
  <c r="M162" i="9"/>
  <c r="D162" i="9"/>
  <c r="D229" i="9"/>
  <c r="M229" i="9"/>
  <c r="G229" i="9"/>
  <c r="J229" i="9"/>
  <c r="M226" i="9"/>
  <c r="G226" i="9"/>
  <c r="J226" i="9"/>
  <c r="D226" i="9"/>
  <c r="D25" i="9"/>
  <c r="G25" i="9"/>
  <c r="J25" i="9"/>
  <c r="M25" i="9"/>
  <c r="L282" i="9"/>
  <c r="K282" i="9" s="1"/>
  <c r="J14" i="9" s="1"/>
  <c r="P39" i="3"/>
  <c r="Q39" i="3"/>
  <c r="R39" i="3"/>
  <c r="D216" i="9"/>
  <c r="G216" i="9"/>
  <c r="J216" i="9"/>
  <c r="M216" i="9"/>
  <c r="I244" i="9"/>
  <c r="H244" i="9" s="1"/>
  <c r="G10" i="9" s="1"/>
  <c r="P62" i="3"/>
  <c r="Q62" i="3"/>
  <c r="R62" i="3"/>
  <c r="P41" i="3"/>
  <c r="Q41" i="3"/>
  <c r="R41" i="3"/>
  <c r="J234" i="9"/>
  <c r="M234" i="9"/>
  <c r="D234" i="9"/>
  <c r="G234" i="9"/>
  <c r="M186" i="9"/>
  <c r="J186" i="9"/>
  <c r="D186" i="9"/>
  <c r="G186" i="9"/>
  <c r="G176" i="9"/>
  <c r="M176" i="9"/>
  <c r="J176" i="9"/>
  <c r="D176" i="9"/>
  <c r="H58" i="3"/>
  <c r="I58" i="3"/>
  <c r="J58" i="3"/>
  <c r="J86" i="9"/>
  <c r="D86" i="9"/>
  <c r="M86" i="9"/>
  <c r="G86" i="9"/>
  <c r="G269" i="9"/>
  <c r="J269" i="9"/>
  <c r="D269" i="9"/>
  <c r="M269" i="9"/>
  <c r="D275" i="9"/>
  <c r="G275" i="9"/>
  <c r="J275" i="9"/>
  <c r="M275" i="9"/>
  <c r="J277" i="9"/>
  <c r="G277" i="9"/>
  <c r="M277" i="9"/>
  <c r="D277" i="9"/>
  <c r="D137" i="9"/>
  <c r="J137" i="9"/>
  <c r="G137" i="9"/>
  <c r="M137" i="9"/>
  <c r="Q68" i="3"/>
  <c r="P68" i="3"/>
  <c r="R68" i="3"/>
  <c r="M254" i="9"/>
  <c r="D254" i="9"/>
  <c r="J254" i="9"/>
  <c r="G254" i="9"/>
  <c r="L54" i="9"/>
  <c r="K54" i="9" s="1"/>
  <c r="J16" i="9" s="1"/>
  <c r="P38" i="3"/>
  <c r="Q38" i="3"/>
  <c r="R38" i="3"/>
  <c r="H41" i="3"/>
  <c r="J41" i="3"/>
  <c r="I41" i="3"/>
  <c r="L73" i="3"/>
  <c r="M73" i="3"/>
  <c r="N73" i="3"/>
  <c r="D27" i="9"/>
  <c r="G27" i="9"/>
  <c r="J27" i="9"/>
  <c r="M27" i="9"/>
  <c r="L58" i="3"/>
  <c r="M58" i="3"/>
  <c r="N58" i="3"/>
  <c r="G23" i="9"/>
  <c r="M23" i="9"/>
  <c r="J23" i="9"/>
  <c r="D23" i="9"/>
  <c r="N18" i="3"/>
  <c r="M18" i="3"/>
  <c r="L18" i="3"/>
  <c r="M140" i="9"/>
  <c r="G140" i="9"/>
  <c r="J140" i="9"/>
  <c r="D140" i="9"/>
  <c r="D100" i="9"/>
  <c r="G100" i="9"/>
  <c r="M100" i="9"/>
  <c r="J100" i="9"/>
  <c r="N46" i="3"/>
  <c r="M46" i="3"/>
  <c r="L46" i="3"/>
  <c r="L64" i="3"/>
  <c r="N64" i="3"/>
  <c r="M64" i="3"/>
  <c r="F206" i="9"/>
  <c r="E206" i="9" s="1"/>
  <c r="D8" i="9" s="1"/>
  <c r="M7" i="5"/>
  <c r="L7" i="5"/>
  <c r="N7" i="5"/>
  <c r="N61" i="3"/>
  <c r="M61" i="3"/>
  <c r="L61" i="3"/>
  <c r="L72" i="3"/>
  <c r="M72" i="3"/>
  <c r="N72" i="3"/>
  <c r="N45" i="3"/>
  <c r="M45" i="3"/>
  <c r="L45" i="3"/>
  <c r="D83" i="9"/>
  <c r="G83" i="9"/>
  <c r="M83" i="9"/>
  <c r="J83" i="9"/>
  <c r="L10" i="5"/>
  <c r="N10" i="5"/>
  <c r="M10" i="5"/>
  <c r="M240" i="9"/>
  <c r="G240" i="9"/>
  <c r="D240" i="9"/>
  <c r="J240" i="9"/>
  <c r="M71" i="9"/>
  <c r="J71" i="9"/>
  <c r="D71" i="9"/>
  <c r="G71" i="9"/>
  <c r="P48" i="3"/>
  <c r="R48" i="3"/>
  <c r="Q48" i="3"/>
  <c r="N11" i="3"/>
  <c r="L11" i="3"/>
  <c r="M11" i="3"/>
  <c r="G255" i="9"/>
  <c r="D255" i="9"/>
  <c r="M255" i="9"/>
  <c r="J255" i="9"/>
  <c r="L244" i="9"/>
  <c r="K244" i="9" s="1"/>
  <c r="J10" i="9" s="1"/>
  <c r="J61" i="3"/>
  <c r="I61" i="3"/>
  <c r="H61" i="3"/>
  <c r="F244" i="9"/>
  <c r="E244" i="9" s="1"/>
  <c r="D10" i="9" s="1"/>
  <c r="M267" i="9"/>
  <c r="J267" i="9"/>
  <c r="D267" i="9"/>
  <c r="G267" i="9"/>
  <c r="L24" i="3"/>
  <c r="N24" i="3"/>
  <c r="M24" i="3"/>
  <c r="J259" i="9"/>
  <c r="M259" i="9"/>
  <c r="G259" i="9"/>
  <c r="D259" i="9"/>
  <c r="G79" i="9"/>
  <c r="J79" i="9"/>
  <c r="D79" i="9"/>
  <c r="M79" i="9"/>
  <c r="G39" i="9"/>
  <c r="M39" i="9"/>
  <c r="J39" i="9"/>
  <c r="D39" i="9"/>
  <c r="L11" i="5"/>
  <c r="N11" i="5"/>
  <c r="M11" i="5"/>
  <c r="M22" i="5"/>
  <c r="L22" i="5"/>
  <c r="N22" i="5"/>
  <c r="D98" i="9"/>
  <c r="J98" i="9"/>
  <c r="G98" i="9"/>
  <c r="C130" i="9"/>
  <c r="M98" i="9"/>
  <c r="G156" i="9"/>
  <c r="M156" i="9"/>
  <c r="J156" i="9"/>
  <c r="D156" i="9"/>
  <c r="L62" i="3"/>
  <c r="N62" i="3"/>
  <c r="M62" i="3"/>
  <c r="I130" i="9"/>
  <c r="H130" i="9" s="1"/>
  <c r="G6" i="9" s="1"/>
  <c r="M203" i="9"/>
  <c r="D203" i="9"/>
  <c r="J203" i="9"/>
  <c r="G203" i="9"/>
  <c r="G147" i="9"/>
  <c r="D147" i="9"/>
  <c r="M147" i="9"/>
  <c r="J147" i="9"/>
  <c r="J105" i="9"/>
  <c r="G105" i="9"/>
  <c r="D105" i="9"/>
  <c r="M105" i="9"/>
  <c r="G24" i="9"/>
  <c r="J24" i="9"/>
  <c r="D24" i="9"/>
  <c r="M24" i="9"/>
  <c r="M264" i="9"/>
  <c r="D264" i="9"/>
  <c r="J264" i="9"/>
  <c r="G264" i="9"/>
  <c r="M89" i="9"/>
  <c r="G89" i="9"/>
  <c r="D89" i="9"/>
  <c r="J89" i="9"/>
  <c r="D70" i="9"/>
  <c r="G70" i="9"/>
  <c r="J70" i="9"/>
  <c r="M70" i="9"/>
  <c r="J108" i="9"/>
  <c r="M108" i="9"/>
  <c r="D108" i="9"/>
  <c r="G108" i="9"/>
  <c r="O168" i="9"/>
  <c r="N168" i="9" s="1"/>
  <c r="M12" i="9" s="1"/>
  <c r="L6" i="3"/>
  <c r="M6" i="3"/>
  <c r="N6" i="3"/>
  <c r="D181" i="9"/>
  <c r="J181" i="9"/>
  <c r="G181" i="9"/>
  <c r="M181" i="9"/>
  <c r="D49" i="9"/>
  <c r="G49" i="9"/>
  <c r="J49" i="9"/>
  <c r="M49" i="9"/>
  <c r="D270" i="9"/>
  <c r="J270" i="9"/>
  <c r="M270" i="9"/>
  <c r="G270" i="9"/>
  <c r="J22" i="9"/>
  <c r="C54" i="9"/>
  <c r="G22" i="9"/>
  <c r="D22" i="9"/>
  <c r="M22" i="9"/>
  <c r="M42" i="9"/>
  <c r="D42" i="9"/>
  <c r="G42" i="9"/>
  <c r="J42" i="9"/>
  <c r="P56" i="3"/>
  <c r="R56" i="3"/>
  <c r="Q56" i="3"/>
  <c r="M139" i="9"/>
  <c r="D139" i="9"/>
  <c r="J139" i="9"/>
  <c r="G139" i="9"/>
  <c r="M145" i="9"/>
  <c r="D145" i="9"/>
  <c r="G145" i="9"/>
  <c r="J145" i="9"/>
  <c r="L168" i="9"/>
  <c r="K168" i="9" s="1"/>
  <c r="J12" i="9" s="1"/>
  <c r="N50" i="3"/>
  <c r="M50" i="3"/>
  <c r="L50" i="3"/>
  <c r="F92" i="9"/>
  <c r="E92" i="9" s="1"/>
  <c r="D4" i="9" s="1"/>
  <c r="H74" i="3"/>
  <c r="I74" i="3"/>
  <c r="J74" i="3"/>
  <c r="P33" i="3"/>
  <c r="Q33" i="3"/>
  <c r="R33" i="3"/>
  <c r="J158" i="9"/>
  <c r="D158" i="9"/>
  <c r="G158" i="9"/>
  <c r="M158" i="9"/>
  <c r="M184" i="9"/>
  <c r="G184" i="9"/>
  <c r="D184" i="9"/>
  <c r="J184" i="9"/>
  <c r="Q58" i="3"/>
  <c r="R58" i="3"/>
  <c r="P58" i="3"/>
  <c r="M50" i="9"/>
  <c r="J50" i="9"/>
  <c r="G50" i="9"/>
  <c r="D50" i="9"/>
  <c r="J260" i="9"/>
  <c r="G260" i="9"/>
  <c r="M260" i="9"/>
  <c r="D260" i="9"/>
  <c r="G52" i="9"/>
  <c r="D52" i="9"/>
  <c r="M52" i="9"/>
  <c r="J52" i="9"/>
  <c r="O244" i="9"/>
  <c r="N244" i="9" s="1"/>
  <c r="M10" i="9" s="1"/>
  <c r="D231" i="9"/>
  <c r="M231" i="9"/>
  <c r="J231" i="9"/>
  <c r="G231" i="9"/>
  <c r="O130" i="9"/>
  <c r="N130" i="9" s="1"/>
  <c r="M6" i="9" s="1"/>
  <c r="J66" i="9"/>
  <c r="G66" i="9"/>
  <c r="D66" i="9"/>
  <c r="M66" i="9"/>
  <c r="M252" i="9"/>
  <c r="G252" i="9"/>
  <c r="J252" i="9"/>
  <c r="D252" i="9"/>
  <c r="J233" i="9"/>
  <c r="M233" i="9"/>
  <c r="D233" i="9"/>
  <c r="G233" i="9"/>
  <c r="M41" i="9"/>
  <c r="G41" i="9"/>
  <c r="J41" i="9"/>
  <c r="D41" i="9"/>
  <c r="M271" i="9"/>
  <c r="G271" i="9"/>
  <c r="J271" i="9"/>
  <c r="D271" i="9"/>
  <c r="M109" i="9"/>
  <c r="D109" i="9"/>
  <c r="G109" i="9"/>
  <c r="J109" i="9"/>
  <c r="J280" i="9"/>
  <c r="G280" i="9"/>
  <c r="D280" i="9"/>
  <c r="M280" i="9"/>
  <c r="G101" i="9"/>
  <c r="D101" i="9"/>
  <c r="M101" i="9"/>
  <c r="J101" i="9"/>
  <c r="F54" i="9"/>
  <c r="D85" i="9"/>
  <c r="J85" i="9"/>
  <c r="M85" i="9"/>
  <c r="G85" i="9"/>
  <c r="G244" i="9" l="1"/>
  <c r="G130" i="9"/>
  <c r="J282" i="9"/>
  <c r="J92" i="9"/>
  <c r="D92" i="9"/>
  <c r="J244" i="9"/>
  <c r="G206" i="9"/>
  <c r="B5" i="9"/>
  <c r="E54" i="9"/>
  <c r="D16" i="9" s="1"/>
  <c r="B12" i="9" s="1"/>
  <c r="B7" i="9"/>
  <c r="B4" i="9"/>
  <c r="B11" i="9"/>
  <c r="B9" i="9"/>
  <c r="M54" i="9"/>
  <c r="J54" i="9"/>
  <c r="J130" i="9"/>
  <c r="D244" i="9"/>
  <c r="D206" i="9"/>
  <c r="D282" i="9"/>
  <c r="J168" i="9"/>
  <c r="M282" i="9"/>
  <c r="M168" i="9"/>
  <c r="D54" i="9"/>
  <c r="M130" i="9"/>
  <c r="D130" i="9"/>
  <c r="M244" i="9"/>
  <c r="M206" i="9"/>
  <c r="G282" i="9"/>
  <c r="G168" i="9"/>
  <c r="D168" i="9"/>
  <c r="G92" i="9"/>
  <c r="G54" i="9"/>
  <c r="J206" i="9"/>
  <c r="M92" i="9"/>
  <c r="B13" i="9" l="1"/>
  <c r="B14" i="9"/>
  <c r="B10" i="9"/>
  <c r="B16" i="9"/>
  <c r="B8" i="9"/>
  <c r="B15" i="9"/>
  <c r="B3" i="9"/>
  <c r="B6" i="9"/>
</calcChain>
</file>

<file path=xl/sharedStrings.xml><?xml version="1.0" encoding="utf-8"?>
<sst xmlns="http://schemas.openxmlformats.org/spreadsheetml/2006/main" count="7065" uniqueCount="366">
  <si>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</si>
  <si>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</si>
  <si>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</si>
  <si>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</si>
  <si>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</si>
  <si>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</si>
  <si>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</si>
  <si>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</si>
  <si>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</si>
  <si>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</si>
  <si>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</si>
  <si>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</si>
  <si>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</si>
  <si>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</si>
  <si>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</si>
  <si>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</si>
  <si>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</si>
  <si>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</si>
  <si>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</si>
  <si>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</si>
  <si>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</si>
  <si>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</si>
  <si>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</si>
  <si>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</si>
  <si>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</si>
  <si>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</si>
  <si>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</si>
  <si>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</si>
  <si>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</si>
  <si>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</si>
  <si>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</si>
  <si>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</si>
  <si>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</si>
  <si>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</si>
  <si>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</si>
  <si>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</si>
  <si>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</si>
  <si>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</si>
  <si>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</si>
  <si>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</si>
  <si>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</si>
  <si>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</si>
  <si>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</si>
  <si>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</si>
  <si>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</si>
  <si>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</si>
  <si>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</si>
  <si>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</si>
  <si>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</si>
  <si>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</si>
  <si>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</si>
  <si>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</si>
  <si>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</si>
  <si>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</si>
  <si>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</si>
  <si>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</si>
  <si>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</si>
  <si>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</si>
  <si>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</si>
  <si>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</si>
  <si>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</si>
  <si>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</si>
  <si>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</si>
  <si>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</si>
  <si>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</si>
  <si>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</si>
  <si>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</si>
  <si>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</si>
  <si>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</si>
  <si>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</si>
  <si>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</si>
  <si>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</si>
  <si>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</si>
  <si>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</si>
  <si>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</si>
  <si>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</si>
  <si>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</si>
  <si>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</si>
  <si>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</si>
  <si>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</si>
  <si>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</si>
  <si>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</si>
  <si>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</si>
  <si>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</si>
  <si>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</si>
  <si>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</si>
  <si>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</si>
  <si>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</si>
  <si>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</si>
  <si>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</si>
  <si>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</si>
  <si>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</si>
  <si>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</si>
  <si>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</si>
  <si>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</si>
  <si>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</si>
  <si>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</si>
  <si>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</si>
  <si>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</si>
  <si>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</si>
  <si>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</si>
  <si>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</si>
  <si>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</si>
  <si>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</si>
  <si>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</si>
  <si>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</si>
  <si>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</si>
  <si>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</si>
  <si>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</si>
  <si>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</si>
  <si>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</si>
  <si>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</si>
  <si>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</si>
  <si>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</si>
  <si>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</si>
  <si>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</si>
  <si>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</si>
  <si>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</si>
  <si>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</si>
  <si>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</si>
  <si>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</si>
  <si>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</si>
  <si>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</si>
  <si>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</si>
  <si>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</si>
  <si>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</si>
  <si>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</si>
  <si>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</si>
  <si>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</si>
  <si>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</si>
  <si>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</si>
  <si>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</si>
  <si>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</si>
  <si>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</si>
  <si>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</si>
  <si>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</si>
  <si>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</si>
  <si>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</si>
  <si>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</si>
  <si>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</si>
  <si>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</si>
  <si>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</si>
  <si>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</si>
  <si>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</si>
  <si>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</si>
  <si>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</si>
  <si>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</si>
  <si>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</si>
  <si>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</si>
  <si>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</si>
  <si>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</si>
  <si>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</si>
  <si>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</si>
  <si>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</si>
  <si>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</si>
  <si>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</si>
  <si>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</si>
  <si>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</si>
  <si>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</si>
  <si>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</si>
  <si>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</si>
  <si>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KRW-PCI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</si>
  <si>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</si>
  <si>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</si>
  <si>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</si>
  <si>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</si>
  <si>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</si>
  <si>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</si>
  <si>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</si>
  <si>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</si>
  <si>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</si>
  <si>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</si>
  <si>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</si>
  <si>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</si>
  <si>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</si>
  <si>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</si>
  <si>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</si>
  <si>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</si>
  <si>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</si>
  <si>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</si>
  <si>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</si>
  <si>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</si>
  <si>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</si>
  <si>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</si>
  <si>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</si>
  <si>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</si>
  <si>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</si>
  <si>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</si>
  <si>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</si>
  <si>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</si>
  <si>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</si>
  <si>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</si>
  <si>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</si>
  <si>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</si>
  <si>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</si>
  <si>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</si>
  <si>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</si>
  <si>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</si>
  <si>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</si>
  <si>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</si>
  <si>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</si>
  <si>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</si>
  <si>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</si>
  <si>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</si>
  <si>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</si>
  <si>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</si>
  <si>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</si>
  <si>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KRW-MARO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</si>
  <si>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</si>
  <si>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</si>
  <si>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</si>
  <si>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</si>
  <si>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</si>
  <si>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</si>
  <si>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</si>
  <si>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</si>
  <si>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</si>
  <si>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KRW-OBSR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</si>
  <si>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</si>
  <si>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</si>
  <si>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</si>
  <si>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</si>
  <si>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</si>
  <si>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</si>
  <si>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</si>
  <si>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</si>
  <si>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</si>
  <si>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</si>
  <si>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</si>
  <si>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</si>
  <si>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</si>
  <si>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</si>
  <si>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</si>
  <si>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</si>
  <si>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</si>
  <si>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</si>
  <si>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</si>
  <si>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KRW-SOLVE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</si>
  <si>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</si>
  <si>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</si>
  <si>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</si>
  <si>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</si>
  <si>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</si>
  <si>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</si>
  <si>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</si>
  <si>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</si>
  <si>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</si>
  <si>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</si>
  <si>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</si>
  <si>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</si>
  <si>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</si>
  <si>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</si>
  <si>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</si>
  <si>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KRW-QTCON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</si>
  <si>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</si>
  <si>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</si>
  <si>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</si>
  <si>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</si>
  <si>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</si>
  <si>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</si>
  <si>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</si>
  <si>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</si>
  <si>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</si>
  <si>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</si>
  <si>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</si>
  <si>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</si>
  <si>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</si>
  <si>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</si>
  <si>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</si>
  <si>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</si>
  <si>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</si>
  <si>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</si>
  <si>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</si>
  <si>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</si>
  <si>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</si>
  <si>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</si>
  <si>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</si>
  <si>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</si>
  <si>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</si>
  <si>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</si>
  <si>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</si>
  <si>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</si>
  <si>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</si>
  <si>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</si>
  <si>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</si>
  <si>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</si>
  <si>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</si>
  <si>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</si>
  <si>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</si>
  <si>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</si>
  <si>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</si>
  <si>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</si>
  <si>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</si>
  <si>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</si>
  <si>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</si>
  <si>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</si>
  <si>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</si>
  <si>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</si>
  <si>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</si>
  <si>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</si>
  <si>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</si>
  <si>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</si>
  <si>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</si>
  <si>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</si>
  <si>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</si>
  <si>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</si>
  <si>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</si>
  <si>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</si>
  <si>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</si>
  <si>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</si>
  <si>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</si>
  <si>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</si>
  <si>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</si>
  <si>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</si>
  <si>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</si>
  <si>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</si>
  <si>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</si>
  <si>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</si>
  <si>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</si>
  <si>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</si>
  <si>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</si>
  <si>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</si>
  <si>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</si>
  <si>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</si>
  <si>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</si>
  <si>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</si>
  <si>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</si>
  <si>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</si>
  <si>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</si>
  <si>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</si>
  <si>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</si>
  <si>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</si>
  <si>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</si>
  <si>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</si>
  <si>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</si>
  <si>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</si>
  <si>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</si>
  <si>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</si>
  <si>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</si>
  <si>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</si>
  <si>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</si>
  <si>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</si>
  <si>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</si>
  <si>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</si>
  <si>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</si>
  <si>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</si>
  <si>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</si>
  <si>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</si>
  <si>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</si>
  <si>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</si>
  <si>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</si>
  <si>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</si>
  <si>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</si>
  <si>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</si>
  <si>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</si>
  <si>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</si>
  <si>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</si>
  <si>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</si>
  <si>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</si>
  <si>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오브스</t>
    <phoneticPr fontId="1" type="noConversion"/>
  </si>
  <si>
    <t>크립토닷컴체인</t>
    <phoneticPr fontId="1" type="noConversion"/>
  </si>
  <si>
    <t>헌트</t>
    <phoneticPr fontId="1" type="noConversion"/>
  </si>
  <si>
    <t>디카르고</t>
    <phoneticPr fontId="1" type="noConversion"/>
  </si>
  <si>
    <t>메타디움</t>
    <phoneticPr fontId="1" type="noConversion"/>
  </si>
  <si>
    <t>메디블록</t>
    <phoneticPr fontId="1" type="noConversion"/>
  </si>
  <si>
    <t>2021.06.16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</si>
</sst>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06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7" fillId="0" borderId="25" xfId="0" applyFont="1" applyBorder="1">
      <alignment vertical="center"/>
    </xf>
    <xf numFmtId="0" fontId="7" fillId="0" borderId="24" xfId="0" applyFont="1" applyBorder="1">
      <alignment vertical="center"/>
    </xf>
    <xf numFmtId="0" fontId="7" fillId="0" borderId="26" xfId="0" applyFont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3456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1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1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1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1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1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1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14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14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14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14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14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14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14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14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14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14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14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14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14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14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14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14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14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1400-00001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1400-00001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14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14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14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14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14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14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14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14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14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14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14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14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14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14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14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14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14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14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14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14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14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14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14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14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14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14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14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14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14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14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14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14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14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14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14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14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14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14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14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14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14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14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14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14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14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14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14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14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14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14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14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14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14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14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14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14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14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14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14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14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00000000-0008-0000-1400-00005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00000000-0008-0000-1400-00005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00000000-0008-0000-1400-00005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00000000-0008-0000-1400-00005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00000000-0008-0000-1400-00005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00000000-0008-0000-1400-00005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00000000-0008-0000-1400-00005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00000000-0008-0000-1400-00005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00000000-0008-0000-1400-00006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00000000-0008-0000-1400-00006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00000000-0008-0000-1400-00006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00000000-0008-0000-1400-00006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00000000-0008-0000-1400-00006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000000-0008-0000-1400-00006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0000000-0008-0000-1400-00006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00000000-0008-0000-1400-00006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0000000-0008-0000-1400-00006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00000000-0008-0000-1400-00006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0000000-0008-0000-1400-00006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00000000-0008-0000-1400-00006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00000000-0008-0000-1400-00006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00000000-0008-0000-1400-00006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00000000-0008-0000-1400-00006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00000000-0008-0000-1400-00006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0000000-0008-0000-1400-00007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00000000-0008-0000-1400-00007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00000000-0008-0000-1400-00007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00000000-0008-0000-1400-00007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0000000-0008-0000-1400-00007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0000000-0008-0000-1400-00007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00000000-0008-0000-1400-00007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00000000-0008-0000-1400-00007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0000000-0008-0000-1400-00007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00000000-0008-0000-1400-00007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00000000-0008-0000-1400-00007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0000000-0008-0000-1400-00007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00000000-0008-0000-1400-00007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00000000-0008-0000-1400-00007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00000000-0008-0000-1400-00007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00000000-0008-0000-1400-00007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00000000-0008-0000-1400-00008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00000000-0008-0000-1400-00008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00000000-0008-0000-1400-00008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0000000-0008-0000-1400-00008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00000000-0008-0000-1400-00008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0000000-0008-0000-1400-00008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00000000-0008-0000-1400-00008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00000000-0008-0000-1400-00008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00000000-0008-0000-1400-00008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00000000-0008-0000-1400-00008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00000000-0008-0000-1400-00008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00000000-0008-0000-1400-00008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00000000-0008-0000-1400-00008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6" t="s">
        <v>0</v>
      </c>
      <c r="B1" s="247"/>
      <c r="C1" s="247"/>
      <c r="D1" s="247"/>
      <c r="E1" s="247"/>
      <c r="F1" s="248"/>
      <c r="G1" s="277">
        <v>44287</v>
      </c>
      <c r="H1" s="278"/>
      <c r="I1" s="279"/>
      <c r="J1" s="246" t="s">
        <v>1</v>
      </c>
      <c r="K1" s="247"/>
      <c r="L1" s="247"/>
      <c r="M1" s="247"/>
      <c r="N1" s="247"/>
      <c r="O1" s="248"/>
      <c r="Q1" s="246" t="s">
        <v>2</v>
      </c>
      <c r="R1" s="248"/>
    </row>
    <row r="2" spans="1:19" ht="17.25" customHeight="1">
      <c r="A2" s="1" t="s">
        <v>3</v>
      </c>
      <c r="B2" s="280" t="s">
        <v>4</v>
      </c>
      <c r="C2" s="281"/>
      <c r="D2" s="281"/>
      <c r="E2" s="281"/>
      <c r="F2" s="282"/>
      <c r="G2" s="274" t="s">
        <v>46</v>
      </c>
      <c r="H2" s="275"/>
      <c r="I2" s="276"/>
      <c r="J2" s="1" t="s">
        <v>3</v>
      </c>
      <c r="K2" s="280" t="s">
        <v>5</v>
      </c>
      <c r="L2" s="281"/>
      <c r="M2" s="281"/>
      <c r="N2" s="281"/>
      <c r="O2" s="282"/>
      <c r="Q2" s="2" t="s">
        <v>6</v>
      </c>
      <c r="R2" s="3">
        <v>0.375</v>
      </c>
    </row>
    <row r="3" spans="1:19" ht="17.25" customHeight="1" thickBot="1">
      <c r="A3" s="4" t="s">
        <v>7</v>
      </c>
      <c r="B3" s="271" t="s">
        <v>8</v>
      </c>
      <c r="C3" s="272"/>
      <c r="D3" s="272"/>
      <c r="E3" s="272"/>
      <c r="F3" s="273"/>
      <c r="G3" s="26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68"/>
      <c r="I3" s="269"/>
      <c r="J3" s="4" t="s">
        <v>7</v>
      </c>
      <c r="K3" s="271" t="s">
        <v>9</v>
      </c>
      <c r="L3" s="272"/>
      <c r="M3" s="272"/>
      <c r="N3" s="272"/>
      <c r="O3" s="273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71" t="s">
        <v>12</v>
      </c>
      <c r="C4" s="272"/>
      <c r="D4" s="272"/>
      <c r="E4" s="272"/>
      <c r="F4" s="273"/>
      <c r="G4" s="274" t="s">
        <v>44</v>
      </c>
      <c r="H4" s="275"/>
      <c r="I4" s="276"/>
      <c r="J4" s="4" t="s">
        <v>11</v>
      </c>
      <c r="K4" s="271" t="s">
        <v>13</v>
      </c>
      <c r="L4" s="272"/>
      <c r="M4" s="272"/>
      <c r="N4" s="272"/>
      <c r="O4" s="273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71" t="s">
        <v>16</v>
      </c>
      <c r="C5" s="272"/>
      <c r="D5" s="272"/>
      <c r="E5" s="272"/>
      <c r="F5" s="273"/>
      <c r="G5" s="26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68"/>
      <c r="I5" s="269"/>
      <c r="J5" s="4" t="s">
        <v>15</v>
      </c>
      <c r="K5" s="271" t="s">
        <v>17</v>
      </c>
      <c r="L5" s="272"/>
      <c r="M5" s="272"/>
      <c r="N5" s="272"/>
      <c r="O5" s="273"/>
    </row>
    <row r="6" spans="1:19">
      <c r="A6" s="4" t="s">
        <v>18</v>
      </c>
      <c r="B6" s="271" t="s">
        <v>19</v>
      </c>
      <c r="C6" s="272"/>
      <c r="D6" s="272"/>
      <c r="E6" s="272"/>
      <c r="F6" s="273"/>
      <c r="G6" s="274" t="s">
        <v>45</v>
      </c>
      <c r="H6" s="275"/>
      <c r="I6" s="276"/>
      <c r="J6" s="4" t="s">
        <v>18</v>
      </c>
      <c r="K6" s="271" t="s">
        <v>20</v>
      </c>
      <c r="L6" s="272"/>
      <c r="M6" s="272"/>
      <c r="N6" s="272"/>
      <c r="O6" s="273"/>
    </row>
    <row r="7" spans="1:19" ht="17.25" thickBot="1">
      <c r="A7" s="4" t="s">
        <v>21</v>
      </c>
      <c r="B7" s="271" t="s">
        <v>22</v>
      </c>
      <c r="C7" s="272"/>
      <c r="D7" s="272"/>
      <c r="E7" s="272"/>
      <c r="F7" s="273"/>
      <c r="G7" s="26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68"/>
      <c r="I7" s="269"/>
      <c r="J7" s="4" t="s">
        <v>21</v>
      </c>
      <c r="K7" s="271" t="s">
        <v>23</v>
      </c>
      <c r="L7" s="272"/>
      <c r="M7" s="272"/>
      <c r="N7" s="272"/>
      <c r="O7" s="273"/>
    </row>
    <row r="8" spans="1:19" ht="17.25" thickBot="1">
      <c r="A8" s="4" t="s">
        <v>24</v>
      </c>
      <c r="B8" s="271" t="s">
        <v>25</v>
      </c>
      <c r="C8" s="272"/>
      <c r="D8" s="272"/>
      <c r="E8" s="272"/>
      <c r="F8" s="273"/>
      <c r="G8" s="274" t="s">
        <v>285</v>
      </c>
      <c r="H8" s="275"/>
      <c r="I8" s="276"/>
      <c r="J8" s="4" t="s">
        <v>24</v>
      </c>
      <c r="K8" s="271" t="s">
        <v>26</v>
      </c>
      <c r="L8" s="272"/>
      <c r="M8" s="272"/>
      <c r="N8" s="272"/>
      <c r="O8" s="273"/>
      <c r="Q8" s="246" t="s">
        <v>27</v>
      </c>
      <c r="R8" s="248"/>
    </row>
    <row r="9" spans="1:19" ht="17.25" thickBot="1">
      <c r="A9" s="4" t="s">
        <v>28</v>
      </c>
      <c r="B9" s="271"/>
      <c r="C9" s="272"/>
      <c r="D9" s="272"/>
      <c r="E9" s="272"/>
      <c r="F9" s="273"/>
      <c r="G9" s="26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68"/>
      <c r="I9" s="269"/>
      <c r="J9" s="4" t="s">
        <v>28</v>
      </c>
      <c r="K9" s="271" t="s">
        <v>293</v>
      </c>
      <c r="L9" s="272"/>
      <c r="M9" s="272"/>
      <c r="N9" s="272"/>
      <c r="O9" s="273"/>
      <c r="Q9" s="2" t="s">
        <v>29</v>
      </c>
      <c r="R9" s="6">
        <v>10</v>
      </c>
    </row>
    <row r="10" spans="1:19">
      <c r="A10" s="4" t="s">
        <v>30</v>
      </c>
      <c r="B10" s="271"/>
      <c r="C10" s="272"/>
      <c r="D10" s="272"/>
      <c r="E10" s="272"/>
      <c r="F10" s="273"/>
      <c r="G10" s="274" t="s">
        <v>47</v>
      </c>
      <c r="H10" s="275"/>
      <c r="I10" s="276"/>
      <c r="J10" s="4" t="s">
        <v>30</v>
      </c>
      <c r="K10" s="271"/>
      <c r="L10" s="272"/>
      <c r="M10" s="272"/>
      <c r="N10" s="272"/>
      <c r="O10" s="273"/>
      <c r="Q10" s="2" t="s">
        <v>31</v>
      </c>
      <c r="R10" s="6">
        <v>100</v>
      </c>
    </row>
    <row r="11" spans="1:19" ht="17.25" thickBot="1">
      <c r="A11" s="7" t="s">
        <v>32</v>
      </c>
      <c r="B11" s="264"/>
      <c r="C11" s="265"/>
      <c r="D11" s="265"/>
      <c r="E11" s="265"/>
      <c r="F11" s="266"/>
      <c r="G11" s="26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8"/>
      <c r="I11" s="269"/>
      <c r="J11" s="7" t="s">
        <v>32</v>
      </c>
      <c r="K11" s="264"/>
      <c r="L11" s="265"/>
      <c r="M11" s="265"/>
      <c r="N11" s="265"/>
      <c r="O11" s="266"/>
      <c r="Q11" s="65" t="s">
        <v>33</v>
      </c>
      <c r="R11" s="8">
        <v>1000</v>
      </c>
    </row>
    <row r="12" spans="1:19" ht="17.25" thickBot="1"/>
    <row r="13" spans="1:19" ht="17.25" customHeight="1" thickBot="1">
      <c r="A13" s="246" t="s">
        <v>34</v>
      </c>
      <c r="B13" s="247"/>
      <c r="C13" s="247"/>
      <c r="D13" s="247"/>
      <c r="E13" s="247"/>
      <c r="F13" s="247"/>
      <c r="G13" s="247"/>
      <c r="H13" s="247"/>
      <c r="I13" s="247"/>
      <c r="J13" s="247"/>
      <c r="K13" s="247"/>
      <c r="L13" s="247"/>
      <c r="M13" s="247"/>
      <c r="N13" s="247"/>
      <c r="O13" s="248"/>
      <c r="Q13" s="245"/>
      <c r="R13" s="245"/>
      <c r="S13" s="245"/>
    </row>
    <row r="14" spans="1:19" ht="17.25" customHeight="1" thickBot="1">
      <c r="A14" s="111" t="s">
        <v>35</v>
      </c>
      <c r="B14" s="246" t="s">
        <v>36</v>
      </c>
      <c r="C14" s="248"/>
      <c r="D14" s="246" t="s">
        <v>37</v>
      </c>
      <c r="E14" s="247"/>
      <c r="F14" s="248"/>
      <c r="G14" s="249">
        <f>_xlfn.IFNA(VLOOKUP(B14, 현재가테이블!$B$2:$D$200, 2, FALSE), "-")</f>
        <v>45335000</v>
      </c>
      <c r="H14" s="250"/>
      <c r="I14" s="251"/>
      <c r="J14" s="246" t="s">
        <v>38</v>
      </c>
      <c r="K14" s="247"/>
      <c r="L14" s="248"/>
      <c r="M14" s="252">
        <f>_xlfn.IFNA(VLOOKUP(B14, 현재가테이블!$B$2:$D$200, 3, FALSE), "-")</f>
        <v>-2.27209037E-2</v>
      </c>
      <c r="N14" s="253"/>
      <c r="O14" s="254"/>
      <c r="Q14" s="245"/>
      <c r="R14" s="245"/>
      <c r="S14" s="245"/>
    </row>
    <row r="15" spans="1:19" ht="17.25" customHeight="1" thickBot="1">
      <c r="A15" s="270" t="s">
        <v>39</v>
      </c>
      <c r="B15" s="262" t="str">
        <f>TEXT($G$1, "[$-ko-KR]yyyy-mm-dd(ddd) ") &amp; "오전 00:00"</f>
        <v>2021-04-01(목) 오전 00:00</v>
      </c>
      <c r="C15" s="263"/>
      <c r="D15" s="259" t="str">
        <f>TEXT($G$1, "[$-ko-KR]yyyy-mm-dd(ddd) ") &amp; "오후 14:00"</f>
        <v>2021-04-01(목) 오후 14:00</v>
      </c>
      <c r="E15" s="260"/>
      <c r="F15" s="261"/>
      <c r="G15" s="259" t="str">
        <f>TEXT($G$1, "[$-ko-KR]yyyy-mm-dd(ddd) ") &amp; "오후 19:00"</f>
        <v>2021-04-01(목) 오후 19:00</v>
      </c>
      <c r="H15" s="260"/>
      <c r="I15" s="261"/>
      <c r="J15" s="259" t="str">
        <f>TEXT($G$1, "[$-ko-KR]yyyy-mm-dd(ddd) ") &amp; "오후 21:00"</f>
        <v>2021-04-01(목) 오후 21:00</v>
      </c>
      <c r="K15" s="260"/>
      <c r="L15" s="261"/>
      <c r="M15" s="259" t="str">
        <f>TEXT($G$1+1, "[$-ko-KR]yyyy-mm-dd(ddd) ") &amp; "오전 00:00"</f>
        <v>2021-04-02(금) 오전 00:00</v>
      </c>
      <c r="N15" s="260"/>
      <c r="O15" s="261"/>
      <c r="Q15" s="245"/>
      <c r="R15" s="245"/>
      <c r="S15" s="245"/>
    </row>
    <row r="16" spans="1:19" ht="17.25" customHeight="1" thickBot="1">
      <c r="A16" s="270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5"/>
      <c r="R16" s="235"/>
      <c r="S16" s="235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5"/>
      <c r="R17" s="245"/>
      <c r="S17" s="245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5"/>
      <c r="R18" s="245"/>
      <c r="S18" s="245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5"/>
      <c r="R19" s="235"/>
      <c r="S19" s="235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5"/>
      <c r="R20" s="235"/>
      <c r="S20" s="235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5"/>
      <c r="R21" s="235"/>
      <c r="S21" s="235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5"/>
      <c r="R22" s="235"/>
      <c r="S22" s="235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5"/>
      <c r="R23" s="235"/>
      <c r="S23" s="235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5"/>
      <c r="R24" s="235"/>
      <c r="S24" s="235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6"/>
      <c r="R26" s="237"/>
      <c r="S26" s="238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9"/>
      <c r="R27" s="240"/>
      <c r="S27" s="241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2"/>
      <c r="R28" s="243"/>
      <c r="S28" s="244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5"/>
      <c r="R29" s="235"/>
      <c r="S29" s="235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5"/>
      <c r="R30" s="245"/>
      <c r="S30" s="245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5"/>
      <c r="R31" s="245"/>
      <c r="S31" s="245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5"/>
      <c r="R32" s="235"/>
      <c r="S32" s="235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5"/>
      <c r="R33" s="235"/>
      <c r="S33" s="235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5"/>
      <c r="R34" s="235"/>
      <c r="S34" s="235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4"/>
      <c r="R35" s="225"/>
      <c r="S35" s="226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7"/>
      <c r="R36" s="228"/>
      <c r="S36" s="229"/>
    </row>
    <row r="37" spans="1:19" ht="17.25" customHeight="1" thickBot="1">
      <c r="A37" s="26" t="s">
        <v>42</v>
      </c>
      <c r="B37" s="233">
        <v>300000</v>
      </c>
      <c r="C37" s="234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30"/>
      <c r="R37" s="231"/>
      <c r="S37" s="232"/>
    </row>
    <row r="38" spans="1:19" ht="17.25" customHeight="1"/>
    <row r="39" spans="1:19" ht="17.25" customHeight="1" thickBot="1"/>
    <row r="40" spans="1:19" ht="17.25" customHeight="1" thickBot="1">
      <c r="A40" s="246" t="s">
        <v>44</v>
      </c>
      <c r="B40" s="247"/>
      <c r="C40" s="247"/>
      <c r="D40" s="247"/>
      <c r="E40" s="247"/>
      <c r="F40" s="247"/>
      <c r="G40" s="247"/>
      <c r="H40" s="247"/>
      <c r="I40" s="247"/>
      <c r="J40" s="247"/>
      <c r="K40" s="247"/>
      <c r="L40" s="247"/>
      <c r="M40" s="247"/>
      <c r="N40" s="247"/>
      <c r="O40" s="248"/>
      <c r="Q40" s="245"/>
      <c r="R40" s="245"/>
      <c r="S40" s="245"/>
    </row>
    <row r="41" spans="1:19" ht="17.25" customHeight="1" thickBot="1">
      <c r="A41" s="111" t="s">
        <v>297</v>
      </c>
      <c r="B41" s="246" t="s">
        <v>49</v>
      </c>
      <c r="C41" s="248"/>
      <c r="D41" s="246" t="s">
        <v>58</v>
      </c>
      <c r="E41" s="247"/>
      <c r="F41" s="248"/>
      <c r="G41" s="249">
        <f>_xlfn.IFNA(VLOOKUP(B41, 현재가테이블!$B$2:$D$200, 2, FALSE), "-")</f>
        <v>45335000</v>
      </c>
      <c r="H41" s="250"/>
      <c r="I41" s="251"/>
      <c r="J41" s="246" t="s">
        <v>59</v>
      </c>
      <c r="K41" s="247"/>
      <c r="L41" s="248"/>
      <c r="M41" s="252">
        <f>_xlfn.IFNA(VLOOKUP(B41, 현재가테이블!$B$2:$D$200, 3, FALSE), "-")</f>
        <v>-2.27209037E-2</v>
      </c>
      <c r="N41" s="253"/>
      <c r="O41" s="254"/>
      <c r="Q41" s="245"/>
      <c r="R41" s="245"/>
      <c r="S41" s="245"/>
    </row>
    <row r="42" spans="1:19" ht="17.25" customHeight="1" thickBot="1">
      <c r="A42" s="255" t="s">
        <v>55</v>
      </c>
      <c r="B42" s="257" t="str">
        <f>TEXT($G$1, "[$-ko-KR]yyyy-mm-dd(ddd) ") &amp; "오전 00:00"</f>
        <v>2021-04-01(목) 오전 00:00</v>
      </c>
      <c r="C42" s="258"/>
      <c r="D42" s="259" t="str">
        <f>TEXT($G$1, "[$-ko-KR]yyyy-mm-dd(ddd) ") &amp; "오후 14:00"</f>
        <v>2021-04-01(목) 오후 14:00</v>
      </c>
      <c r="E42" s="260"/>
      <c r="F42" s="261"/>
      <c r="G42" s="259" t="str">
        <f>TEXT($G$1, "[$-ko-KR]yyyy-mm-dd(ddd) ") &amp; "오후 19:00"</f>
        <v>2021-04-01(목) 오후 19:00</v>
      </c>
      <c r="H42" s="260"/>
      <c r="I42" s="261"/>
      <c r="J42" s="259" t="str">
        <f>TEXT($G$1, "[$-ko-KR]yyyy-mm-dd(ddd) ") &amp; "오후 21:00"</f>
        <v>2021-04-01(목) 오후 21:00</v>
      </c>
      <c r="K42" s="260"/>
      <c r="L42" s="261"/>
      <c r="M42" s="259" t="str">
        <f>TEXT($G$1+1, "[$-ko-KR]yyyy-mm-dd(ddd) ") &amp; "오전 00:00"</f>
        <v>2021-04-02(금) 오전 00:00</v>
      </c>
      <c r="N42" s="260"/>
      <c r="O42" s="261"/>
      <c r="Q42" s="245"/>
      <c r="R42" s="245"/>
      <c r="S42" s="245"/>
    </row>
    <row r="43" spans="1:19" ht="17.25" customHeight="1" thickBot="1">
      <c r="A43" s="256"/>
      <c r="B43" s="2" t="s">
        <v>58</v>
      </c>
      <c r="C43" s="10" t="s">
        <v>59</v>
      </c>
      <c r="D43" s="2" t="s">
        <v>58</v>
      </c>
      <c r="E43" s="10" t="s">
        <v>298</v>
      </c>
      <c r="F43" s="11" t="s">
        <v>299</v>
      </c>
      <c r="G43" s="112" t="s">
        <v>58</v>
      </c>
      <c r="H43" s="113" t="s">
        <v>298</v>
      </c>
      <c r="I43" s="114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5"/>
      <c r="R43" s="235"/>
      <c r="S43" s="235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45"/>
      <c r="R44" s="245"/>
      <c r="S44" s="245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45"/>
      <c r="R45" s="245"/>
      <c r="S45" s="245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35"/>
      <c r="R46" s="235"/>
      <c r="S46" s="235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35"/>
      <c r="R47" s="235"/>
      <c r="S47" s="235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35"/>
      <c r="R48" s="235"/>
      <c r="S48" s="235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35"/>
      <c r="R49" s="235"/>
      <c r="S49" s="235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35"/>
      <c r="R50" s="235"/>
      <c r="S50" s="235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35"/>
      <c r="R51" s="235"/>
      <c r="S51" s="235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36"/>
      <c r="R53" s="237"/>
      <c r="S53" s="238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39"/>
      <c r="R54" s="240"/>
      <c r="S54" s="241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42"/>
      <c r="R55" s="243"/>
      <c r="S55" s="244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35"/>
      <c r="R56" s="235"/>
      <c r="S56" s="235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45"/>
      <c r="R57" s="245"/>
      <c r="S57" s="245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45"/>
      <c r="R58" s="245"/>
      <c r="S58" s="245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35"/>
      <c r="R59" s="235"/>
      <c r="S59" s="235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35"/>
      <c r="R60" s="235"/>
      <c r="S60" s="235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35"/>
      <c r="R61" s="235"/>
      <c r="S61" s="235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24"/>
      <c r="R62" s="225"/>
      <c r="S62" s="226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27"/>
      <c r="R63" s="228"/>
      <c r="S63" s="229"/>
    </row>
    <row r="64" spans="1:19" ht="17.25" customHeight="1" thickBot="1">
      <c r="A64" s="26" t="s">
        <v>300</v>
      </c>
      <c r="B64" s="233">
        <f>$B$37</f>
        <v>300000</v>
      </c>
      <c r="C64" s="234"/>
      <c r="D64" s="26" t="s">
        <v>301</v>
      </c>
      <c r="E64" s="27">
        <f>IF(COUNT(E44:E63), SUM(E44:E63) / COUNT(E44:E63), 0)</f>
        <v>0</v>
      </c>
      <c r="F64" s="28">
        <f>SUM(F44:F63)</f>
        <v>0</v>
      </c>
      <c r="G64" s="26" t="s">
        <v>301</v>
      </c>
      <c r="H64" s="27">
        <f>IF(COUNT(H44:H63), SUM(H44:H63) / COUNT(H44:H63), 0)</f>
        <v>0</v>
      </c>
      <c r="I64" s="28">
        <f>SUM(I44:I63)</f>
        <v>0</v>
      </c>
      <c r="J64" s="26" t="s">
        <v>301</v>
      </c>
      <c r="K64" s="27">
        <f>IF(COUNT(K44:K63), SUM(K44:K63) / COUNT(K44:K63), 0)</f>
        <v>0</v>
      </c>
      <c r="L64" s="28">
        <f>SUM(L44:L63)</f>
        <v>0</v>
      </c>
      <c r="M64" s="26" t="s">
        <v>301</v>
      </c>
      <c r="N64" s="27">
        <f>IF(COUNT(N44:N63), SUM(N44:N63) / COUNT(N44:N63), 0)</f>
        <v>0</v>
      </c>
      <c r="O64" s="28">
        <f>SUM(O44:O63)</f>
        <v>0</v>
      </c>
      <c r="Q64" s="230"/>
      <c r="R64" s="231"/>
      <c r="S64" s="232"/>
    </row>
    <row r="65" spans="1:19" ht="17.25" customHeight="1"/>
    <row r="66" spans="1:19" ht="17.25" customHeight="1" thickBot="1"/>
    <row r="67" spans="1:19" ht="17.25" thickBot="1">
      <c r="A67" s="246" t="s">
        <v>45</v>
      </c>
      <c r="B67" s="247"/>
      <c r="C67" s="247"/>
      <c r="D67" s="247"/>
      <c r="E67" s="247"/>
      <c r="F67" s="247"/>
      <c r="G67" s="247"/>
      <c r="H67" s="247"/>
      <c r="I67" s="247"/>
      <c r="J67" s="247"/>
      <c r="K67" s="247"/>
      <c r="L67" s="247"/>
      <c r="M67" s="247"/>
      <c r="N67" s="247"/>
      <c r="O67" s="248"/>
      <c r="Q67" s="245"/>
      <c r="R67" s="245"/>
      <c r="S67" s="245"/>
    </row>
    <row r="68" spans="1:19" ht="17.25" thickBot="1">
      <c r="A68" s="111" t="s">
        <v>297</v>
      </c>
      <c r="B68" s="246" t="s">
        <v>49</v>
      </c>
      <c r="C68" s="248"/>
      <c r="D68" s="246" t="s">
        <v>58</v>
      </c>
      <c r="E68" s="247"/>
      <c r="F68" s="248"/>
      <c r="G68" s="249">
        <f>_xlfn.IFNA(VLOOKUP(B68, 현재가테이블!$B$2:$D$200, 2, FALSE), "-")</f>
        <v>45335000</v>
      </c>
      <c r="H68" s="250"/>
      <c r="I68" s="251"/>
      <c r="J68" s="246" t="s">
        <v>59</v>
      </c>
      <c r="K68" s="247"/>
      <c r="L68" s="248"/>
      <c r="M68" s="252">
        <f>_xlfn.IFNA(VLOOKUP(B68, 현재가테이블!$B$2:$D$200, 3, FALSE), "-")</f>
        <v>-2.27209037E-2</v>
      </c>
      <c r="N68" s="253"/>
      <c r="O68" s="254"/>
      <c r="Q68" s="245"/>
      <c r="R68" s="245"/>
      <c r="S68" s="245"/>
    </row>
    <row r="69" spans="1:19" ht="17.25" thickBot="1">
      <c r="A69" s="255" t="s">
        <v>55</v>
      </c>
      <c r="B69" s="257" t="str">
        <f>TEXT($G$1, "[$-ko-KR]yyyy-mm-dd(ddd) ") &amp; "오전 00:00"</f>
        <v>2021-04-01(목) 오전 00:00</v>
      </c>
      <c r="C69" s="258"/>
      <c r="D69" s="259" t="str">
        <f>TEXT($G$1, "[$-ko-KR]yyyy-mm-dd(ddd) ") &amp; "오후 14:00"</f>
        <v>2021-04-01(목) 오후 14:00</v>
      </c>
      <c r="E69" s="260"/>
      <c r="F69" s="261"/>
      <c r="G69" s="259" t="str">
        <f>TEXT($G$1, "[$-ko-KR]yyyy-mm-dd(ddd) ") &amp; "오후 19:00"</f>
        <v>2021-04-01(목) 오후 19:00</v>
      </c>
      <c r="H69" s="260"/>
      <c r="I69" s="261"/>
      <c r="J69" s="259" t="str">
        <f>TEXT($G$1, "[$-ko-KR]yyyy-mm-dd(ddd) ") &amp; "오후 21:00"</f>
        <v>2021-04-01(목) 오후 21:00</v>
      </c>
      <c r="K69" s="260"/>
      <c r="L69" s="261"/>
      <c r="M69" s="259" t="str">
        <f>TEXT($G$1+1, "[$-ko-KR]yyyy-mm-dd(ddd) ") &amp; "오전 00:00"</f>
        <v>2021-04-02(금) 오전 00:00</v>
      </c>
      <c r="N69" s="260"/>
      <c r="O69" s="261"/>
      <c r="Q69" s="245"/>
      <c r="R69" s="245"/>
      <c r="S69" s="245"/>
    </row>
    <row r="70" spans="1:19" ht="17.25" thickBot="1">
      <c r="A70" s="256"/>
      <c r="B70" s="2" t="s">
        <v>58</v>
      </c>
      <c r="C70" s="10" t="s">
        <v>59</v>
      </c>
      <c r="D70" s="2" t="s">
        <v>58</v>
      </c>
      <c r="E70" s="10" t="s">
        <v>298</v>
      </c>
      <c r="F70" s="11" t="s">
        <v>299</v>
      </c>
      <c r="G70" s="112" t="s">
        <v>58</v>
      </c>
      <c r="H70" s="113" t="s">
        <v>298</v>
      </c>
      <c r="I70" s="114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5"/>
      <c r="R70" s="235"/>
      <c r="S70" s="235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45"/>
      <c r="R71" s="245"/>
      <c r="S71" s="245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45"/>
      <c r="R72" s="245"/>
      <c r="S72" s="245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35"/>
      <c r="R73" s="235"/>
      <c r="S73" s="235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35"/>
      <c r="R74" s="235"/>
      <c r="S74" s="235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35"/>
      <c r="R75" s="235"/>
      <c r="S75" s="235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35"/>
      <c r="R76" s="235"/>
      <c r="S76" s="235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35"/>
      <c r="R77" s="235"/>
      <c r="S77" s="235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35"/>
      <c r="R78" s="235"/>
      <c r="S78" s="235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36"/>
      <c r="R80" s="237"/>
      <c r="S80" s="238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39"/>
      <c r="R81" s="240"/>
      <c r="S81" s="241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42"/>
      <c r="R82" s="243"/>
      <c r="S82" s="244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35"/>
      <c r="R83" s="235"/>
      <c r="S83" s="235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45"/>
      <c r="R84" s="245"/>
      <c r="S84" s="245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45"/>
      <c r="R85" s="245"/>
      <c r="S85" s="245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35"/>
      <c r="R86" s="235"/>
      <c r="S86" s="235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35"/>
      <c r="R87" s="235"/>
      <c r="S87" s="235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35"/>
      <c r="R88" s="235"/>
      <c r="S88" s="235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24"/>
      <c r="R89" s="225"/>
      <c r="S89" s="226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27"/>
      <c r="R90" s="228"/>
      <c r="S90" s="229"/>
    </row>
    <row r="91" spans="1:19" ht="17.25" thickBot="1">
      <c r="A91" s="26" t="s">
        <v>300</v>
      </c>
      <c r="B91" s="233">
        <f>$B$37</f>
        <v>300000</v>
      </c>
      <c r="C91" s="234"/>
      <c r="D91" s="26" t="s">
        <v>301</v>
      </c>
      <c r="E91" s="27">
        <f>IF(COUNT(E71:E90), SUM(E71:E90) / COUNT(E71:E90), 0)</f>
        <v>0</v>
      </c>
      <c r="F91" s="28">
        <f>SUM(F71:F90)</f>
        <v>0</v>
      </c>
      <c r="G91" s="26" t="s">
        <v>301</v>
      </c>
      <c r="H91" s="27">
        <f>IF(COUNT(H71:H90), SUM(H71:H90) / COUNT(H71:H90), 0)</f>
        <v>0</v>
      </c>
      <c r="I91" s="28">
        <f>SUM(I71:I90)</f>
        <v>0</v>
      </c>
      <c r="J91" s="26" t="s">
        <v>301</v>
      </c>
      <c r="K91" s="27">
        <f>IF(COUNT(K71:K90), SUM(K71:K90) / COUNT(K71:K90), 0)</f>
        <v>0</v>
      </c>
      <c r="L91" s="28">
        <f>SUM(L71:L90)</f>
        <v>0</v>
      </c>
      <c r="M91" s="26" t="s">
        <v>301</v>
      </c>
      <c r="N91" s="27">
        <f>IF(COUNT(N71:N90), SUM(N71:N90) / COUNT(N71:N90), 0)</f>
        <v>0</v>
      </c>
      <c r="O91" s="28">
        <f>SUM(O71:O90)</f>
        <v>0</v>
      </c>
      <c r="Q91" s="230"/>
      <c r="R91" s="231"/>
      <c r="S91" s="232"/>
    </row>
    <row r="93" spans="1:19" ht="17.25" thickBot="1"/>
    <row r="94" spans="1:19" ht="17.25" thickBot="1">
      <c r="A94" s="246" t="s">
        <v>46</v>
      </c>
      <c r="B94" s="247"/>
      <c r="C94" s="247"/>
      <c r="D94" s="247"/>
      <c r="E94" s="247"/>
      <c r="F94" s="247"/>
      <c r="G94" s="247"/>
      <c r="H94" s="247"/>
      <c r="I94" s="247"/>
      <c r="J94" s="247"/>
      <c r="K94" s="247"/>
      <c r="L94" s="247"/>
      <c r="M94" s="247"/>
      <c r="N94" s="247"/>
      <c r="O94" s="248"/>
      <c r="Q94" s="245"/>
      <c r="R94" s="245"/>
      <c r="S94" s="245"/>
    </row>
    <row r="95" spans="1:19" ht="17.25" thickBot="1">
      <c r="A95" s="111" t="s">
        <v>297</v>
      </c>
      <c r="B95" s="246" t="s">
        <v>49</v>
      </c>
      <c r="C95" s="248"/>
      <c r="D95" s="246" t="s">
        <v>58</v>
      </c>
      <c r="E95" s="247"/>
      <c r="F95" s="248"/>
      <c r="G95" s="249">
        <f>_xlfn.IFNA(VLOOKUP(B95, 현재가테이블!$B$2:$D$200, 2, FALSE), "-")</f>
        <v>45335000</v>
      </c>
      <c r="H95" s="250"/>
      <c r="I95" s="251"/>
      <c r="J95" s="246" t="s">
        <v>59</v>
      </c>
      <c r="K95" s="247"/>
      <c r="L95" s="248"/>
      <c r="M95" s="252">
        <f>_xlfn.IFNA(VLOOKUP(B95, 현재가테이블!$B$2:$D$200, 3, FALSE), "-")</f>
        <v>-2.27209037E-2</v>
      </c>
      <c r="N95" s="253"/>
      <c r="O95" s="254"/>
      <c r="Q95" s="245"/>
      <c r="R95" s="245"/>
      <c r="S95" s="245"/>
    </row>
    <row r="96" spans="1:19" ht="17.25" thickBot="1">
      <c r="A96" s="255" t="s">
        <v>55</v>
      </c>
      <c r="B96" s="257" t="str">
        <f>TEXT($G$1, "[$-ko-KR]yyyy-mm-dd(ddd) ") &amp; "오전 00:00"</f>
        <v>2021-04-01(목) 오전 00:00</v>
      </c>
      <c r="C96" s="258"/>
      <c r="D96" s="259" t="str">
        <f>TEXT($G$1, "[$-ko-KR]yyyy-mm-dd(ddd) ") &amp; "오후 14:00"</f>
        <v>2021-04-01(목) 오후 14:00</v>
      </c>
      <c r="E96" s="260"/>
      <c r="F96" s="261"/>
      <c r="G96" s="259" t="str">
        <f>TEXT($G$1, "[$-ko-KR]yyyy-mm-dd(ddd) ") &amp; "오후 19:00"</f>
        <v>2021-04-01(목) 오후 19:00</v>
      </c>
      <c r="H96" s="260"/>
      <c r="I96" s="261"/>
      <c r="J96" s="259" t="str">
        <f>TEXT($G$1, "[$-ko-KR]yyyy-mm-dd(ddd) ") &amp; "오후 21:00"</f>
        <v>2021-04-01(목) 오후 21:00</v>
      </c>
      <c r="K96" s="260"/>
      <c r="L96" s="261"/>
      <c r="M96" s="259" t="str">
        <f>TEXT($G$1+1, "[$-ko-KR]yyyy-mm-dd(ddd) ") &amp; "오전 00:00"</f>
        <v>2021-04-02(금) 오전 00:00</v>
      </c>
      <c r="N96" s="260"/>
      <c r="O96" s="261"/>
      <c r="Q96" s="245"/>
      <c r="R96" s="245"/>
      <c r="S96" s="245"/>
    </row>
    <row r="97" spans="1:19" ht="17.25" thickBot="1">
      <c r="A97" s="256"/>
      <c r="B97" s="2" t="s">
        <v>58</v>
      </c>
      <c r="C97" s="10" t="s">
        <v>59</v>
      </c>
      <c r="D97" s="2" t="s">
        <v>58</v>
      </c>
      <c r="E97" s="10" t="s">
        <v>298</v>
      </c>
      <c r="F97" s="11" t="s">
        <v>299</v>
      </c>
      <c r="G97" s="112" t="s">
        <v>58</v>
      </c>
      <c r="H97" s="113" t="s">
        <v>298</v>
      </c>
      <c r="I97" s="114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5"/>
      <c r="R97" s="235"/>
      <c r="S97" s="235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45"/>
      <c r="R98" s="245"/>
      <c r="S98" s="245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45"/>
      <c r="R99" s="245"/>
      <c r="S99" s="245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35"/>
      <c r="R100" s="235"/>
      <c r="S100" s="235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35"/>
      <c r="R101" s="235"/>
      <c r="S101" s="235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35"/>
      <c r="R102" s="235"/>
      <c r="S102" s="235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35"/>
      <c r="R103" s="235"/>
      <c r="S103" s="235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35"/>
      <c r="R104" s="235"/>
      <c r="S104" s="235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35"/>
      <c r="R105" s="235"/>
      <c r="S105" s="235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36"/>
      <c r="R107" s="237"/>
      <c r="S107" s="238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39"/>
      <c r="R108" s="240"/>
      <c r="S108" s="241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42"/>
      <c r="R109" s="243"/>
      <c r="S109" s="244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35"/>
      <c r="R110" s="235"/>
      <c r="S110" s="235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45"/>
      <c r="R111" s="245"/>
      <c r="S111" s="245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45"/>
      <c r="R112" s="245"/>
      <c r="S112" s="245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35"/>
      <c r="R113" s="235"/>
      <c r="S113" s="235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35"/>
      <c r="R114" s="235"/>
      <c r="S114" s="235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35"/>
      <c r="R115" s="235"/>
      <c r="S115" s="235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24"/>
      <c r="R116" s="225"/>
      <c r="S116" s="226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27"/>
      <c r="R117" s="228"/>
      <c r="S117" s="229"/>
    </row>
    <row r="118" spans="1:19" ht="17.25" thickBot="1">
      <c r="A118" s="26" t="s">
        <v>300</v>
      </c>
      <c r="B118" s="233">
        <f>$B$37</f>
        <v>300000</v>
      </c>
      <c r="C118" s="234"/>
      <c r="D118" s="26" t="s">
        <v>301</v>
      </c>
      <c r="E118" s="27">
        <f>IF(COUNT(E98:E117), SUM(E98:E117) / COUNT(E98:E117), 0)</f>
        <v>0</v>
      </c>
      <c r="F118" s="28">
        <f>SUM(F98:F117)</f>
        <v>0</v>
      </c>
      <c r="G118" s="26" t="s">
        <v>301</v>
      </c>
      <c r="H118" s="27">
        <f>IF(COUNT(H98:H117), SUM(H98:H117) / COUNT(H98:H117), 0)</f>
        <v>0</v>
      </c>
      <c r="I118" s="28">
        <f>SUM(I98:I117)</f>
        <v>0</v>
      </c>
      <c r="J118" s="26" t="s">
        <v>301</v>
      </c>
      <c r="K118" s="27">
        <f>IF(COUNT(K98:K117), SUM(K98:K117) / COUNT(K98:K117), 0)</f>
        <v>0</v>
      </c>
      <c r="L118" s="28">
        <f>SUM(L98:L117)</f>
        <v>0</v>
      </c>
      <c r="M118" s="26" t="s">
        <v>301</v>
      </c>
      <c r="N118" s="27">
        <f>IF(COUNT(N98:N117), SUM(N98:N117) / COUNT(N98:N117), 0)</f>
        <v>0</v>
      </c>
      <c r="O118" s="28">
        <f>SUM(O98:O117)</f>
        <v>0</v>
      </c>
      <c r="Q118" s="230"/>
      <c r="R118" s="231"/>
      <c r="S118" s="232"/>
    </row>
    <row r="120" spans="1:19" ht="17.25" thickBot="1"/>
    <row r="121" spans="1:19" ht="17.25" thickBot="1">
      <c r="A121" s="246" t="s">
        <v>288</v>
      </c>
      <c r="B121" s="247"/>
      <c r="C121" s="247"/>
      <c r="D121" s="247"/>
      <c r="E121" s="247"/>
      <c r="F121" s="247"/>
      <c r="G121" s="247"/>
      <c r="H121" s="247"/>
      <c r="I121" s="247"/>
      <c r="J121" s="247"/>
      <c r="K121" s="247"/>
      <c r="L121" s="247"/>
      <c r="M121" s="247"/>
      <c r="N121" s="247"/>
      <c r="O121" s="248"/>
      <c r="Q121" s="245"/>
      <c r="R121" s="245"/>
      <c r="S121" s="245"/>
    </row>
    <row r="122" spans="1:19" ht="17.25" thickBot="1">
      <c r="A122" s="111" t="s">
        <v>297</v>
      </c>
      <c r="B122" s="246" t="s">
        <v>49</v>
      </c>
      <c r="C122" s="248"/>
      <c r="D122" s="246" t="s">
        <v>58</v>
      </c>
      <c r="E122" s="247"/>
      <c r="F122" s="248"/>
      <c r="G122" s="249">
        <f>_xlfn.IFNA(VLOOKUP(B122, 현재가테이블!$B$2:$D$200, 2, FALSE), "-")</f>
        <v>45335000</v>
      </c>
      <c r="H122" s="250"/>
      <c r="I122" s="251"/>
      <c r="J122" s="246" t="s">
        <v>59</v>
      </c>
      <c r="K122" s="247"/>
      <c r="L122" s="248"/>
      <c r="M122" s="252">
        <f>_xlfn.IFNA(VLOOKUP(B122, 현재가테이블!$B$2:$D$200, 3, FALSE), "-")</f>
        <v>-2.27209037E-2</v>
      </c>
      <c r="N122" s="253"/>
      <c r="O122" s="254"/>
      <c r="Q122" s="245"/>
      <c r="R122" s="245"/>
      <c r="S122" s="245"/>
    </row>
    <row r="123" spans="1:19" ht="17.25" thickBot="1">
      <c r="A123" s="255" t="s">
        <v>55</v>
      </c>
      <c r="B123" s="257" t="str">
        <f>TEXT($G$1, "[$-ko-KR]yyyy-mm-dd(ddd) ") &amp; "오전 00:00"</f>
        <v>2021-04-01(목) 오전 00:00</v>
      </c>
      <c r="C123" s="258"/>
      <c r="D123" s="259" t="str">
        <f>TEXT($G$1, "[$-ko-KR]yyyy-mm-dd(ddd) ") &amp; "오후 14:00"</f>
        <v>2021-04-01(목) 오후 14:00</v>
      </c>
      <c r="E123" s="260"/>
      <c r="F123" s="261"/>
      <c r="G123" s="259" t="str">
        <f>TEXT($G$1, "[$-ko-KR]yyyy-mm-dd(ddd) ") &amp; "오후 19:00"</f>
        <v>2021-04-01(목) 오후 19:00</v>
      </c>
      <c r="H123" s="260"/>
      <c r="I123" s="261"/>
      <c r="J123" s="259" t="str">
        <f>TEXT($G$1, "[$-ko-KR]yyyy-mm-dd(ddd) ") &amp; "오후 21:00"</f>
        <v>2021-04-01(목) 오후 21:00</v>
      </c>
      <c r="K123" s="260"/>
      <c r="L123" s="261"/>
      <c r="M123" s="259" t="str">
        <f>TEXT($G$1+1, "[$-ko-KR]yyyy-mm-dd(ddd) ") &amp; "오전 00:00"</f>
        <v>2021-04-02(금) 오전 00:00</v>
      </c>
      <c r="N123" s="260"/>
      <c r="O123" s="261"/>
      <c r="Q123" s="245"/>
      <c r="R123" s="245"/>
      <c r="S123" s="245"/>
    </row>
    <row r="124" spans="1:19" ht="17.25" thickBot="1">
      <c r="A124" s="256"/>
      <c r="B124" s="2" t="s">
        <v>58</v>
      </c>
      <c r="C124" s="10" t="s">
        <v>59</v>
      </c>
      <c r="D124" s="2" t="s">
        <v>58</v>
      </c>
      <c r="E124" s="10" t="s">
        <v>298</v>
      </c>
      <c r="F124" s="11" t="s">
        <v>299</v>
      </c>
      <c r="G124" s="112" t="s">
        <v>58</v>
      </c>
      <c r="H124" s="113" t="s">
        <v>298</v>
      </c>
      <c r="I124" s="114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5"/>
      <c r="R124" s="235"/>
      <c r="S124" s="235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45"/>
      <c r="R125" s="245"/>
      <c r="S125" s="245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45"/>
      <c r="R126" s="245"/>
      <c r="S126" s="245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35"/>
      <c r="R127" s="235"/>
      <c r="S127" s="235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35"/>
      <c r="R128" s="235"/>
      <c r="S128" s="235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35"/>
      <c r="R129" s="235"/>
      <c r="S129" s="235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35"/>
      <c r="R130" s="235"/>
      <c r="S130" s="235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35"/>
      <c r="R131" s="235"/>
      <c r="S131" s="235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35"/>
      <c r="R132" s="235"/>
      <c r="S132" s="235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36"/>
      <c r="R134" s="237"/>
      <c r="S134" s="238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39"/>
      <c r="R135" s="240"/>
      <c r="S135" s="241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42"/>
      <c r="R136" s="243"/>
      <c r="S136" s="244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35"/>
      <c r="R137" s="235"/>
      <c r="S137" s="235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45"/>
      <c r="R138" s="245"/>
      <c r="S138" s="245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45"/>
      <c r="R139" s="245"/>
      <c r="S139" s="245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35"/>
      <c r="R140" s="235"/>
      <c r="S140" s="235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5"/>
      <c r="R141" s="235"/>
      <c r="S141" s="235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35"/>
      <c r="R142" s="235"/>
      <c r="S142" s="235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24"/>
      <c r="R143" s="225"/>
      <c r="S143" s="226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27"/>
      <c r="R144" s="228"/>
      <c r="S144" s="229"/>
    </row>
    <row r="145" spans="1:19" ht="17.25" thickBot="1">
      <c r="A145" s="26" t="s">
        <v>300</v>
      </c>
      <c r="B145" s="233">
        <f>$B$37</f>
        <v>300000</v>
      </c>
      <c r="C145" s="234"/>
      <c r="D145" s="26" t="s">
        <v>301</v>
      </c>
      <c r="E145" s="27">
        <f>IF(COUNT(E125:E144), SUM(E125:E144) / COUNT(E125:E144), 0)</f>
        <v>0</v>
      </c>
      <c r="F145" s="28">
        <f>SUM(F125:F144)</f>
        <v>0</v>
      </c>
      <c r="G145" s="26" t="s">
        <v>301</v>
      </c>
      <c r="H145" s="27">
        <f>IF(COUNT(H125:H144), SUM(H125:H144) / COUNT(H125:H144), 0)</f>
        <v>0</v>
      </c>
      <c r="I145" s="28">
        <f>SUM(I125:I144)</f>
        <v>0</v>
      </c>
      <c r="J145" s="26" t="s">
        <v>301</v>
      </c>
      <c r="K145" s="27">
        <f>IF(COUNT(K125:K144), SUM(K125:K144) / COUNT(K125:K144), 0)</f>
        <v>0</v>
      </c>
      <c r="L145" s="28">
        <f>SUM(L125:L144)</f>
        <v>0</v>
      </c>
      <c r="M145" s="26" t="s">
        <v>301</v>
      </c>
      <c r="N145" s="27">
        <f>IF(COUNT(N125:N144), SUM(N125:N144) / COUNT(N125:N144), 0)</f>
        <v>0</v>
      </c>
      <c r="O145" s="28">
        <f>SUM(O125:O144)</f>
        <v>0</v>
      </c>
      <c r="Q145" s="230"/>
      <c r="R145" s="231"/>
      <c r="S145" s="232"/>
    </row>
    <row r="147" spans="1:19" ht="17.25" thickBot="1"/>
    <row r="148" spans="1:19" ht="17.25" thickBot="1">
      <c r="A148" s="246" t="s">
        <v>289</v>
      </c>
      <c r="B148" s="247"/>
      <c r="C148" s="247"/>
      <c r="D148" s="247"/>
      <c r="E148" s="247"/>
      <c r="F148" s="247"/>
      <c r="G148" s="247"/>
      <c r="H148" s="247"/>
      <c r="I148" s="247"/>
      <c r="J148" s="247"/>
      <c r="K148" s="247"/>
      <c r="L148" s="247"/>
      <c r="M148" s="247"/>
      <c r="N148" s="247"/>
      <c r="O148" s="248"/>
      <c r="Q148" s="245"/>
      <c r="R148" s="245"/>
      <c r="S148" s="245"/>
    </row>
    <row r="149" spans="1:19" ht="17.25" thickBot="1">
      <c r="A149" s="111" t="s">
        <v>297</v>
      </c>
      <c r="B149" s="246" t="s">
        <v>49</v>
      </c>
      <c r="C149" s="248"/>
      <c r="D149" s="246" t="s">
        <v>58</v>
      </c>
      <c r="E149" s="247"/>
      <c r="F149" s="248"/>
      <c r="G149" s="249">
        <f>_xlfn.IFNA(VLOOKUP(B149, 현재가테이블!$B$2:$D$200, 2, FALSE), "-")</f>
        <v>45335000</v>
      </c>
      <c r="H149" s="250"/>
      <c r="I149" s="251"/>
      <c r="J149" s="246" t="s">
        <v>59</v>
      </c>
      <c r="K149" s="247"/>
      <c r="L149" s="248"/>
      <c r="M149" s="252">
        <f>_xlfn.IFNA(VLOOKUP(B149, 현재가테이블!$B$2:$D$200, 3, FALSE), "-")</f>
        <v>-2.27209037E-2</v>
      </c>
      <c r="N149" s="253"/>
      <c r="O149" s="254"/>
      <c r="Q149" s="245"/>
      <c r="R149" s="245"/>
      <c r="S149" s="245"/>
    </row>
    <row r="150" spans="1:19" ht="17.25" thickBot="1">
      <c r="A150" s="255" t="s">
        <v>55</v>
      </c>
      <c r="B150" s="257" t="str">
        <f>TEXT($G$1, "[$-ko-KR]yyyy-mm-dd(ddd) ") &amp; "오전 00:00"</f>
        <v>2021-04-01(목) 오전 00:00</v>
      </c>
      <c r="C150" s="258"/>
      <c r="D150" s="259" t="str">
        <f>TEXT($G$1, "[$-ko-KR]yyyy-mm-dd(ddd) ") &amp; "오후 14:00"</f>
        <v>2021-04-01(목) 오후 14:00</v>
      </c>
      <c r="E150" s="260"/>
      <c r="F150" s="261"/>
      <c r="G150" s="259" t="str">
        <f>TEXT($G$1, "[$-ko-KR]yyyy-mm-dd(ddd) ") &amp; "오후 19:00"</f>
        <v>2021-04-01(목) 오후 19:00</v>
      </c>
      <c r="H150" s="260"/>
      <c r="I150" s="261"/>
      <c r="J150" s="259" t="str">
        <f>TEXT($G$1, "[$-ko-KR]yyyy-mm-dd(ddd) ") &amp; "오후 21:00"</f>
        <v>2021-04-01(목) 오후 21:00</v>
      </c>
      <c r="K150" s="260"/>
      <c r="L150" s="261"/>
      <c r="M150" s="259" t="str">
        <f>TEXT($G$1+1, "[$-ko-KR]yyyy-mm-dd(ddd) ") &amp; "오전 00:00"</f>
        <v>2021-04-02(금) 오전 00:00</v>
      </c>
      <c r="N150" s="260"/>
      <c r="O150" s="261"/>
      <c r="Q150" s="245"/>
      <c r="R150" s="245"/>
      <c r="S150" s="245"/>
    </row>
    <row r="151" spans="1:19" ht="17.25" thickBot="1">
      <c r="A151" s="256"/>
      <c r="B151" s="2" t="s">
        <v>58</v>
      </c>
      <c r="C151" s="10" t="s">
        <v>59</v>
      </c>
      <c r="D151" s="2" t="s">
        <v>58</v>
      </c>
      <c r="E151" s="10" t="s">
        <v>298</v>
      </c>
      <c r="F151" s="11" t="s">
        <v>299</v>
      </c>
      <c r="G151" s="112" t="s">
        <v>58</v>
      </c>
      <c r="H151" s="113" t="s">
        <v>298</v>
      </c>
      <c r="I151" s="114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5"/>
      <c r="R151" s="235"/>
      <c r="S151" s="235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45"/>
      <c r="R152" s="245"/>
      <c r="S152" s="245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45"/>
      <c r="R153" s="245"/>
      <c r="S153" s="245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35"/>
      <c r="R154" s="235"/>
      <c r="S154" s="235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35"/>
      <c r="R155" s="235"/>
      <c r="S155" s="235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35"/>
      <c r="R156" s="235"/>
      <c r="S156" s="235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35"/>
      <c r="R157" s="235"/>
      <c r="S157" s="235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35"/>
      <c r="R158" s="235"/>
      <c r="S158" s="235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35"/>
      <c r="R159" s="235"/>
      <c r="S159" s="235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36"/>
      <c r="R161" s="237"/>
      <c r="S161" s="238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39"/>
      <c r="R162" s="240"/>
      <c r="S162" s="241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42"/>
      <c r="R163" s="243"/>
      <c r="S163" s="244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35"/>
      <c r="R164" s="235"/>
      <c r="S164" s="235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45"/>
      <c r="R165" s="245"/>
      <c r="S165" s="245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45"/>
      <c r="R166" s="245"/>
      <c r="S166" s="245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35"/>
      <c r="R167" s="235"/>
      <c r="S167" s="235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35"/>
      <c r="R168" s="235"/>
      <c r="S168" s="235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35"/>
      <c r="R169" s="235"/>
      <c r="S169" s="235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24"/>
      <c r="R170" s="225"/>
      <c r="S170" s="226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27"/>
      <c r="R171" s="228"/>
      <c r="S171" s="229"/>
    </row>
    <row r="172" spans="1:19" ht="17.25" thickBot="1">
      <c r="A172" s="26" t="s">
        <v>300</v>
      </c>
      <c r="B172" s="233">
        <f>$B$37</f>
        <v>300000</v>
      </c>
      <c r="C172" s="234"/>
      <c r="D172" s="26" t="s">
        <v>301</v>
      </c>
      <c r="E172" s="27">
        <f>IF(COUNT(E152:E171), SUM(E152:E171) / COUNT(E152:E171), 0)</f>
        <v>0</v>
      </c>
      <c r="F172" s="28">
        <f>SUM(F152:F171)</f>
        <v>0</v>
      </c>
      <c r="G172" s="26" t="s">
        <v>301</v>
      </c>
      <c r="H172" s="27">
        <f>IF(COUNT(H152:H171), SUM(H152:H171) / COUNT(H152:H171), 0)</f>
        <v>0</v>
      </c>
      <c r="I172" s="28">
        <f>SUM(I152:I171)</f>
        <v>0</v>
      </c>
      <c r="J172" s="26" t="s">
        <v>301</v>
      </c>
      <c r="K172" s="27">
        <f>IF(COUNT(K152:K171), SUM(K152:K171) / COUNT(K152:K171), 0)</f>
        <v>0</v>
      </c>
      <c r="L172" s="28">
        <f>SUM(L152:L171)</f>
        <v>0</v>
      </c>
      <c r="M172" s="26" t="s">
        <v>301</v>
      </c>
      <c r="N172" s="27">
        <f>IF(COUNT(N152:N171), SUM(N152:N171) / COUNT(N152:N171), 0)</f>
        <v>0</v>
      </c>
      <c r="O172" s="28">
        <f>SUM(O152:O171)</f>
        <v>0</v>
      </c>
      <c r="Q172" s="230"/>
      <c r="R172" s="231"/>
      <c r="S172" s="232"/>
    </row>
    <row r="174" spans="1:19" ht="17.25" thickBot="1"/>
    <row r="175" spans="1:19" ht="17.25" thickBot="1">
      <c r="A175" s="246" t="s">
        <v>285</v>
      </c>
      <c r="B175" s="247"/>
      <c r="C175" s="247"/>
      <c r="D175" s="247"/>
      <c r="E175" s="247"/>
      <c r="F175" s="247"/>
      <c r="G175" s="247"/>
      <c r="H175" s="247"/>
      <c r="I175" s="247"/>
      <c r="J175" s="247"/>
      <c r="K175" s="247"/>
      <c r="L175" s="247"/>
      <c r="M175" s="247"/>
      <c r="N175" s="247"/>
      <c r="O175" s="248"/>
      <c r="Q175" s="245"/>
      <c r="R175" s="245"/>
      <c r="S175" s="245"/>
    </row>
    <row r="176" spans="1:19" ht="17.25" thickBot="1">
      <c r="A176" s="111" t="s">
        <v>297</v>
      </c>
      <c r="B176" s="246" t="s">
        <v>49</v>
      </c>
      <c r="C176" s="248"/>
      <c r="D176" s="246" t="s">
        <v>58</v>
      </c>
      <c r="E176" s="247"/>
      <c r="F176" s="248"/>
      <c r="G176" s="249">
        <f>_xlfn.IFNA(VLOOKUP(B176, 현재가테이블!$B$2:$D$200, 2, FALSE), "-")</f>
        <v>45335000</v>
      </c>
      <c r="H176" s="250"/>
      <c r="I176" s="251"/>
      <c r="J176" s="246" t="s">
        <v>59</v>
      </c>
      <c r="K176" s="247"/>
      <c r="L176" s="248"/>
      <c r="M176" s="252">
        <f>_xlfn.IFNA(VLOOKUP(B176, 현재가테이블!$B$2:$D$200, 3, FALSE), "-")</f>
        <v>-2.27209037E-2</v>
      </c>
      <c r="N176" s="253"/>
      <c r="O176" s="254"/>
      <c r="Q176" s="245"/>
      <c r="R176" s="245"/>
      <c r="S176" s="245"/>
    </row>
    <row r="177" spans="1:19" ht="17.25" thickBot="1">
      <c r="A177" s="255" t="s">
        <v>55</v>
      </c>
      <c r="B177" s="257" t="str">
        <f>TEXT($G$1, "[$-ko-KR]yyyy-mm-dd(ddd) ") &amp; "오전 00:00"</f>
        <v>2021-04-01(목) 오전 00:00</v>
      </c>
      <c r="C177" s="258"/>
      <c r="D177" s="259" t="str">
        <f>TEXT($G$1, "[$-ko-KR]yyyy-mm-dd(ddd) ") &amp; "오후 14:00"</f>
        <v>2021-04-01(목) 오후 14:00</v>
      </c>
      <c r="E177" s="260"/>
      <c r="F177" s="261"/>
      <c r="G177" s="259" t="str">
        <f>TEXT($G$1, "[$-ko-KR]yyyy-mm-dd(ddd) ") &amp; "오후 19:00"</f>
        <v>2021-04-01(목) 오후 19:00</v>
      </c>
      <c r="H177" s="260"/>
      <c r="I177" s="261"/>
      <c r="J177" s="259" t="str">
        <f>TEXT($G$1, "[$-ko-KR]yyyy-mm-dd(ddd) ") &amp; "오후 21:00"</f>
        <v>2021-04-01(목) 오후 21:00</v>
      </c>
      <c r="K177" s="260"/>
      <c r="L177" s="261"/>
      <c r="M177" s="259" t="str">
        <f>TEXT($G$1+1, "[$-ko-KR]yyyy-mm-dd(ddd) ") &amp; "오전 00:00"</f>
        <v>2021-04-02(금) 오전 00:00</v>
      </c>
      <c r="N177" s="260"/>
      <c r="O177" s="261"/>
      <c r="Q177" s="245"/>
      <c r="R177" s="245"/>
      <c r="S177" s="245"/>
    </row>
    <row r="178" spans="1:19" ht="17.25" thickBot="1">
      <c r="A178" s="256"/>
      <c r="B178" s="2" t="s">
        <v>58</v>
      </c>
      <c r="C178" s="10" t="s">
        <v>59</v>
      </c>
      <c r="D178" s="2" t="s">
        <v>58</v>
      </c>
      <c r="E178" s="10" t="s">
        <v>298</v>
      </c>
      <c r="F178" s="11" t="s">
        <v>299</v>
      </c>
      <c r="G178" s="112" t="s">
        <v>58</v>
      </c>
      <c r="H178" s="113" t="s">
        <v>298</v>
      </c>
      <c r="I178" s="114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5"/>
      <c r="R178" s="235"/>
      <c r="S178" s="235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45"/>
      <c r="R179" s="245"/>
      <c r="S179" s="245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45"/>
      <c r="R180" s="245"/>
      <c r="S180" s="245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35"/>
      <c r="R181" s="235"/>
      <c r="S181" s="235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35"/>
      <c r="R182" s="235"/>
      <c r="S182" s="235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35"/>
      <c r="R183" s="235"/>
      <c r="S183" s="235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35"/>
      <c r="R184" s="235"/>
      <c r="S184" s="235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35"/>
      <c r="R185" s="235"/>
      <c r="S185" s="235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35"/>
      <c r="R186" s="235"/>
      <c r="S186" s="235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36"/>
      <c r="R188" s="237"/>
      <c r="S188" s="238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39"/>
      <c r="R189" s="240"/>
      <c r="S189" s="241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42"/>
      <c r="R190" s="243"/>
      <c r="S190" s="244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35"/>
      <c r="R191" s="235"/>
      <c r="S191" s="235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45"/>
      <c r="R192" s="245"/>
      <c r="S192" s="245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45"/>
      <c r="R193" s="245"/>
      <c r="S193" s="245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35"/>
      <c r="R194" s="235"/>
      <c r="S194" s="235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35"/>
      <c r="R195" s="235"/>
      <c r="S195" s="235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35"/>
      <c r="R196" s="235"/>
      <c r="S196" s="235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24"/>
      <c r="R197" s="225"/>
      <c r="S197" s="226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27"/>
      <c r="R198" s="228"/>
      <c r="S198" s="229"/>
    </row>
    <row r="199" spans="1:19" ht="17.25" thickBot="1">
      <c r="A199" s="26" t="s">
        <v>300</v>
      </c>
      <c r="B199" s="233">
        <f>$B$37</f>
        <v>300000</v>
      </c>
      <c r="C199" s="234"/>
      <c r="D199" s="26" t="s">
        <v>301</v>
      </c>
      <c r="E199" s="27">
        <f>IF(COUNT(E179:E198), SUM(E179:E198) / COUNT(E179:E198), 0)</f>
        <v>0</v>
      </c>
      <c r="F199" s="28">
        <f>SUM(F179:F198)</f>
        <v>0</v>
      </c>
      <c r="G199" s="26" t="s">
        <v>301</v>
      </c>
      <c r="H199" s="27">
        <f>IF(COUNT(H179:H198), SUM(H179:H198) / COUNT(H179:H198), 0)</f>
        <v>0</v>
      </c>
      <c r="I199" s="28">
        <f>SUM(I179:I198)</f>
        <v>0</v>
      </c>
      <c r="J199" s="26" t="s">
        <v>301</v>
      </c>
      <c r="K199" s="27">
        <f>IF(COUNT(K179:K198), SUM(K179:K198) / COUNT(K179:K198), 0)</f>
        <v>0</v>
      </c>
      <c r="L199" s="28">
        <f>SUM(L179:L198)</f>
        <v>0</v>
      </c>
      <c r="M199" s="26" t="s">
        <v>301</v>
      </c>
      <c r="N199" s="27">
        <f>IF(COUNT(N179:N198), SUM(N179:N198) / COUNT(N179:N198), 0)</f>
        <v>0</v>
      </c>
      <c r="O199" s="28">
        <f>SUM(O179:O198)</f>
        <v>0</v>
      </c>
      <c r="Q199" s="230"/>
      <c r="R199" s="231"/>
      <c r="S199" s="232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4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4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4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4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4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4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45" priority="157">
      <formula>AND($N17 &gt; 0, ISNUMBER($N17))</formula>
    </cfRule>
    <cfRule type="expression" dxfId="3444" priority="158">
      <formula>AND($N17 = 0 * ISNUMBER($N17))</formula>
    </cfRule>
    <cfRule type="expression" dxfId="3443" priority="159">
      <formula>AND($N17 &lt; 0, ISNUMBER($N17))</formula>
    </cfRule>
  </conditionalFormatting>
  <conditionalFormatting sqref="A17:F36">
    <cfRule type="expression" dxfId="3442" priority="166">
      <formula>AND($E17 &gt; 0, ISNUMBER($E17))</formula>
    </cfRule>
    <cfRule type="expression" dxfId="3441" priority="167">
      <formula>AND($E17 = 0 * ISNUMBER($E17))</formula>
    </cfRule>
    <cfRule type="expression" dxfId="3440" priority="168">
      <formula>AND($E17 &lt; 0, ISNUMBER($E17))</formula>
    </cfRule>
  </conditionalFormatting>
  <conditionalFormatting sqref="A17:C36 G17:I36">
    <cfRule type="expression" dxfId="3439" priority="163">
      <formula>AND($H17 &gt; 0, ISNUMBER($H17))</formula>
    </cfRule>
    <cfRule type="expression" dxfId="3438" priority="164">
      <formula>AND($H17 = 0 * ISNUMBER($H17))</formula>
    </cfRule>
    <cfRule type="expression" dxfId="3437" priority="165">
      <formula>AND($H17 &lt; 0, ISNUMBER($H17))</formula>
    </cfRule>
  </conditionalFormatting>
  <conditionalFormatting sqref="A17:C36 J17:L36">
    <cfRule type="expression" dxfId="3436" priority="160">
      <formula>AND($K17 &gt; 0, ISNUMBER($K17))</formula>
    </cfRule>
    <cfRule type="expression" dxfId="3435" priority="161">
      <formula>AND($K17 = 0 * ISNUMBER($K17))</formula>
    </cfRule>
    <cfRule type="expression" dxfId="3434" priority="162">
      <formula>AND($K17 &lt; 0, ISNUMBER($K17))</formula>
    </cfRule>
  </conditionalFormatting>
  <conditionalFormatting sqref="D15:F16 E37:F37">
    <cfRule type="expression" dxfId="3433" priority="154">
      <formula>$E$37 &gt; 0</formula>
    </cfRule>
    <cfRule type="expression" dxfId="3432" priority="155">
      <formula>$E$37 = 0</formula>
    </cfRule>
    <cfRule type="expression" dxfId="3431" priority="156">
      <formula>$E$37 &lt; 0</formula>
    </cfRule>
  </conditionalFormatting>
  <conditionalFormatting sqref="G15:I16 H37:I37">
    <cfRule type="expression" dxfId="3430" priority="151">
      <formula>$H$37 &gt; 0</formula>
    </cfRule>
    <cfRule type="expression" dxfId="3429" priority="152">
      <formula>$H$37 = 0</formula>
    </cfRule>
    <cfRule type="expression" dxfId="3428" priority="153">
      <formula>$H$37 &lt; 0</formula>
    </cfRule>
  </conditionalFormatting>
  <conditionalFormatting sqref="J15:L16 K37:L37">
    <cfRule type="expression" dxfId="3427" priority="148">
      <formula>$K$37 &gt; 0</formula>
    </cfRule>
    <cfRule type="expression" dxfId="3426" priority="149">
      <formula>$K$37 = 0</formula>
    </cfRule>
    <cfRule type="expression" dxfId="3425" priority="150">
      <formula>$K$37 &lt; 0</formula>
    </cfRule>
  </conditionalFormatting>
  <conditionalFormatting sqref="M15:O16 N37:O37">
    <cfRule type="expression" dxfId="3424" priority="145">
      <formula>$N$37 &gt; 0</formula>
    </cfRule>
    <cfRule type="expression" dxfId="3423" priority="146">
      <formula>$N$37 = 0</formula>
    </cfRule>
    <cfRule type="expression" dxfId="3422" priority="147">
      <formula>$N$37 &lt; 0</formula>
    </cfRule>
  </conditionalFormatting>
  <conditionalFormatting sqref="A44:C63 M44:O63">
    <cfRule type="expression" dxfId="3421" priority="133">
      <formula>AND($N44 &gt; 0, ISNUMBER($N44))</formula>
    </cfRule>
    <cfRule type="expression" dxfId="3420" priority="134">
      <formula>AND($N44 = 0 * ISNUMBER($N44))</formula>
    </cfRule>
    <cfRule type="expression" dxfId="3419" priority="135">
      <formula>AND($N44 &lt; 0, ISNUMBER($N44))</formula>
    </cfRule>
  </conditionalFormatting>
  <conditionalFormatting sqref="A44:F63">
    <cfRule type="expression" dxfId="3418" priority="142">
      <formula>AND($E44 &gt; 0, ISNUMBER($E44))</formula>
    </cfRule>
    <cfRule type="expression" dxfId="3417" priority="143">
      <formula>AND($E44 = 0 * ISNUMBER($E44))</formula>
    </cfRule>
    <cfRule type="expression" dxfId="3416" priority="144">
      <formula>AND($E44 &lt; 0, ISNUMBER($E44))</formula>
    </cfRule>
  </conditionalFormatting>
  <conditionalFormatting sqref="A44:C63 G44:I63">
    <cfRule type="expression" dxfId="3415" priority="139">
      <formula>AND($H44 &gt; 0, ISNUMBER($H44))</formula>
    </cfRule>
    <cfRule type="expression" dxfId="3414" priority="140">
      <formula>AND($H44 = 0 * ISNUMBER($H44))</formula>
    </cfRule>
    <cfRule type="expression" dxfId="3413" priority="141">
      <formula>AND($H44 &lt; 0, ISNUMBER($H44))</formula>
    </cfRule>
  </conditionalFormatting>
  <conditionalFormatting sqref="A44:C63 J44:L63">
    <cfRule type="expression" dxfId="3412" priority="136">
      <formula>AND($K44 &gt; 0, ISNUMBER($K44))</formula>
    </cfRule>
    <cfRule type="expression" dxfId="3411" priority="137">
      <formula>AND($K44 = 0 * ISNUMBER($K44))</formula>
    </cfRule>
    <cfRule type="expression" dxfId="3410" priority="138">
      <formula>AND($K44 &lt; 0, ISNUMBER($K44))</formula>
    </cfRule>
  </conditionalFormatting>
  <conditionalFormatting sqref="D42:F43 E64:F64">
    <cfRule type="expression" dxfId="3409" priority="130">
      <formula>$E$64 &gt; 0</formula>
    </cfRule>
    <cfRule type="expression" dxfId="3408" priority="131">
      <formula>$E$64 = 0</formula>
    </cfRule>
    <cfRule type="expression" dxfId="3407" priority="132">
      <formula>$E$64 &lt; 0</formula>
    </cfRule>
  </conditionalFormatting>
  <conditionalFormatting sqref="G42:I43 H64:I64">
    <cfRule type="expression" dxfId="3406" priority="127">
      <formula>$H$64 &gt; 0</formula>
    </cfRule>
    <cfRule type="expression" dxfId="3405" priority="128">
      <formula>$H$64 = 0</formula>
    </cfRule>
    <cfRule type="expression" dxfId="3404" priority="129">
      <formula>$H$64 &lt; 0</formula>
    </cfRule>
  </conditionalFormatting>
  <conditionalFormatting sqref="J42:L43 K64:L64">
    <cfRule type="expression" dxfId="3403" priority="124">
      <formula>$K$64 &gt; 0</formula>
    </cfRule>
    <cfRule type="expression" dxfId="3402" priority="125">
      <formula>$K$64 = 0</formula>
    </cfRule>
    <cfRule type="expression" dxfId="3401" priority="126">
      <formula>$K$64 &lt; 0</formula>
    </cfRule>
  </conditionalFormatting>
  <conditionalFormatting sqref="M42:O43 N64:O64">
    <cfRule type="expression" dxfId="3400" priority="121">
      <formula>$N$64 &gt; 0</formula>
    </cfRule>
    <cfRule type="expression" dxfId="3399" priority="122">
      <formula>$N$64 = 0</formula>
    </cfRule>
    <cfRule type="expression" dxfId="3398" priority="123">
      <formula>$N$64 &lt; 0</formula>
    </cfRule>
  </conditionalFormatting>
  <conditionalFormatting sqref="A71:C90 M71:O90">
    <cfRule type="expression" dxfId="3397" priority="109">
      <formula>AND($N71 &gt; 0, ISNUMBER($N71))</formula>
    </cfRule>
    <cfRule type="expression" dxfId="3396" priority="110">
      <formula>AND($N71 = 0 * ISNUMBER($N71))</formula>
    </cfRule>
    <cfRule type="expression" dxfId="3395" priority="111">
      <formula>AND($N71 &lt; 0, ISNUMBER($N71))</formula>
    </cfRule>
  </conditionalFormatting>
  <conditionalFormatting sqref="A71:F90">
    <cfRule type="expression" dxfId="3394" priority="118">
      <formula>AND($E71 &gt; 0, ISNUMBER($E71))</formula>
    </cfRule>
    <cfRule type="expression" dxfId="3393" priority="119">
      <formula>AND($E71 = 0 * ISNUMBER($E71))</formula>
    </cfRule>
    <cfRule type="expression" dxfId="3392" priority="120">
      <formula>AND($E71 &lt; 0, ISNUMBER($E71))</formula>
    </cfRule>
  </conditionalFormatting>
  <conditionalFormatting sqref="A71:C90 G71:I90">
    <cfRule type="expression" dxfId="3391" priority="115">
      <formula>AND($H71 &gt; 0, ISNUMBER($H71))</formula>
    </cfRule>
    <cfRule type="expression" dxfId="3390" priority="116">
      <formula>AND($H71 = 0 * ISNUMBER($H71))</formula>
    </cfRule>
    <cfRule type="expression" dxfId="3389" priority="117">
      <formula>AND($H71 &lt; 0, ISNUMBER($H71))</formula>
    </cfRule>
  </conditionalFormatting>
  <conditionalFormatting sqref="A71:C90 J71:L90">
    <cfRule type="expression" dxfId="3388" priority="112">
      <formula>AND($K71 &gt; 0, ISNUMBER($K71))</formula>
    </cfRule>
    <cfRule type="expression" dxfId="3387" priority="113">
      <formula>AND($K71 = 0 * ISNUMBER($K71))</formula>
    </cfRule>
    <cfRule type="expression" dxfId="3386" priority="114">
      <formula>AND($K71 &lt; 0, ISNUMBER($K71))</formula>
    </cfRule>
  </conditionalFormatting>
  <conditionalFormatting sqref="D69:F70 E91:F91">
    <cfRule type="expression" dxfId="3385" priority="106">
      <formula>$E$91 &gt; 0</formula>
    </cfRule>
    <cfRule type="expression" dxfId="3384" priority="107">
      <formula>$E$91 = 0</formula>
    </cfRule>
    <cfRule type="expression" dxfId="3383" priority="108">
      <formula>$E$91 &lt; 0</formula>
    </cfRule>
  </conditionalFormatting>
  <conditionalFormatting sqref="G69:I70 H91:I91">
    <cfRule type="expression" dxfId="3382" priority="103">
      <formula>$H$91 &gt; 0</formula>
    </cfRule>
    <cfRule type="expression" dxfId="3381" priority="104">
      <formula>$H$91 = 0</formula>
    </cfRule>
    <cfRule type="expression" dxfId="3380" priority="105">
      <formula>$H$91 &lt; 0</formula>
    </cfRule>
  </conditionalFormatting>
  <conditionalFormatting sqref="J69:L70 K91:L91">
    <cfRule type="expression" dxfId="3379" priority="100">
      <formula>$K$91 &gt; 0</formula>
    </cfRule>
    <cfRule type="expression" dxfId="3378" priority="101">
      <formula>$K$91 = 0</formula>
    </cfRule>
    <cfRule type="expression" dxfId="3377" priority="102">
      <formula>$K$91 &lt; 0</formula>
    </cfRule>
  </conditionalFormatting>
  <conditionalFormatting sqref="M69:O70 N91:O91">
    <cfRule type="expression" dxfId="3376" priority="97">
      <formula>$N$91 &gt; 0</formula>
    </cfRule>
    <cfRule type="expression" dxfId="3375" priority="98">
      <formula>$N$91 = 0</formula>
    </cfRule>
    <cfRule type="expression" dxfId="3374" priority="99">
      <formula>$N$91 &lt; 0</formula>
    </cfRule>
  </conditionalFormatting>
  <conditionalFormatting sqref="A98:C117 M98:O117">
    <cfRule type="expression" dxfId="3373" priority="85">
      <formula>AND($N98 &gt; 0, ISNUMBER($N98))</formula>
    </cfRule>
    <cfRule type="expression" dxfId="3372" priority="86">
      <formula>AND($N98 = 0 * ISNUMBER($N98))</formula>
    </cfRule>
    <cfRule type="expression" dxfId="3371" priority="87">
      <formula>AND($N98 &lt; 0, ISNUMBER($N98))</formula>
    </cfRule>
  </conditionalFormatting>
  <conditionalFormatting sqref="A98:F117">
    <cfRule type="expression" dxfId="3370" priority="94">
      <formula>AND($E98 &gt; 0, ISNUMBER($E98))</formula>
    </cfRule>
    <cfRule type="expression" dxfId="3369" priority="95">
      <formula>AND($E98 = 0 * ISNUMBER($E98))</formula>
    </cfRule>
    <cfRule type="expression" dxfId="3368" priority="96">
      <formula>AND($E98 &lt; 0, ISNUMBER($E98))</formula>
    </cfRule>
  </conditionalFormatting>
  <conditionalFormatting sqref="A98:C117 G98:I117">
    <cfRule type="expression" dxfId="3367" priority="91">
      <formula>AND($H98 &gt; 0, ISNUMBER($H98))</formula>
    </cfRule>
    <cfRule type="expression" dxfId="3366" priority="92">
      <formula>AND($H98 = 0 * ISNUMBER($H98))</formula>
    </cfRule>
    <cfRule type="expression" dxfId="3365" priority="93">
      <formula>AND($H98 &lt; 0, ISNUMBER($H98))</formula>
    </cfRule>
  </conditionalFormatting>
  <conditionalFormatting sqref="A98:C117 J98:L117">
    <cfRule type="expression" dxfId="3364" priority="88">
      <formula>AND($K98 &gt; 0, ISNUMBER($K98))</formula>
    </cfRule>
    <cfRule type="expression" dxfId="3363" priority="89">
      <formula>AND($K98 = 0 * ISNUMBER($K98))</formula>
    </cfRule>
    <cfRule type="expression" dxfId="3362" priority="90">
      <formula>AND($K98 &lt; 0, ISNUMBER($K98))</formula>
    </cfRule>
  </conditionalFormatting>
  <conditionalFormatting sqref="D96:F97 E118:F118">
    <cfRule type="expression" dxfId="3361" priority="82">
      <formula>$E$118 &gt; 0</formula>
    </cfRule>
    <cfRule type="expression" dxfId="3360" priority="83">
      <formula>$E$118 = 0</formula>
    </cfRule>
    <cfRule type="expression" dxfId="3359" priority="84">
      <formula>$E$118 &lt; 0</formula>
    </cfRule>
  </conditionalFormatting>
  <conditionalFormatting sqref="G96:I97 H118:I118">
    <cfRule type="expression" dxfId="3358" priority="79">
      <formula>$H$118 &gt; 0</formula>
    </cfRule>
    <cfRule type="expression" dxfId="3357" priority="80">
      <formula>$H$118 = 0</formula>
    </cfRule>
    <cfRule type="expression" dxfId="3356" priority="81">
      <formula>$H$118 &lt; 0</formula>
    </cfRule>
  </conditionalFormatting>
  <conditionalFormatting sqref="J96:L97 K118:L118">
    <cfRule type="expression" dxfId="3355" priority="76">
      <formula>$K$118 &gt; 0</formula>
    </cfRule>
    <cfRule type="expression" dxfId="3354" priority="77">
      <formula>$K$118 = 0</formula>
    </cfRule>
    <cfRule type="expression" dxfId="3353" priority="78">
      <formula>$K$118 &lt; 0</formula>
    </cfRule>
  </conditionalFormatting>
  <conditionalFormatting sqref="M96:O97 N118:O118">
    <cfRule type="expression" dxfId="3352" priority="73">
      <formula>$N$118 &gt; 0</formula>
    </cfRule>
    <cfRule type="expression" dxfId="3351" priority="74">
      <formula>$N$118 = 0</formula>
    </cfRule>
    <cfRule type="expression" dxfId="3350" priority="75">
      <formula>$N$118 &lt; 0</formula>
    </cfRule>
  </conditionalFormatting>
  <conditionalFormatting sqref="A125:C144 M125:O144">
    <cfRule type="expression" dxfId="3349" priority="61">
      <formula>AND($N125 &gt; 0, ISNUMBER($N125))</formula>
    </cfRule>
    <cfRule type="expression" dxfId="3348" priority="62">
      <formula>AND($N125 = 0 * ISNUMBER($N125))</formula>
    </cfRule>
    <cfRule type="expression" dxfId="3347" priority="63">
      <formula>AND($N125 &lt; 0, ISNUMBER($N125))</formula>
    </cfRule>
  </conditionalFormatting>
  <conditionalFormatting sqref="A125:F144">
    <cfRule type="expression" dxfId="3346" priority="70">
      <formula>AND($E125 &gt; 0, ISNUMBER($E125))</formula>
    </cfRule>
    <cfRule type="expression" dxfId="3345" priority="71">
      <formula>AND($E125 = 0 * ISNUMBER($E125))</formula>
    </cfRule>
    <cfRule type="expression" dxfId="3344" priority="72">
      <formula>AND($E125 &lt; 0, ISNUMBER($E125))</formula>
    </cfRule>
  </conditionalFormatting>
  <conditionalFormatting sqref="A125:C144 G125:I144">
    <cfRule type="expression" dxfId="3343" priority="67">
      <formula>AND($H125 &gt; 0, ISNUMBER($H125))</formula>
    </cfRule>
    <cfRule type="expression" dxfId="3342" priority="68">
      <formula>AND($H125 = 0 * ISNUMBER($H125))</formula>
    </cfRule>
    <cfRule type="expression" dxfId="3341" priority="69">
      <formula>AND($H125 &lt; 0, ISNUMBER($H125))</formula>
    </cfRule>
  </conditionalFormatting>
  <conditionalFormatting sqref="A125:C144 J125:L144">
    <cfRule type="expression" dxfId="3340" priority="64">
      <formula>AND($K125 &gt; 0, ISNUMBER($K125))</formula>
    </cfRule>
    <cfRule type="expression" dxfId="3339" priority="65">
      <formula>AND($K125 = 0 * ISNUMBER($K125))</formula>
    </cfRule>
    <cfRule type="expression" dxfId="3338" priority="66">
      <formula>AND($K125 &lt; 0, ISNUMBER($K125))</formula>
    </cfRule>
  </conditionalFormatting>
  <conditionalFormatting sqref="D123:F124 E145:F145">
    <cfRule type="expression" dxfId="3337" priority="58">
      <formula>$E$145 &gt; 0</formula>
    </cfRule>
    <cfRule type="expression" dxfId="3336" priority="59">
      <formula>$E$145 = 0</formula>
    </cfRule>
    <cfRule type="expression" dxfId="3335" priority="60">
      <formula>$E$145 &lt; 0</formula>
    </cfRule>
  </conditionalFormatting>
  <conditionalFormatting sqref="G123:I124 H145:I145">
    <cfRule type="expression" dxfId="3334" priority="55">
      <formula>$H$145 &gt; 0</formula>
    </cfRule>
    <cfRule type="expression" dxfId="3333" priority="56">
      <formula>$H$145 = 0</formula>
    </cfRule>
    <cfRule type="expression" dxfId="3332" priority="57">
      <formula>$H$145 &lt; 0</formula>
    </cfRule>
  </conditionalFormatting>
  <conditionalFormatting sqref="J123:L124 K145:L145">
    <cfRule type="expression" dxfId="3331" priority="52">
      <formula>$K$145 &gt; 0</formula>
    </cfRule>
    <cfRule type="expression" dxfId="3330" priority="53">
      <formula>$K$145 = 0</formula>
    </cfRule>
    <cfRule type="expression" dxfId="3329" priority="54">
      <formula>$K$145 &lt; 0</formula>
    </cfRule>
  </conditionalFormatting>
  <conditionalFormatting sqref="M123:O124 N145:O145">
    <cfRule type="expression" dxfId="3328" priority="49">
      <formula>$N$145 &gt; 0</formula>
    </cfRule>
    <cfRule type="expression" dxfId="3327" priority="50">
      <formula>$N$145 = 0</formula>
    </cfRule>
    <cfRule type="expression" dxfId="3326" priority="51">
      <formula>$N$145 &lt; 0</formula>
    </cfRule>
  </conditionalFormatting>
  <conditionalFormatting sqref="A152:C171 M152:O171">
    <cfRule type="expression" dxfId="3325" priority="37">
      <formula>AND($N152 &gt; 0, ISNUMBER($N152))</formula>
    </cfRule>
    <cfRule type="expression" dxfId="3324" priority="38">
      <formula>AND($N152 = 0 * ISNUMBER($N152))</formula>
    </cfRule>
    <cfRule type="expression" dxfId="3323" priority="39">
      <formula>AND($N152 &lt; 0, ISNUMBER($N152))</formula>
    </cfRule>
  </conditionalFormatting>
  <conditionalFormatting sqref="A152:F171">
    <cfRule type="expression" dxfId="3322" priority="46">
      <formula>AND($E152 &gt; 0, ISNUMBER($E152))</formula>
    </cfRule>
    <cfRule type="expression" dxfId="3321" priority="47">
      <formula>AND($E152 = 0 * ISNUMBER($E152))</formula>
    </cfRule>
    <cfRule type="expression" dxfId="3320" priority="48">
      <formula>AND($E152 &lt; 0, ISNUMBER($E152))</formula>
    </cfRule>
  </conditionalFormatting>
  <conditionalFormatting sqref="A152:C171 G152:I171">
    <cfRule type="expression" dxfId="3319" priority="43">
      <formula>AND($H152 &gt; 0, ISNUMBER($H152))</formula>
    </cfRule>
    <cfRule type="expression" dxfId="3318" priority="44">
      <formula>AND($H152 = 0 * ISNUMBER($H152))</formula>
    </cfRule>
    <cfRule type="expression" dxfId="3317" priority="45">
      <formula>AND($H152 &lt; 0, ISNUMBER($H152))</formula>
    </cfRule>
  </conditionalFormatting>
  <conditionalFormatting sqref="A152:C171 J152:L171">
    <cfRule type="expression" dxfId="3316" priority="40">
      <formula>AND($K152 &gt; 0, ISNUMBER($K152))</formula>
    </cfRule>
    <cfRule type="expression" dxfId="3315" priority="41">
      <formula>AND($K152 = 0 * ISNUMBER($K152))</formula>
    </cfRule>
    <cfRule type="expression" dxfId="3314" priority="42">
      <formula>AND($K152 &lt; 0, ISNUMBER($K152))</formula>
    </cfRule>
  </conditionalFormatting>
  <conditionalFormatting sqref="D150:F151 E172:F172">
    <cfRule type="expression" dxfId="3313" priority="34">
      <formula>$E$172 &gt; 0</formula>
    </cfRule>
    <cfRule type="expression" dxfId="3312" priority="35">
      <formula>$E$172 = 0</formula>
    </cfRule>
    <cfRule type="expression" dxfId="3311" priority="36">
      <formula>$E$172 &lt; 0</formula>
    </cfRule>
  </conditionalFormatting>
  <conditionalFormatting sqref="G150:I151 H172:I172">
    <cfRule type="expression" dxfId="3310" priority="31">
      <formula>$H$172 &gt; 0</formula>
    </cfRule>
    <cfRule type="expression" dxfId="3309" priority="32">
      <formula>$H$172 = 0</formula>
    </cfRule>
    <cfRule type="expression" dxfId="3308" priority="33">
      <formula>$H$172 &lt; 0</formula>
    </cfRule>
  </conditionalFormatting>
  <conditionalFormatting sqref="J150:L151 K172:L172">
    <cfRule type="expression" dxfId="3307" priority="28">
      <formula>$K$172 &gt; 0</formula>
    </cfRule>
    <cfRule type="expression" dxfId="3306" priority="29">
      <formula>$K$172 = 0</formula>
    </cfRule>
    <cfRule type="expression" dxfId="3305" priority="30">
      <formula>$K$172 &lt; 0</formula>
    </cfRule>
  </conditionalFormatting>
  <conditionalFormatting sqref="M150:O151 N172:O172">
    <cfRule type="expression" dxfId="3304" priority="25">
      <formula>$N$172 &gt; 0</formula>
    </cfRule>
    <cfRule type="expression" dxfId="3303" priority="26">
      <formula>$N$172 = 0</formula>
    </cfRule>
    <cfRule type="expression" dxfId="3302" priority="27">
      <formula>$N$172 &lt; 0</formula>
    </cfRule>
  </conditionalFormatting>
  <conditionalFormatting sqref="A179:C198 M179:O198">
    <cfRule type="expression" dxfId="3301" priority="13">
      <formula>AND($N179 &gt; 0, ISNUMBER($N179))</formula>
    </cfRule>
    <cfRule type="expression" dxfId="3300" priority="14">
      <formula>AND($N179 = 0 * ISNUMBER($N179))</formula>
    </cfRule>
    <cfRule type="expression" dxfId="3299" priority="15">
      <formula>AND($N179 &lt; 0, ISNUMBER($N179))</formula>
    </cfRule>
  </conditionalFormatting>
  <conditionalFormatting sqref="A179:F198">
    <cfRule type="expression" dxfId="3298" priority="22">
      <formula>AND($E179 &gt; 0, ISNUMBER($E179))</formula>
    </cfRule>
    <cfRule type="expression" dxfId="3297" priority="23">
      <formula>AND($E179 = 0 * ISNUMBER($E179))</formula>
    </cfRule>
    <cfRule type="expression" dxfId="3296" priority="24">
      <formula>AND($E179 &lt; 0, ISNUMBER($E179))</formula>
    </cfRule>
  </conditionalFormatting>
  <conditionalFormatting sqref="A179:C198 G179:I198">
    <cfRule type="expression" dxfId="3295" priority="19">
      <formula>AND($H179 &gt; 0, ISNUMBER($H179))</formula>
    </cfRule>
    <cfRule type="expression" dxfId="3294" priority="20">
      <formula>AND($H179 = 0 * ISNUMBER($H179))</formula>
    </cfRule>
    <cfRule type="expression" dxfId="3293" priority="21">
      <formula>AND($H179 &lt; 0, ISNUMBER($H179))</formula>
    </cfRule>
  </conditionalFormatting>
  <conditionalFormatting sqref="A179:C198 J179:L198">
    <cfRule type="expression" dxfId="3292" priority="16">
      <formula>AND($K179 &gt; 0, ISNUMBER($K179))</formula>
    </cfRule>
    <cfRule type="expression" dxfId="3291" priority="17">
      <formula>AND($K179 = 0 * ISNUMBER($K179))</formula>
    </cfRule>
    <cfRule type="expression" dxfId="3290" priority="18">
      <formula>AND($K179 &lt; 0, ISNUMBER($K179))</formula>
    </cfRule>
  </conditionalFormatting>
  <conditionalFormatting sqref="D177:F178 E199:F199">
    <cfRule type="expression" dxfId="3289" priority="10">
      <formula>$E$199 &gt; 0</formula>
    </cfRule>
    <cfRule type="expression" dxfId="3288" priority="11">
      <formula>$E$199 = 0</formula>
    </cfRule>
    <cfRule type="expression" dxfId="3287" priority="12">
      <formula>$E$199 &lt; 0</formula>
    </cfRule>
  </conditionalFormatting>
  <conditionalFormatting sqref="G177:I178 H199:I199">
    <cfRule type="expression" dxfId="3286" priority="7">
      <formula>$H$199 &gt; 0</formula>
    </cfRule>
    <cfRule type="expression" dxfId="3285" priority="8">
      <formula>$H$199 = 0</formula>
    </cfRule>
    <cfRule type="expression" dxfId="3284" priority="9">
      <formula>$H$199 &lt; 0</formula>
    </cfRule>
  </conditionalFormatting>
  <conditionalFormatting sqref="J177:L178 K199:L199">
    <cfRule type="expression" dxfId="3283" priority="4">
      <formula>$K$199 &gt; 0</formula>
    </cfRule>
    <cfRule type="expression" dxfId="3282" priority="5">
      <formula>$K$199 = 0</formula>
    </cfRule>
    <cfRule type="expression" dxfId="3281" priority="6">
      <formula>$K$199 &lt; 0</formula>
    </cfRule>
  </conditionalFormatting>
  <conditionalFormatting sqref="M177:O178 N199:O199">
    <cfRule type="expression" dxfId="3280" priority="1">
      <formula>$N$199 &gt; 0</formula>
    </cfRule>
    <cfRule type="expression" dxfId="3279" priority="2">
      <formula>$N$199 = 0</formula>
    </cfRule>
    <cfRule type="expression" dxfId="32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6" t="s">
        <v>0</v>
      </c>
      <c r="B1" s="247"/>
      <c r="C1" s="247"/>
      <c r="D1" s="247"/>
      <c r="E1" s="247"/>
      <c r="F1" s="248"/>
      <c r="G1" s="277">
        <v>44348</v>
      </c>
      <c r="H1" s="278"/>
      <c r="I1" s="279"/>
      <c r="J1" s="246" t="s">
        <v>1</v>
      </c>
      <c r="K1" s="247"/>
      <c r="L1" s="247"/>
      <c r="M1" s="247"/>
      <c r="N1" s="247"/>
      <c r="O1" s="248"/>
      <c r="Q1" s="246" t="s">
        <v>2</v>
      </c>
      <c r="R1" s="248"/>
    </row>
    <row r="2" spans="1:19" ht="17.25" customHeight="1">
      <c r="A2" s="117" t="s">
        <v>3</v>
      </c>
      <c r="B2" s="280" t="s">
        <v>8</v>
      </c>
      <c r="C2" s="281"/>
      <c r="D2" s="281"/>
      <c r="E2" s="281"/>
      <c r="F2" s="282"/>
      <c r="G2" s="274" t="s">
        <v>46</v>
      </c>
      <c r="H2" s="275"/>
      <c r="I2" s="276"/>
      <c r="J2" s="1" t="s">
        <v>3</v>
      </c>
      <c r="K2" s="280" t="s">
        <v>350</v>
      </c>
      <c r="L2" s="281"/>
      <c r="M2" s="281"/>
      <c r="N2" s="281"/>
      <c r="O2" s="282"/>
      <c r="Q2" s="2" t="s">
        <v>6</v>
      </c>
      <c r="R2" s="3">
        <v>0.375</v>
      </c>
    </row>
    <row r="3" spans="1:19" ht="17.25" customHeight="1" thickBot="1">
      <c r="A3" s="118" t="s">
        <v>7</v>
      </c>
      <c r="B3" s="271" t="s">
        <v>358</v>
      </c>
      <c r="C3" s="272"/>
      <c r="D3" s="272"/>
      <c r="E3" s="272"/>
      <c r="F3" s="273"/>
      <c r="G3" s="26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68"/>
      <c r="I3" s="269"/>
      <c r="J3" s="4" t="s">
        <v>7</v>
      </c>
      <c r="K3" s="271" t="s">
        <v>351</v>
      </c>
      <c r="L3" s="272"/>
      <c r="M3" s="272"/>
      <c r="N3" s="272"/>
      <c r="O3" s="27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1" t="s">
        <v>16</v>
      </c>
      <c r="C4" s="272"/>
      <c r="D4" s="272"/>
      <c r="E4" s="272"/>
      <c r="F4" s="273"/>
      <c r="G4" s="274" t="s">
        <v>44</v>
      </c>
      <c r="H4" s="275"/>
      <c r="I4" s="276"/>
      <c r="J4" s="4" t="s">
        <v>11</v>
      </c>
      <c r="K4" s="271" t="s">
        <v>352</v>
      </c>
      <c r="L4" s="272"/>
      <c r="M4" s="272"/>
      <c r="N4" s="272"/>
      <c r="O4" s="27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1" t="s">
        <v>349</v>
      </c>
      <c r="C5" s="272"/>
      <c r="D5" s="272"/>
      <c r="E5" s="272"/>
      <c r="F5" s="273"/>
      <c r="G5" s="26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68"/>
      <c r="I5" s="269"/>
      <c r="J5" s="4" t="s">
        <v>15</v>
      </c>
      <c r="K5" s="271" t="s">
        <v>353</v>
      </c>
      <c r="L5" s="272"/>
      <c r="M5" s="272"/>
      <c r="N5" s="272"/>
      <c r="O5" s="273"/>
    </row>
    <row r="6" spans="1:19">
      <c r="A6" s="118" t="s">
        <v>18</v>
      </c>
      <c r="B6" s="271"/>
      <c r="C6" s="272"/>
      <c r="D6" s="272"/>
      <c r="E6" s="272"/>
      <c r="F6" s="273"/>
      <c r="G6" s="274" t="s">
        <v>45</v>
      </c>
      <c r="H6" s="275"/>
      <c r="I6" s="276"/>
      <c r="J6" s="4" t="s">
        <v>18</v>
      </c>
      <c r="K6" s="271" t="s">
        <v>354</v>
      </c>
      <c r="L6" s="272"/>
      <c r="M6" s="272"/>
      <c r="N6" s="272"/>
      <c r="O6" s="273"/>
    </row>
    <row r="7" spans="1:19" ht="17.25" thickBot="1">
      <c r="A7" s="118" t="s">
        <v>21</v>
      </c>
      <c r="B7" s="271"/>
      <c r="C7" s="272"/>
      <c r="D7" s="272"/>
      <c r="E7" s="272"/>
      <c r="F7" s="273"/>
      <c r="G7" s="26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68"/>
      <c r="I7" s="269"/>
      <c r="J7" s="4" t="s">
        <v>21</v>
      </c>
      <c r="K7" s="271" t="s">
        <v>355</v>
      </c>
      <c r="L7" s="272"/>
      <c r="M7" s="272"/>
      <c r="N7" s="272"/>
      <c r="O7" s="273"/>
    </row>
    <row r="8" spans="1:19" ht="17.25" thickBot="1">
      <c r="A8" s="118" t="s">
        <v>24</v>
      </c>
      <c r="B8" s="271"/>
      <c r="C8" s="272"/>
      <c r="D8" s="272"/>
      <c r="E8" s="272"/>
      <c r="F8" s="273"/>
      <c r="G8" s="274" t="s">
        <v>285</v>
      </c>
      <c r="H8" s="275"/>
      <c r="I8" s="276"/>
      <c r="J8" s="4" t="s">
        <v>24</v>
      </c>
      <c r="K8" s="271"/>
      <c r="L8" s="272"/>
      <c r="M8" s="272"/>
      <c r="N8" s="272"/>
      <c r="O8" s="273"/>
      <c r="Q8" s="246" t="s">
        <v>27</v>
      </c>
      <c r="R8" s="248"/>
    </row>
    <row r="9" spans="1:19" ht="17.25" thickBot="1">
      <c r="A9" s="118" t="s">
        <v>28</v>
      </c>
      <c r="B9" s="271"/>
      <c r="C9" s="272"/>
      <c r="D9" s="272"/>
      <c r="E9" s="272"/>
      <c r="F9" s="273"/>
      <c r="G9" s="26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68"/>
      <c r="I9" s="269"/>
      <c r="J9" s="4" t="s">
        <v>28</v>
      </c>
      <c r="K9" s="271"/>
      <c r="L9" s="272"/>
      <c r="M9" s="272"/>
      <c r="N9" s="272"/>
      <c r="O9" s="273"/>
      <c r="Q9" s="2" t="s">
        <v>29</v>
      </c>
      <c r="R9" s="6">
        <v>10</v>
      </c>
    </row>
    <row r="10" spans="1:19">
      <c r="A10" s="118" t="s">
        <v>30</v>
      </c>
      <c r="B10" s="271"/>
      <c r="C10" s="272"/>
      <c r="D10" s="272"/>
      <c r="E10" s="272"/>
      <c r="F10" s="273"/>
      <c r="G10" s="274" t="s">
        <v>47</v>
      </c>
      <c r="H10" s="275"/>
      <c r="I10" s="276"/>
      <c r="J10" s="4" t="s">
        <v>30</v>
      </c>
      <c r="K10" s="271" t="s">
        <v>356</v>
      </c>
      <c r="L10" s="272"/>
      <c r="M10" s="272"/>
      <c r="N10" s="272"/>
      <c r="O10" s="273"/>
      <c r="Q10" s="2" t="s">
        <v>31</v>
      </c>
      <c r="R10" s="6">
        <v>100</v>
      </c>
    </row>
    <row r="11" spans="1:19" ht="17.25" thickBot="1">
      <c r="A11" s="119" t="s">
        <v>32</v>
      </c>
      <c r="B11" s="264" t="s">
        <v>357</v>
      </c>
      <c r="C11" s="265"/>
      <c r="D11" s="265"/>
      <c r="E11" s="265"/>
      <c r="F11" s="266"/>
      <c r="G11" s="26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8"/>
      <c r="I11" s="269"/>
      <c r="J11" s="7" t="s">
        <v>32</v>
      </c>
      <c r="K11" s="264" t="s">
        <v>348</v>
      </c>
      <c r="L11" s="265"/>
      <c r="M11" s="265"/>
      <c r="N11" s="265"/>
      <c r="O11" s="266"/>
      <c r="Q11" s="65" t="s">
        <v>33</v>
      </c>
      <c r="R11" s="8">
        <v>1000</v>
      </c>
    </row>
    <row r="12" spans="1:19" ht="17.25" thickBot="1"/>
    <row r="13" spans="1:19" ht="17.25" customHeight="1" thickBot="1">
      <c r="A13" s="246" t="s">
        <v>34</v>
      </c>
      <c r="B13" s="247"/>
      <c r="C13" s="247"/>
      <c r="D13" s="247"/>
      <c r="E13" s="247"/>
      <c r="F13" s="247"/>
      <c r="G13" s="247"/>
      <c r="H13" s="247"/>
      <c r="I13" s="247"/>
      <c r="J13" s="247"/>
      <c r="K13" s="247"/>
      <c r="L13" s="247"/>
      <c r="M13" s="247"/>
      <c r="N13" s="247"/>
      <c r="O13" s="248"/>
      <c r="Q13" s="245"/>
      <c r="R13" s="245"/>
      <c r="S13" s="245"/>
    </row>
    <row r="14" spans="1:19" ht="17.25" customHeight="1" thickBot="1">
      <c r="A14" s="116" t="s">
        <v>35</v>
      </c>
      <c r="B14" s="246" t="s">
        <v>36</v>
      </c>
      <c r="C14" s="248"/>
      <c r="D14" s="246" t="s">
        <v>37</v>
      </c>
      <c r="E14" s="247"/>
      <c r="F14" s="248"/>
      <c r="G14" s="249">
        <f>_xlfn.IFNA(VLOOKUP(B14, 현재가테이블!$B$2:$D$200, 2, FALSE), "-")</f>
        <v>45335000</v>
      </c>
      <c r="H14" s="250"/>
      <c r="I14" s="251"/>
      <c r="J14" s="246" t="s">
        <v>38</v>
      </c>
      <c r="K14" s="247"/>
      <c r="L14" s="248"/>
      <c r="M14" s="252">
        <f>_xlfn.IFNA(VLOOKUP(B14, 현재가테이블!$B$2:$D$200, 3, FALSE), "-")</f>
        <v>-2.27209037E-2</v>
      </c>
      <c r="N14" s="253"/>
      <c r="O14" s="254"/>
      <c r="Q14" s="245"/>
      <c r="R14" s="245"/>
      <c r="S14" s="245"/>
    </row>
    <row r="15" spans="1:19" ht="17.25" customHeight="1" thickBot="1">
      <c r="A15" s="283" t="s">
        <v>39</v>
      </c>
      <c r="B15" s="284" t="str">
        <f>TEXT($G$1, "[$-ko-KR]yyyy-mm-dd(ddd) ") &amp; "오전 00:00"</f>
        <v>2021-06-01(화) 오전 00:00</v>
      </c>
      <c r="C15" s="285"/>
      <c r="D15" s="259" t="str">
        <f>TEXT($G$1, "[$-ko-KR]yyyy-mm-dd(ddd) ") &amp; "오후 14:00"</f>
        <v>2021-06-01(화) 오후 14:00</v>
      </c>
      <c r="E15" s="260"/>
      <c r="F15" s="261"/>
      <c r="G15" s="259" t="str">
        <f>TEXT($G$1, "[$-ko-KR]yyyy-mm-dd(ddd) ") &amp; "오후 19:00"</f>
        <v>2021-06-01(화) 오후 19:00</v>
      </c>
      <c r="H15" s="260"/>
      <c r="I15" s="261"/>
      <c r="J15" s="259" t="str">
        <f>TEXT($G$1, "[$-ko-KR]yyyy-mm-dd(ddd) ") &amp; "오후 21:00"</f>
        <v>2021-06-01(화) 오후 21:00</v>
      </c>
      <c r="K15" s="260"/>
      <c r="L15" s="261"/>
      <c r="M15" s="259" t="str">
        <f>TEXT($G$1+1, "[$-ko-KR]yyyy-mm-dd(ddd) ") &amp; "오전 00:00"</f>
        <v>2021-06-02(수) 오전 00:00</v>
      </c>
      <c r="N15" s="260"/>
      <c r="O15" s="261"/>
      <c r="Q15" s="245"/>
      <c r="R15" s="245"/>
      <c r="S15" s="245"/>
    </row>
    <row r="16" spans="1:19" ht="17.25" customHeight="1" thickBot="1">
      <c r="A16" s="28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35"/>
      <c r="R16" s="235"/>
      <c r="S16" s="23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5"/>
      <c r="R17" s="245"/>
      <c r="S17" s="245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5"/>
      <c r="R18" s="245"/>
      <c r="S18" s="245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5"/>
      <c r="R19" s="235"/>
      <c r="S19" s="23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5"/>
      <c r="R20" s="235"/>
      <c r="S20" s="23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5"/>
      <c r="R21" s="235"/>
      <c r="S21" s="23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5"/>
      <c r="R22" s="235"/>
      <c r="S22" s="23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5"/>
      <c r="R23" s="235"/>
      <c r="S23" s="23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5"/>
      <c r="R24" s="235"/>
      <c r="S24" s="23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6"/>
      <c r="R26" s="237"/>
      <c r="S26" s="23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9"/>
      <c r="R27" s="240"/>
      <c r="S27" s="24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2"/>
      <c r="R28" s="243"/>
      <c r="S28" s="24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5"/>
      <c r="R29" s="235"/>
      <c r="S29" s="23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5"/>
      <c r="R30" s="245"/>
      <c r="S30" s="245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5"/>
      <c r="R31" s="245"/>
      <c r="S31" s="245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5"/>
      <c r="R32" s="235"/>
      <c r="S32" s="23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5"/>
      <c r="R33" s="235"/>
      <c r="S33" s="23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5"/>
      <c r="R34" s="235"/>
      <c r="S34" s="23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4"/>
      <c r="R35" s="225"/>
      <c r="S35" s="22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7"/>
      <c r="R36" s="228"/>
      <c r="S36" s="229"/>
    </row>
    <row r="37" spans="1:19" ht="17.25" customHeight="1" thickBot="1">
      <c r="A37" s="132" t="s">
        <v>42</v>
      </c>
      <c r="B37" s="288">
        <v>100000</v>
      </c>
      <c r="C37" s="28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0"/>
      <c r="R37" s="231"/>
      <c r="S37" s="232"/>
    </row>
    <row r="38" spans="1:19" ht="17.25" customHeight="1"/>
    <row r="39" spans="1:19" ht="17.25" customHeight="1" thickBot="1"/>
    <row r="40" spans="1:19" ht="17.25" customHeight="1" thickBot="1">
      <c r="A40" s="246" t="s">
        <v>44</v>
      </c>
      <c r="B40" s="247"/>
      <c r="C40" s="247"/>
      <c r="D40" s="247"/>
      <c r="E40" s="247"/>
      <c r="F40" s="247"/>
      <c r="G40" s="247"/>
      <c r="H40" s="247"/>
      <c r="I40" s="247"/>
      <c r="J40" s="247"/>
      <c r="K40" s="247"/>
      <c r="L40" s="247"/>
      <c r="M40" s="247"/>
      <c r="N40" s="247"/>
      <c r="O40" s="248"/>
      <c r="Q40" s="245"/>
      <c r="R40" s="245"/>
      <c r="S40" s="245"/>
    </row>
    <row r="41" spans="1:19" ht="17.25" customHeight="1" thickBot="1">
      <c r="A41" s="116" t="s">
        <v>297</v>
      </c>
      <c r="B41" s="246" t="s">
        <v>49</v>
      </c>
      <c r="C41" s="248"/>
      <c r="D41" s="246" t="s">
        <v>58</v>
      </c>
      <c r="E41" s="247"/>
      <c r="F41" s="248"/>
      <c r="G41" s="249">
        <f>_xlfn.IFNA(VLOOKUP(B41, 현재가테이블!$B$2:$D$200, 2, FALSE), "-")</f>
        <v>45335000</v>
      </c>
      <c r="H41" s="250"/>
      <c r="I41" s="251"/>
      <c r="J41" s="246" t="s">
        <v>59</v>
      </c>
      <c r="K41" s="247"/>
      <c r="L41" s="248"/>
      <c r="M41" s="252">
        <f>_xlfn.IFNA(VLOOKUP(B41, 현재가테이블!$B$2:$D$200, 3, FALSE), "-")</f>
        <v>-2.27209037E-2</v>
      </c>
      <c r="N41" s="253"/>
      <c r="O41" s="254"/>
      <c r="Q41" s="245"/>
      <c r="R41" s="245"/>
      <c r="S41" s="245"/>
    </row>
    <row r="42" spans="1:19" ht="17.25" customHeight="1" thickBot="1">
      <c r="A42" s="290" t="s">
        <v>55</v>
      </c>
      <c r="B42" s="286" t="str">
        <f>TEXT($G$1, "[$-ko-KR]yyyy-mm-dd(ddd) ") &amp; "오전 00:00"</f>
        <v>2021-06-01(화) 오전 00:00</v>
      </c>
      <c r="C42" s="287"/>
      <c r="D42" s="259" t="str">
        <f>TEXT($G$1, "[$-ko-KR]yyyy-mm-dd(ddd) ") &amp; "오후 14:00"</f>
        <v>2021-06-01(화) 오후 14:00</v>
      </c>
      <c r="E42" s="260"/>
      <c r="F42" s="261"/>
      <c r="G42" s="259" t="str">
        <f>TEXT($G$1, "[$-ko-KR]yyyy-mm-dd(ddd) ") &amp; "오후 19:00"</f>
        <v>2021-06-01(화) 오후 19:00</v>
      </c>
      <c r="H42" s="260"/>
      <c r="I42" s="261"/>
      <c r="J42" s="259" t="str">
        <f>TEXT($G$1, "[$-ko-KR]yyyy-mm-dd(ddd) ") &amp; "오후 21:00"</f>
        <v>2021-06-01(화) 오후 21:00</v>
      </c>
      <c r="K42" s="260"/>
      <c r="L42" s="261"/>
      <c r="M42" s="259" t="str">
        <f>TEXT($G$1+1, "[$-ko-KR]yyyy-mm-dd(ddd) ") &amp; "오전 00:00"</f>
        <v>2021-06-02(수) 오전 00:00</v>
      </c>
      <c r="N42" s="260"/>
      <c r="O42" s="261"/>
      <c r="Q42" s="245"/>
      <c r="R42" s="245"/>
      <c r="S42" s="245"/>
    </row>
    <row r="43" spans="1:19" ht="17.25" customHeight="1" thickBot="1">
      <c r="A43" s="291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12" t="s">
        <v>58</v>
      </c>
      <c r="H43" s="113" t="s">
        <v>298</v>
      </c>
      <c r="I43" s="114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5"/>
      <c r="R43" s="235"/>
      <c r="S43" s="235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45"/>
      <c r="R44" s="245"/>
      <c r="S44" s="245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45"/>
      <c r="R45" s="245"/>
      <c r="S45" s="245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35"/>
      <c r="R46" s="235"/>
      <c r="S46" s="235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35"/>
      <c r="R47" s="235"/>
      <c r="S47" s="235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35"/>
      <c r="R48" s="235"/>
      <c r="S48" s="235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35"/>
      <c r="R49" s="235"/>
      <c r="S49" s="235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35"/>
      <c r="R50" s="235"/>
      <c r="S50" s="235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35"/>
      <c r="R51" s="235"/>
      <c r="S51" s="235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36"/>
      <c r="R53" s="237"/>
      <c r="S53" s="238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39"/>
      <c r="R54" s="240"/>
      <c r="S54" s="241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42"/>
      <c r="R55" s="243"/>
      <c r="S55" s="244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35"/>
      <c r="R56" s="235"/>
      <c r="S56" s="235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45"/>
      <c r="R57" s="245"/>
      <c r="S57" s="245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45"/>
      <c r="R58" s="245"/>
      <c r="S58" s="245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35"/>
      <c r="R59" s="235"/>
      <c r="S59" s="235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35"/>
      <c r="R60" s="235"/>
      <c r="S60" s="235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35"/>
      <c r="R61" s="235"/>
      <c r="S61" s="235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24"/>
      <c r="R62" s="225"/>
      <c r="S62" s="226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27"/>
      <c r="R63" s="228"/>
      <c r="S63" s="229"/>
    </row>
    <row r="64" spans="1:19" ht="17.25" customHeight="1" thickBot="1">
      <c r="A64" s="132" t="s">
        <v>300</v>
      </c>
      <c r="B64" s="288">
        <f>$B$37</f>
        <v>100000</v>
      </c>
      <c r="C64" s="289"/>
      <c r="D64" s="26" t="s">
        <v>301</v>
      </c>
      <c r="E64" s="27">
        <f>IF(COUNT(E44:E63), SUM(E44:E63) / COUNT(E44:E63), 0)</f>
        <v>0</v>
      </c>
      <c r="F64" s="28">
        <f>SUM(F44:F63)</f>
        <v>0</v>
      </c>
      <c r="G64" s="26" t="s">
        <v>301</v>
      </c>
      <c r="H64" s="27">
        <f>IF(COUNT(H44:H63), SUM(H44:H63) / COUNT(H44:H63), 0)</f>
        <v>0</v>
      </c>
      <c r="I64" s="28">
        <f>SUM(I44:I63)</f>
        <v>0</v>
      </c>
      <c r="J64" s="26" t="s">
        <v>301</v>
      </c>
      <c r="K64" s="27">
        <f>IF(COUNT(K44:K63), SUM(K44:K63) / COUNT(K44:K63), 0)</f>
        <v>0</v>
      </c>
      <c r="L64" s="28">
        <f>SUM(L44:L63)</f>
        <v>0</v>
      </c>
      <c r="M64" s="26" t="s">
        <v>301</v>
      </c>
      <c r="N64" s="27">
        <f>IF(COUNT(N44:N63), SUM(N44:N63) / COUNT(N44:N63), 0)</f>
        <v>0</v>
      </c>
      <c r="O64" s="28">
        <f>SUM(O44:O63)</f>
        <v>0</v>
      </c>
      <c r="Q64" s="230"/>
      <c r="R64" s="231"/>
      <c r="S64" s="232"/>
    </row>
    <row r="65" spans="1:19" ht="17.25" customHeight="1"/>
    <row r="66" spans="1:19" ht="17.25" customHeight="1" thickBot="1"/>
    <row r="67" spans="1:19" ht="17.25" thickBot="1">
      <c r="A67" s="246" t="s">
        <v>45</v>
      </c>
      <c r="B67" s="247"/>
      <c r="C67" s="247"/>
      <c r="D67" s="247"/>
      <c r="E67" s="247"/>
      <c r="F67" s="247"/>
      <c r="G67" s="247"/>
      <c r="H67" s="247"/>
      <c r="I67" s="247"/>
      <c r="J67" s="247"/>
      <c r="K67" s="247"/>
      <c r="L67" s="247"/>
      <c r="M67" s="247"/>
      <c r="N67" s="247"/>
      <c r="O67" s="248"/>
      <c r="Q67" s="245"/>
      <c r="R67" s="245"/>
      <c r="S67" s="245"/>
    </row>
    <row r="68" spans="1:19" ht="17.25" thickBot="1">
      <c r="A68" s="116" t="s">
        <v>297</v>
      </c>
      <c r="B68" s="246" t="s">
        <v>49</v>
      </c>
      <c r="C68" s="248"/>
      <c r="D68" s="246" t="s">
        <v>58</v>
      </c>
      <c r="E68" s="247"/>
      <c r="F68" s="248"/>
      <c r="G68" s="249">
        <f>_xlfn.IFNA(VLOOKUP(B68, 현재가테이블!$B$2:$D$200, 2, FALSE), "-")</f>
        <v>45335000</v>
      </c>
      <c r="H68" s="250"/>
      <c r="I68" s="251"/>
      <c r="J68" s="246" t="s">
        <v>59</v>
      </c>
      <c r="K68" s="247"/>
      <c r="L68" s="248"/>
      <c r="M68" s="252">
        <f>_xlfn.IFNA(VLOOKUP(B68, 현재가테이블!$B$2:$D$200, 3, FALSE), "-")</f>
        <v>-2.27209037E-2</v>
      </c>
      <c r="N68" s="253"/>
      <c r="O68" s="254"/>
      <c r="Q68" s="245"/>
      <c r="R68" s="245"/>
      <c r="S68" s="245"/>
    </row>
    <row r="69" spans="1:19" ht="17.25" thickBot="1">
      <c r="A69" s="290" t="s">
        <v>55</v>
      </c>
      <c r="B69" s="286" t="str">
        <f>TEXT($G$1, "[$-ko-KR]yyyy-mm-dd(ddd) ") &amp; "오전 00:00"</f>
        <v>2021-06-01(화) 오전 00:00</v>
      </c>
      <c r="C69" s="287"/>
      <c r="D69" s="259" t="str">
        <f>TEXT($G$1, "[$-ko-KR]yyyy-mm-dd(ddd) ") &amp; "오후 14:00"</f>
        <v>2021-06-01(화) 오후 14:00</v>
      </c>
      <c r="E69" s="260"/>
      <c r="F69" s="261"/>
      <c r="G69" s="259" t="str">
        <f>TEXT($G$1, "[$-ko-KR]yyyy-mm-dd(ddd) ") &amp; "오후 19:00"</f>
        <v>2021-06-01(화) 오후 19:00</v>
      </c>
      <c r="H69" s="260"/>
      <c r="I69" s="261"/>
      <c r="J69" s="259" t="str">
        <f>TEXT($G$1, "[$-ko-KR]yyyy-mm-dd(ddd) ") &amp; "오후 21:00"</f>
        <v>2021-06-01(화) 오후 21:00</v>
      </c>
      <c r="K69" s="260"/>
      <c r="L69" s="261"/>
      <c r="M69" s="259" t="str">
        <f>TEXT($G$1+1, "[$-ko-KR]yyyy-mm-dd(ddd) ") &amp; "오전 00:00"</f>
        <v>2021-06-02(수) 오전 00:00</v>
      </c>
      <c r="N69" s="260"/>
      <c r="O69" s="261"/>
      <c r="Q69" s="245"/>
      <c r="R69" s="245"/>
      <c r="S69" s="245"/>
    </row>
    <row r="70" spans="1:19" ht="17.25" thickBot="1">
      <c r="A70" s="291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12" t="s">
        <v>58</v>
      </c>
      <c r="H70" s="113" t="s">
        <v>298</v>
      </c>
      <c r="I70" s="114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5"/>
      <c r="R70" s="235"/>
      <c r="S70" s="235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45"/>
      <c r="R71" s="245"/>
      <c r="S71" s="245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45"/>
      <c r="R72" s="245"/>
      <c r="S72" s="245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35"/>
      <c r="R73" s="235"/>
      <c r="S73" s="235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35"/>
      <c r="R74" s="235"/>
      <c r="S74" s="235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35"/>
      <c r="R75" s="235"/>
      <c r="S75" s="235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35"/>
      <c r="R76" s="235"/>
      <c r="S76" s="235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35"/>
      <c r="R77" s="235"/>
      <c r="S77" s="235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35"/>
      <c r="R78" s="235"/>
      <c r="S78" s="235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36"/>
      <c r="R80" s="237"/>
      <c r="S80" s="238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39"/>
      <c r="R81" s="240"/>
      <c r="S81" s="241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42"/>
      <c r="R82" s="243"/>
      <c r="S82" s="244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35"/>
      <c r="R83" s="235"/>
      <c r="S83" s="235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45"/>
      <c r="R84" s="245"/>
      <c r="S84" s="245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45"/>
      <c r="R85" s="245"/>
      <c r="S85" s="245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35"/>
      <c r="R86" s="235"/>
      <c r="S86" s="235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35"/>
      <c r="R87" s="235"/>
      <c r="S87" s="235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35"/>
      <c r="R88" s="235"/>
      <c r="S88" s="235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24"/>
      <c r="R89" s="225"/>
      <c r="S89" s="226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27"/>
      <c r="R90" s="228"/>
      <c r="S90" s="229"/>
    </row>
    <row r="91" spans="1:19" ht="17.25" thickBot="1">
      <c r="A91" s="132" t="s">
        <v>300</v>
      </c>
      <c r="B91" s="288">
        <f>$B$37</f>
        <v>100000</v>
      </c>
      <c r="C91" s="289"/>
      <c r="D91" s="26" t="s">
        <v>301</v>
      </c>
      <c r="E91" s="27">
        <f>IF(COUNT(E71:E90), SUM(E71:E90) / COUNT(E71:E90), 0)</f>
        <v>0</v>
      </c>
      <c r="F91" s="28">
        <f>SUM(F71:F90)</f>
        <v>0</v>
      </c>
      <c r="G91" s="26" t="s">
        <v>301</v>
      </c>
      <c r="H91" s="27">
        <f>IF(COUNT(H71:H90), SUM(H71:H90) / COUNT(H71:H90), 0)</f>
        <v>0</v>
      </c>
      <c r="I91" s="28">
        <f>SUM(I71:I90)</f>
        <v>0</v>
      </c>
      <c r="J91" s="26" t="s">
        <v>301</v>
      </c>
      <c r="K91" s="27">
        <f>IF(COUNT(K71:K90), SUM(K71:K90) / COUNT(K71:K90), 0)</f>
        <v>0</v>
      </c>
      <c r="L91" s="28">
        <f>SUM(L71:L90)</f>
        <v>0</v>
      </c>
      <c r="M91" s="26" t="s">
        <v>301</v>
      </c>
      <c r="N91" s="27">
        <f>IF(COUNT(N71:N90), SUM(N71:N90) / COUNT(N71:N90), 0)</f>
        <v>0</v>
      </c>
      <c r="O91" s="28">
        <f>SUM(O71:O90)</f>
        <v>0</v>
      </c>
      <c r="Q91" s="230"/>
      <c r="R91" s="231"/>
      <c r="S91" s="232"/>
    </row>
    <row r="93" spans="1:19" ht="17.25" thickBot="1"/>
    <row r="94" spans="1:19" ht="17.25" thickBot="1">
      <c r="A94" s="246" t="s">
        <v>46</v>
      </c>
      <c r="B94" s="247"/>
      <c r="C94" s="247"/>
      <c r="D94" s="247"/>
      <c r="E94" s="247"/>
      <c r="F94" s="247"/>
      <c r="G94" s="247"/>
      <c r="H94" s="247"/>
      <c r="I94" s="247"/>
      <c r="J94" s="247"/>
      <c r="K94" s="247"/>
      <c r="L94" s="247"/>
      <c r="M94" s="247"/>
      <c r="N94" s="247"/>
      <c r="O94" s="248"/>
      <c r="Q94" s="245"/>
      <c r="R94" s="245"/>
      <c r="S94" s="245"/>
    </row>
    <row r="95" spans="1:19" ht="17.25" thickBot="1">
      <c r="A95" s="116" t="s">
        <v>297</v>
      </c>
      <c r="B95" s="246" t="s">
        <v>49</v>
      </c>
      <c r="C95" s="248"/>
      <c r="D95" s="246" t="s">
        <v>58</v>
      </c>
      <c r="E95" s="247"/>
      <c r="F95" s="248"/>
      <c r="G95" s="249">
        <f>_xlfn.IFNA(VLOOKUP(B95, 현재가테이블!$B$2:$D$200, 2, FALSE), "-")</f>
        <v>45335000</v>
      </c>
      <c r="H95" s="250"/>
      <c r="I95" s="251"/>
      <c r="J95" s="246" t="s">
        <v>59</v>
      </c>
      <c r="K95" s="247"/>
      <c r="L95" s="248"/>
      <c r="M95" s="252">
        <f>_xlfn.IFNA(VLOOKUP(B95, 현재가테이블!$B$2:$D$200, 3, FALSE), "-")</f>
        <v>-2.27209037E-2</v>
      </c>
      <c r="N95" s="253"/>
      <c r="O95" s="254"/>
      <c r="Q95" s="245"/>
      <c r="R95" s="245"/>
      <c r="S95" s="245"/>
    </row>
    <row r="96" spans="1:19" ht="17.25" thickBot="1">
      <c r="A96" s="290" t="s">
        <v>55</v>
      </c>
      <c r="B96" s="286" t="str">
        <f>TEXT($G$1, "[$-ko-KR]yyyy-mm-dd(ddd) ") &amp; "오전 00:00"</f>
        <v>2021-06-01(화) 오전 00:00</v>
      </c>
      <c r="C96" s="287"/>
      <c r="D96" s="259" t="str">
        <f>TEXT($G$1, "[$-ko-KR]yyyy-mm-dd(ddd) ") &amp; "오후 14:00"</f>
        <v>2021-06-01(화) 오후 14:00</v>
      </c>
      <c r="E96" s="260"/>
      <c r="F96" s="261"/>
      <c r="G96" s="259" t="str">
        <f>TEXT($G$1, "[$-ko-KR]yyyy-mm-dd(ddd) ") &amp; "오후 19:00"</f>
        <v>2021-06-01(화) 오후 19:00</v>
      </c>
      <c r="H96" s="260"/>
      <c r="I96" s="261"/>
      <c r="J96" s="259" t="str">
        <f>TEXT($G$1, "[$-ko-KR]yyyy-mm-dd(ddd) ") &amp; "오후 21:00"</f>
        <v>2021-06-01(화) 오후 21:00</v>
      </c>
      <c r="K96" s="260"/>
      <c r="L96" s="261"/>
      <c r="M96" s="259" t="str">
        <f>TEXT($G$1+1, "[$-ko-KR]yyyy-mm-dd(ddd) ") &amp; "오전 00:00"</f>
        <v>2021-06-02(수) 오전 00:00</v>
      </c>
      <c r="N96" s="260"/>
      <c r="O96" s="261"/>
      <c r="Q96" s="245"/>
      <c r="R96" s="245"/>
      <c r="S96" s="245"/>
    </row>
    <row r="97" spans="1:19" ht="17.25" thickBot="1">
      <c r="A97" s="291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12" t="s">
        <v>58</v>
      </c>
      <c r="H97" s="113" t="s">
        <v>298</v>
      </c>
      <c r="I97" s="114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5"/>
      <c r="R97" s="235"/>
      <c r="S97" s="235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45"/>
      <c r="R98" s="245"/>
      <c r="S98" s="245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45"/>
      <c r="R99" s="245"/>
      <c r="S99" s="245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35"/>
      <c r="R100" s="235"/>
      <c r="S100" s="235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35"/>
      <c r="R101" s="235"/>
      <c r="S101" s="235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35"/>
      <c r="R102" s="235"/>
      <c r="S102" s="235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35"/>
      <c r="R103" s="235"/>
      <c r="S103" s="235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35"/>
      <c r="R104" s="235"/>
      <c r="S104" s="235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35"/>
      <c r="R105" s="235"/>
      <c r="S105" s="235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36"/>
      <c r="R107" s="237"/>
      <c r="S107" s="238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39"/>
      <c r="R108" s="240"/>
      <c r="S108" s="241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42"/>
      <c r="R109" s="243"/>
      <c r="S109" s="244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35"/>
      <c r="R110" s="235"/>
      <c r="S110" s="235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45"/>
      <c r="R111" s="245"/>
      <c r="S111" s="245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45"/>
      <c r="R112" s="245"/>
      <c r="S112" s="245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35"/>
      <c r="R113" s="235"/>
      <c r="S113" s="235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35"/>
      <c r="R114" s="235"/>
      <c r="S114" s="235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35"/>
      <c r="R115" s="235"/>
      <c r="S115" s="235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24"/>
      <c r="R116" s="225"/>
      <c r="S116" s="226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27"/>
      <c r="R117" s="228"/>
      <c r="S117" s="229"/>
    </row>
    <row r="118" spans="1:19" ht="17.25" thickBot="1">
      <c r="A118" s="132" t="s">
        <v>300</v>
      </c>
      <c r="B118" s="288">
        <f>$B$37</f>
        <v>100000</v>
      </c>
      <c r="C118" s="289"/>
      <c r="D118" s="26" t="s">
        <v>301</v>
      </c>
      <c r="E118" s="27">
        <f>IF(COUNT(E98:E117), SUM(E98:E117) / COUNT(E98:E117), 0)</f>
        <v>0</v>
      </c>
      <c r="F118" s="28">
        <f>SUM(F98:F117)</f>
        <v>0</v>
      </c>
      <c r="G118" s="26" t="s">
        <v>301</v>
      </c>
      <c r="H118" s="27">
        <f>IF(COUNT(H98:H117), SUM(H98:H117) / COUNT(H98:H117), 0)</f>
        <v>0</v>
      </c>
      <c r="I118" s="28">
        <f>SUM(I98:I117)</f>
        <v>0</v>
      </c>
      <c r="J118" s="26" t="s">
        <v>301</v>
      </c>
      <c r="K118" s="27">
        <f>IF(COUNT(K98:K117), SUM(K98:K117) / COUNT(K98:K117), 0)</f>
        <v>0</v>
      </c>
      <c r="L118" s="28">
        <f>SUM(L98:L117)</f>
        <v>0</v>
      </c>
      <c r="M118" s="26" t="s">
        <v>301</v>
      </c>
      <c r="N118" s="27">
        <f>IF(COUNT(N98:N117), SUM(N98:N117) / COUNT(N98:N117), 0)</f>
        <v>0</v>
      </c>
      <c r="O118" s="28">
        <f>SUM(O98:O117)</f>
        <v>0</v>
      </c>
      <c r="Q118" s="230"/>
      <c r="R118" s="231"/>
      <c r="S118" s="232"/>
    </row>
    <row r="120" spans="1:19" ht="17.25" thickBot="1"/>
    <row r="121" spans="1:19" ht="17.25" thickBot="1">
      <c r="A121" s="246" t="s">
        <v>288</v>
      </c>
      <c r="B121" s="247"/>
      <c r="C121" s="247"/>
      <c r="D121" s="247"/>
      <c r="E121" s="247"/>
      <c r="F121" s="247"/>
      <c r="G121" s="247"/>
      <c r="H121" s="247"/>
      <c r="I121" s="247"/>
      <c r="J121" s="247"/>
      <c r="K121" s="247"/>
      <c r="L121" s="247"/>
      <c r="M121" s="247"/>
      <c r="N121" s="247"/>
      <c r="O121" s="248"/>
      <c r="Q121" s="245"/>
      <c r="R121" s="245"/>
      <c r="S121" s="245"/>
    </row>
    <row r="122" spans="1:19" ht="17.25" thickBot="1">
      <c r="A122" s="116" t="s">
        <v>297</v>
      </c>
      <c r="B122" s="246" t="s">
        <v>49</v>
      </c>
      <c r="C122" s="248"/>
      <c r="D122" s="246" t="s">
        <v>58</v>
      </c>
      <c r="E122" s="247"/>
      <c r="F122" s="248"/>
      <c r="G122" s="249">
        <f>_xlfn.IFNA(VLOOKUP(B122, 현재가테이블!$B$2:$D$200, 2, FALSE), "-")</f>
        <v>45335000</v>
      </c>
      <c r="H122" s="250"/>
      <c r="I122" s="251"/>
      <c r="J122" s="246" t="s">
        <v>59</v>
      </c>
      <c r="K122" s="247"/>
      <c r="L122" s="248"/>
      <c r="M122" s="252">
        <f>_xlfn.IFNA(VLOOKUP(B122, 현재가테이블!$B$2:$D$200, 3, FALSE), "-")</f>
        <v>-2.27209037E-2</v>
      </c>
      <c r="N122" s="253"/>
      <c r="O122" s="254"/>
      <c r="Q122" s="245"/>
      <c r="R122" s="245"/>
      <c r="S122" s="245"/>
    </row>
    <row r="123" spans="1:19" ht="17.25" thickBot="1">
      <c r="A123" s="290" t="s">
        <v>55</v>
      </c>
      <c r="B123" s="286" t="str">
        <f>TEXT($G$1, "[$-ko-KR]yyyy-mm-dd(ddd) ") &amp; "오전 00:00"</f>
        <v>2021-06-01(화) 오전 00:00</v>
      </c>
      <c r="C123" s="287"/>
      <c r="D123" s="259" t="str">
        <f>TEXT($G$1, "[$-ko-KR]yyyy-mm-dd(ddd) ") &amp; "오후 14:00"</f>
        <v>2021-06-01(화) 오후 14:00</v>
      </c>
      <c r="E123" s="260"/>
      <c r="F123" s="261"/>
      <c r="G123" s="259" t="str">
        <f>TEXT($G$1, "[$-ko-KR]yyyy-mm-dd(ddd) ") &amp; "오후 19:00"</f>
        <v>2021-06-01(화) 오후 19:00</v>
      </c>
      <c r="H123" s="260"/>
      <c r="I123" s="261"/>
      <c r="J123" s="259" t="str">
        <f>TEXT($G$1, "[$-ko-KR]yyyy-mm-dd(ddd) ") &amp; "오후 21:00"</f>
        <v>2021-06-01(화) 오후 21:00</v>
      </c>
      <c r="K123" s="260"/>
      <c r="L123" s="261"/>
      <c r="M123" s="259" t="str">
        <f>TEXT($G$1+1, "[$-ko-KR]yyyy-mm-dd(ddd) ") &amp; "오전 00:00"</f>
        <v>2021-06-02(수) 오전 00:00</v>
      </c>
      <c r="N123" s="260"/>
      <c r="O123" s="261"/>
      <c r="Q123" s="245"/>
      <c r="R123" s="245"/>
      <c r="S123" s="245"/>
    </row>
    <row r="124" spans="1:19" ht="17.25" thickBot="1">
      <c r="A124" s="291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12" t="s">
        <v>58</v>
      </c>
      <c r="H124" s="113" t="s">
        <v>298</v>
      </c>
      <c r="I124" s="114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5"/>
      <c r="R124" s="235"/>
      <c r="S124" s="235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45"/>
      <c r="R125" s="245"/>
      <c r="S125" s="245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45"/>
      <c r="R126" s="245"/>
      <c r="S126" s="245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35"/>
      <c r="R127" s="235"/>
      <c r="S127" s="235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35"/>
      <c r="R128" s="235"/>
      <c r="S128" s="235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35"/>
      <c r="R129" s="235"/>
      <c r="S129" s="235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35"/>
      <c r="R130" s="235"/>
      <c r="S130" s="235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35"/>
      <c r="R131" s="235"/>
      <c r="S131" s="235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35"/>
      <c r="R132" s="235"/>
      <c r="S132" s="235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36"/>
      <c r="R134" s="237"/>
      <c r="S134" s="238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39"/>
      <c r="R135" s="240"/>
      <c r="S135" s="241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42"/>
      <c r="R136" s="243"/>
      <c r="S136" s="244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35"/>
      <c r="R137" s="235"/>
      <c r="S137" s="235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45"/>
      <c r="R138" s="245"/>
      <c r="S138" s="245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45"/>
      <c r="R139" s="245"/>
      <c r="S139" s="245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35"/>
      <c r="R140" s="235"/>
      <c r="S140" s="235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5"/>
      <c r="R141" s="235"/>
      <c r="S141" s="235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35"/>
      <c r="R142" s="235"/>
      <c r="S142" s="235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24"/>
      <c r="R143" s="225"/>
      <c r="S143" s="226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27"/>
      <c r="R144" s="228"/>
      <c r="S144" s="229"/>
    </row>
    <row r="145" spans="1:19" ht="17.25" thickBot="1">
      <c r="A145" s="132" t="s">
        <v>300</v>
      </c>
      <c r="B145" s="288">
        <f>$B$37</f>
        <v>100000</v>
      </c>
      <c r="C145" s="289"/>
      <c r="D145" s="26" t="s">
        <v>301</v>
      </c>
      <c r="E145" s="27">
        <f>IF(COUNT(E125:E144), SUM(E125:E144) / COUNT(E125:E144), 0)</f>
        <v>0</v>
      </c>
      <c r="F145" s="28">
        <f>SUM(F125:F144)</f>
        <v>0</v>
      </c>
      <c r="G145" s="26" t="s">
        <v>301</v>
      </c>
      <c r="H145" s="27">
        <f>IF(COUNT(H125:H144), SUM(H125:H144) / COUNT(H125:H144), 0)</f>
        <v>0</v>
      </c>
      <c r="I145" s="28">
        <f>SUM(I125:I144)</f>
        <v>0</v>
      </c>
      <c r="J145" s="26" t="s">
        <v>301</v>
      </c>
      <c r="K145" s="27">
        <f>IF(COUNT(K125:K144), SUM(K125:K144) / COUNT(K125:K144), 0)</f>
        <v>0</v>
      </c>
      <c r="L145" s="28">
        <f>SUM(L125:L144)</f>
        <v>0</v>
      </c>
      <c r="M145" s="26" t="s">
        <v>301</v>
      </c>
      <c r="N145" s="27">
        <f>IF(COUNT(N125:N144), SUM(N125:N144) / COUNT(N125:N144), 0)</f>
        <v>0</v>
      </c>
      <c r="O145" s="28">
        <f>SUM(O125:O144)</f>
        <v>0</v>
      </c>
      <c r="Q145" s="230"/>
      <c r="R145" s="231"/>
      <c r="S145" s="232"/>
    </row>
    <row r="147" spans="1:19" ht="17.25" thickBot="1"/>
    <row r="148" spans="1:19" ht="17.25" thickBot="1">
      <c r="A148" s="246" t="s">
        <v>289</v>
      </c>
      <c r="B148" s="247"/>
      <c r="C148" s="247"/>
      <c r="D148" s="247"/>
      <c r="E148" s="247"/>
      <c r="F148" s="247"/>
      <c r="G148" s="247"/>
      <c r="H148" s="247"/>
      <c r="I148" s="247"/>
      <c r="J148" s="247"/>
      <c r="K148" s="247"/>
      <c r="L148" s="247"/>
      <c r="M148" s="247"/>
      <c r="N148" s="247"/>
      <c r="O148" s="248"/>
      <c r="Q148" s="245"/>
      <c r="R148" s="245"/>
      <c r="S148" s="245"/>
    </row>
    <row r="149" spans="1:19" ht="17.25" thickBot="1">
      <c r="A149" s="116" t="s">
        <v>297</v>
      </c>
      <c r="B149" s="246" t="s">
        <v>49</v>
      </c>
      <c r="C149" s="248"/>
      <c r="D149" s="246" t="s">
        <v>58</v>
      </c>
      <c r="E149" s="247"/>
      <c r="F149" s="248"/>
      <c r="G149" s="249">
        <f>_xlfn.IFNA(VLOOKUP(B149, 현재가테이블!$B$2:$D$200, 2, FALSE), "-")</f>
        <v>45335000</v>
      </c>
      <c r="H149" s="250"/>
      <c r="I149" s="251"/>
      <c r="J149" s="246" t="s">
        <v>59</v>
      </c>
      <c r="K149" s="247"/>
      <c r="L149" s="248"/>
      <c r="M149" s="252">
        <f>_xlfn.IFNA(VLOOKUP(B149, 현재가테이블!$B$2:$D$200, 3, FALSE), "-")</f>
        <v>-2.27209037E-2</v>
      </c>
      <c r="N149" s="253"/>
      <c r="O149" s="254"/>
      <c r="Q149" s="245"/>
      <c r="R149" s="245"/>
      <c r="S149" s="245"/>
    </row>
    <row r="150" spans="1:19" ht="17.25" thickBot="1">
      <c r="A150" s="290" t="s">
        <v>55</v>
      </c>
      <c r="B150" s="286" t="str">
        <f>TEXT($G$1, "[$-ko-KR]yyyy-mm-dd(ddd) ") &amp; "오전 00:00"</f>
        <v>2021-06-01(화) 오전 00:00</v>
      </c>
      <c r="C150" s="287"/>
      <c r="D150" s="259" t="str">
        <f>TEXT($G$1, "[$-ko-KR]yyyy-mm-dd(ddd) ") &amp; "오후 14:00"</f>
        <v>2021-06-01(화) 오후 14:00</v>
      </c>
      <c r="E150" s="260"/>
      <c r="F150" s="261"/>
      <c r="G150" s="259" t="str">
        <f>TEXT($G$1, "[$-ko-KR]yyyy-mm-dd(ddd) ") &amp; "오후 19:00"</f>
        <v>2021-06-01(화) 오후 19:00</v>
      </c>
      <c r="H150" s="260"/>
      <c r="I150" s="261"/>
      <c r="J150" s="259" t="str">
        <f>TEXT($G$1, "[$-ko-KR]yyyy-mm-dd(ddd) ") &amp; "오후 21:00"</f>
        <v>2021-06-01(화) 오후 21:00</v>
      </c>
      <c r="K150" s="260"/>
      <c r="L150" s="261"/>
      <c r="M150" s="259" t="str">
        <f>TEXT($G$1+1, "[$-ko-KR]yyyy-mm-dd(ddd) ") &amp; "오전 00:00"</f>
        <v>2021-06-02(수) 오전 00:00</v>
      </c>
      <c r="N150" s="260"/>
      <c r="O150" s="261"/>
      <c r="Q150" s="245"/>
      <c r="R150" s="245"/>
      <c r="S150" s="245"/>
    </row>
    <row r="151" spans="1:19" ht="17.25" thickBot="1">
      <c r="A151" s="291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12" t="s">
        <v>58</v>
      </c>
      <c r="H151" s="113" t="s">
        <v>298</v>
      </c>
      <c r="I151" s="114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5"/>
      <c r="R151" s="235"/>
      <c r="S151" s="235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45"/>
      <c r="R152" s="245"/>
      <c r="S152" s="245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45"/>
      <c r="R153" s="245"/>
      <c r="S153" s="245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35"/>
      <c r="R154" s="235"/>
      <c r="S154" s="235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35"/>
      <c r="R155" s="235"/>
      <c r="S155" s="235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35"/>
      <c r="R156" s="235"/>
      <c r="S156" s="235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35"/>
      <c r="R157" s="235"/>
      <c r="S157" s="235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35"/>
      <c r="R158" s="235"/>
      <c r="S158" s="235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35"/>
      <c r="R159" s="235"/>
      <c r="S159" s="235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36"/>
      <c r="R161" s="237"/>
      <c r="S161" s="238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39"/>
      <c r="R162" s="240"/>
      <c r="S162" s="241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42"/>
      <c r="R163" s="243"/>
      <c r="S163" s="244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35"/>
      <c r="R164" s="235"/>
      <c r="S164" s="235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45"/>
      <c r="R165" s="245"/>
      <c r="S165" s="245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45"/>
      <c r="R166" s="245"/>
      <c r="S166" s="245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35"/>
      <c r="R167" s="235"/>
      <c r="S167" s="235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35"/>
      <c r="R168" s="235"/>
      <c r="S168" s="235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35"/>
      <c r="R169" s="235"/>
      <c r="S169" s="235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24"/>
      <c r="R170" s="225"/>
      <c r="S170" s="226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27"/>
      <c r="R171" s="228"/>
      <c r="S171" s="229"/>
    </row>
    <row r="172" spans="1:19" ht="17.25" thickBot="1">
      <c r="A172" s="132" t="s">
        <v>300</v>
      </c>
      <c r="B172" s="288">
        <f>$B$37</f>
        <v>100000</v>
      </c>
      <c r="C172" s="289"/>
      <c r="D172" s="26" t="s">
        <v>301</v>
      </c>
      <c r="E172" s="27">
        <f>IF(COUNT(E152:E171), SUM(E152:E171) / COUNT(E152:E171), 0)</f>
        <v>0</v>
      </c>
      <c r="F172" s="28">
        <f>SUM(F152:F171)</f>
        <v>0</v>
      </c>
      <c r="G172" s="26" t="s">
        <v>301</v>
      </c>
      <c r="H172" s="27">
        <f>IF(COUNT(H152:H171), SUM(H152:H171) / COUNT(H152:H171), 0)</f>
        <v>0</v>
      </c>
      <c r="I172" s="28">
        <f>SUM(I152:I171)</f>
        <v>0</v>
      </c>
      <c r="J172" s="26" t="s">
        <v>301</v>
      </c>
      <c r="K172" s="27">
        <f>IF(COUNT(K152:K171), SUM(K152:K171) / COUNT(K152:K171), 0)</f>
        <v>0</v>
      </c>
      <c r="L172" s="28">
        <f>SUM(L152:L171)</f>
        <v>0</v>
      </c>
      <c r="M172" s="26" t="s">
        <v>301</v>
      </c>
      <c r="N172" s="27">
        <f>IF(COUNT(N152:N171), SUM(N152:N171) / COUNT(N152:N171), 0)</f>
        <v>0</v>
      </c>
      <c r="O172" s="28">
        <f>SUM(O152:O171)</f>
        <v>0</v>
      </c>
      <c r="Q172" s="230"/>
      <c r="R172" s="231"/>
      <c r="S172" s="232"/>
    </row>
    <row r="174" spans="1:19" ht="17.25" thickBot="1"/>
    <row r="175" spans="1:19" ht="17.25" thickBot="1">
      <c r="A175" s="246" t="s">
        <v>285</v>
      </c>
      <c r="B175" s="247"/>
      <c r="C175" s="247"/>
      <c r="D175" s="247"/>
      <c r="E175" s="247"/>
      <c r="F175" s="247"/>
      <c r="G175" s="247"/>
      <c r="H175" s="247"/>
      <c r="I175" s="247"/>
      <c r="J175" s="247"/>
      <c r="K175" s="247"/>
      <c r="L175" s="247"/>
      <c r="M175" s="247"/>
      <c r="N175" s="247"/>
      <c r="O175" s="248"/>
      <c r="Q175" s="245"/>
      <c r="R175" s="245"/>
      <c r="S175" s="245"/>
    </row>
    <row r="176" spans="1:19" ht="17.25" thickBot="1">
      <c r="A176" s="116" t="s">
        <v>297</v>
      </c>
      <c r="B176" s="246" t="s">
        <v>49</v>
      </c>
      <c r="C176" s="248"/>
      <c r="D176" s="246" t="s">
        <v>58</v>
      </c>
      <c r="E176" s="247"/>
      <c r="F176" s="248"/>
      <c r="G176" s="249">
        <f>_xlfn.IFNA(VLOOKUP(B176, 현재가테이블!$B$2:$D$200, 2, FALSE), "-")</f>
        <v>45335000</v>
      </c>
      <c r="H176" s="250"/>
      <c r="I176" s="251"/>
      <c r="J176" s="246" t="s">
        <v>59</v>
      </c>
      <c r="K176" s="247"/>
      <c r="L176" s="248"/>
      <c r="M176" s="252">
        <f>_xlfn.IFNA(VLOOKUP(B176, 현재가테이블!$B$2:$D$200, 3, FALSE), "-")</f>
        <v>-2.27209037E-2</v>
      </c>
      <c r="N176" s="253"/>
      <c r="O176" s="254"/>
      <c r="Q176" s="245"/>
      <c r="R176" s="245"/>
      <c r="S176" s="245"/>
    </row>
    <row r="177" spans="1:19" ht="17.25" thickBot="1">
      <c r="A177" s="290" t="s">
        <v>55</v>
      </c>
      <c r="B177" s="286" t="str">
        <f>TEXT($G$1, "[$-ko-KR]yyyy-mm-dd(ddd) ") &amp; "오전 00:00"</f>
        <v>2021-06-01(화) 오전 00:00</v>
      </c>
      <c r="C177" s="287"/>
      <c r="D177" s="259" t="str">
        <f>TEXT($G$1, "[$-ko-KR]yyyy-mm-dd(ddd) ") &amp; "오후 14:00"</f>
        <v>2021-06-01(화) 오후 14:00</v>
      </c>
      <c r="E177" s="260"/>
      <c r="F177" s="261"/>
      <c r="G177" s="259" t="str">
        <f>TEXT($G$1, "[$-ko-KR]yyyy-mm-dd(ddd) ") &amp; "오후 19:00"</f>
        <v>2021-06-01(화) 오후 19:00</v>
      </c>
      <c r="H177" s="260"/>
      <c r="I177" s="261"/>
      <c r="J177" s="259" t="str">
        <f>TEXT($G$1, "[$-ko-KR]yyyy-mm-dd(ddd) ") &amp; "오후 21:00"</f>
        <v>2021-06-01(화) 오후 21:00</v>
      </c>
      <c r="K177" s="260"/>
      <c r="L177" s="261"/>
      <c r="M177" s="259" t="str">
        <f>TEXT($G$1+1, "[$-ko-KR]yyyy-mm-dd(ddd) ") &amp; "오전 00:00"</f>
        <v>2021-06-02(수) 오전 00:00</v>
      </c>
      <c r="N177" s="260"/>
      <c r="O177" s="261"/>
      <c r="Q177" s="245"/>
      <c r="R177" s="245"/>
      <c r="S177" s="245"/>
    </row>
    <row r="178" spans="1:19" ht="17.25" thickBot="1">
      <c r="A178" s="291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12" t="s">
        <v>58</v>
      </c>
      <c r="H178" s="113" t="s">
        <v>298</v>
      </c>
      <c r="I178" s="114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5"/>
      <c r="R178" s="235"/>
      <c r="S178" s="235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45"/>
      <c r="R179" s="245"/>
      <c r="S179" s="245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45"/>
      <c r="R180" s="245"/>
      <c r="S180" s="245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35"/>
      <c r="R181" s="235"/>
      <c r="S181" s="235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35"/>
      <c r="R182" s="235"/>
      <c r="S182" s="235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35"/>
      <c r="R183" s="235"/>
      <c r="S183" s="235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35"/>
      <c r="R184" s="235"/>
      <c r="S184" s="235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35"/>
      <c r="R185" s="235"/>
      <c r="S185" s="235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35"/>
      <c r="R186" s="235"/>
      <c r="S186" s="235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36"/>
      <c r="R188" s="237"/>
      <c r="S188" s="238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39"/>
      <c r="R189" s="240"/>
      <c r="S189" s="241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42"/>
      <c r="R190" s="243"/>
      <c r="S190" s="244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35"/>
      <c r="R191" s="235"/>
      <c r="S191" s="235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45"/>
      <c r="R192" s="245"/>
      <c r="S192" s="245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45"/>
      <c r="R193" s="245"/>
      <c r="S193" s="245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35"/>
      <c r="R194" s="235"/>
      <c r="S194" s="235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35"/>
      <c r="R195" s="235"/>
      <c r="S195" s="235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35"/>
      <c r="R196" s="235"/>
      <c r="S196" s="235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24"/>
      <c r="R197" s="225"/>
      <c r="S197" s="226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27"/>
      <c r="R198" s="228"/>
      <c r="S198" s="229"/>
    </row>
    <row r="199" spans="1:19" ht="17.25" thickBot="1">
      <c r="A199" s="132" t="s">
        <v>300</v>
      </c>
      <c r="B199" s="288">
        <f>$B$37</f>
        <v>100000</v>
      </c>
      <c r="C199" s="289"/>
      <c r="D199" s="26" t="s">
        <v>301</v>
      </c>
      <c r="E199" s="27">
        <f>IF(COUNT(E179:E198), SUM(E179:E198) / COUNT(E179:E198), 0)</f>
        <v>0</v>
      </c>
      <c r="F199" s="28">
        <f>SUM(F179:F198)</f>
        <v>0</v>
      </c>
      <c r="G199" s="26" t="s">
        <v>301</v>
      </c>
      <c r="H199" s="27">
        <f>IF(COUNT(H179:H198), SUM(H179:H198) / COUNT(H179:H198), 0)</f>
        <v>0</v>
      </c>
      <c r="I199" s="28">
        <f>SUM(I179:I198)</f>
        <v>0</v>
      </c>
      <c r="J199" s="26" t="s">
        <v>301</v>
      </c>
      <c r="K199" s="27">
        <f>IF(COUNT(K179:K198), SUM(K179:K198) / COUNT(K179:K198), 0)</f>
        <v>0</v>
      </c>
      <c r="L199" s="28">
        <f>SUM(L179:L198)</f>
        <v>0</v>
      </c>
      <c r="M199" s="26" t="s">
        <v>301</v>
      </c>
      <c r="N199" s="27">
        <f>IF(COUNT(N179:N198), SUM(N179:N198) / COUNT(N179:N198), 0)</f>
        <v>0</v>
      </c>
      <c r="O199" s="28">
        <f>SUM(O179:O198)</f>
        <v>0</v>
      </c>
      <c r="Q199" s="230"/>
      <c r="R199" s="231"/>
      <c r="S199" s="232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3277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276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275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274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273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272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271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270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269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268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267" priority="289">
      <formula>AND($N17 &gt; 0, ISNUMBER($N17))</formula>
    </cfRule>
    <cfRule type="expression" dxfId="3266" priority="290">
      <formula>AND($N17 = 0 * ISNUMBER($N17))</formula>
    </cfRule>
    <cfRule type="expression" dxfId="3265" priority="291">
      <formula>AND($N17 &lt; 0, ISNUMBER($N17))</formula>
    </cfRule>
  </conditionalFormatting>
  <conditionalFormatting sqref="A17:C36 D17:F36">
    <cfRule type="expression" dxfId="3264" priority="298">
      <formula>AND($E17 &gt; 0, ISNUMBER($E17))</formula>
    </cfRule>
    <cfRule type="expression" dxfId="3263" priority="299">
      <formula>AND($E17 = 0 * ISNUMBER($E17))</formula>
    </cfRule>
    <cfRule type="expression" dxfId="3262" priority="300">
      <formula>AND($E17 &lt; 0, ISNUMBER($E17))</formula>
    </cfRule>
  </conditionalFormatting>
  <conditionalFormatting sqref="A17:C36 G17:I36">
    <cfRule type="expression" dxfId="3261" priority="295">
      <formula>AND($H17 &gt; 0, ISNUMBER($H17))</formula>
    </cfRule>
    <cfRule type="expression" dxfId="3260" priority="296">
      <formula>AND($H17 = 0 * ISNUMBER($H17))</formula>
    </cfRule>
    <cfRule type="expression" dxfId="3259" priority="297">
      <formula>AND($H17 &lt; 0, ISNUMBER($H17))</formula>
    </cfRule>
  </conditionalFormatting>
  <conditionalFormatting sqref="A17:C36 J17:L36">
    <cfRule type="expression" dxfId="3258" priority="292">
      <formula>AND($K17 &gt; 0, ISNUMBER($K17))</formula>
    </cfRule>
    <cfRule type="expression" dxfId="3257" priority="293">
      <formula>AND($K17 = 0 * ISNUMBER($K17))</formula>
    </cfRule>
    <cfRule type="expression" dxfId="3256" priority="294">
      <formula>AND($K17 &lt; 0, ISNUMBER($K17))</formula>
    </cfRule>
  </conditionalFormatting>
  <conditionalFormatting sqref="D15:F16 E37:F37">
    <cfRule type="expression" dxfId="3255" priority="286">
      <formula>$E$37 &gt; 0</formula>
    </cfRule>
    <cfRule type="expression" dxfId="3254" priority="287">
      <formula>$E$37 = 0</formula>
    </cfRule>
    <cfRule type="expression" dxfId="3253" priority="288">
      <formula>$E$37 &lt; 0</formula>
    </cfRule>
  </conditionalFormatting>
  <conditionalFormatting sqref="G15:I16 H37:I37">
    <cfRule type="expression" dxfId="3252" priority="283">
      <formula>$H$37 &gt; 0</formula>
    </cfRule>
    <cfRule type="expression" dxfId="3251" priority="284">
      <formula>$H$37 = 0</formula>
    </cfRule>
    <cfRule type="expression" dxfId="3250" priority="285">
      <formula>$H$37 &lt; 0</formula>
    </cfRule>
  </conditionalFormatting>
  <conditionalFormatting sqref="J15:L16 K37:L37">
    <cfRule type="expression" dxfId="3249" priority="280">
      <formula>$K$37 &gt; 0</formula>
    </cfRule>
    <cfRule type="expression" dxfId="3248" priority="281">
      <formula>$K$37 = 0</formula>
    </cfRule>
    <cfRule type="expression" dxfId="3247" priority="282">
      <formula>$K$37 &lt; 0</formula>
    </cfRule>
  </conditionalFormatting>
  <conditionalFormatting sqref="M15:O16 N37:O37">
    <cfRule type="expression" dxfId="3246" priority="277">
      <formula>$N$37 &gt; 0</formula>
    </cfRule>
    <cfRule type="expression" dxfId="3245" priority="278">
      <formula>$N$37 = 0</formula>
    </cfRule>
    <cfRule type="expression" dxfId="3244" priority="279">
      <formula>$N$37 &lt; 0</formula>
    </cfRule>
  </conditionalFormatting>
  <conditionalFormatting sqref="A44:C63 M44:O63">
    <cfRule type="expression" dxfId="3243" priority="265">
      <formula>AND($N44 &gt; 0, ISNUMBER($N44))</formula>
    </cfRule>
    <cfRule type="expression" dxfId="3242" priority="266">
      <formula>AND($N44 = 0 * ISNUMBER($N44))</formula>
    </cfRule>
    <cfRule type="expression" dxfId="3241" priority="267">
      <formula>AND($N44 &lt; 0, ISNUMBER($N44))</formula>
    </cfRule>
  </conditionalFormatting>
  <conditionalFormatting sqref="A44:F63">
    <cfRule type="expression" dxfId="3240" priority="274">
      <formula>AND($E44 &gt; 0, ISNUMBER($E44))</formula>
    </cfRule>
    <cfRule type="expression" dxfId="3239" priority="275">
      <formula>AND($E44 = 0 * ISNUMBER($E44))</formula>
    </cfRule>
    <cfRule type="expression" dxfId="3238" priority="276">
      <formula>AND($E44 &lt; 0, ISNUMBER($E44))</formula>
    </cfRule>
  </conditionalFormatting>
  <conditionalFormatting sqref="A44:C63 G44:I63">
    <cfRule type="expression" dxfId="3237" priority="271">
      <formula>AND($H44 &gt; 0, ISNUMBER($H44))</formula>
    </cfRule>
    <cfRule type="expression" dxfId="3236" priority="272">
      <formula>AND($H44 = 0 * ISNUMBER($H44))</formula>
    </cfRule>
    <cfRule type="expression" dxfId="3235" priority="273">
      <formula>AND($H44 &lt; 0, ISNUMBER($H44))</formula>
    </cfRule>
  </conditionalFormatting>
  <conditionalFormatting sqref="A44:C63 J44:L63">
    <cfRule type="expression" dxfId="3234" priority="268">
      <formula>AND($K44 &gt; 0, ISNUMBER($K44))</formula>
    </cfRule>
    <cfRule type="expression" dxfId="3233" priority="269">
      <formula>AND($K44 = 0 * ISNUMBER($K44))</formula>
    </cfRule>
    <cfRule type="expression" dxfId="3232" priority="270">
      <formula>AND($K44 &lt; 0, ISNUMBER($K44))</formula>
    </cfRule>
  </conditionalFormatting>
  <conditionalFormatting sqref="D42:F43 E64:F64">
    <cfRule type="expression" dxfId="3231" priority="262">
      <formula>$E$64 &gt; 0</formula>
    </cfRule>
    <cfRule type="expression" dxfId="3230" priority="263">
      <formula>$E$64 = 0</formula>
    </cfRule>
    <cfRule type="expression" dxfId="3229" priority="264">
      <formula>$E$64 &lt; 0</formula>
    </cfRule>
  </conditionalFormatting>
  <conditionalFormatting sqref="G42:I43 H64:I64">
    <cfRule type="expression" dxfId="3228" priority="259">
      <formula>$H$64 &gt; 0</formula>
    </cfRule>
    <cfRule type="expression" dxfId="3227" priority="260">
      <formula>$H$64 = 0</formula>
    </cfRule>
    <cfRule type="expression" dxfId="3226" priority="261">
      <formula>$H$64 &lt; 0</formula>
    </cfRule>
  </conditionalFormatting>
  <conditionalFormatting sqref="J42:L43 K64:L64">
    <cfRule type="expression" dxfId="3225" priority="256">
      <formula>$K$64 &gt; 0</formula>
    </cfRule>
    <cfRule type="expression" dxfId="3224" priority="257">
      <formula>$K$64 = 0</formula>
    </cfRule>
    <cfRule type="expression" dxfId="3223" priority="258">
      <formula>$K$64 &lt; 0</formula>
    </cfRule>
  </conditionalFormatting>
  <conditionalFormatting sqref="M42:O43 N64:O64">
    <cfRule type="expression" dxfId="3222" priority="253">
      <formula>$N$64 &gt; 0</formula>
    </cfRule>
    <cfRule type="expression" dxfId="3221" priority="254">
      <formula>$N$64 = 0</formula>
    </cfRule>
    <cfRule type="expression" dxfId="3220" priority="255">
      <formula>$N$64 &lt; 0</formula>
    </cfRule>
  </conditionalFormatting>
  <conditionalFormatting sqref="A71:C90 M71:O90">
    <cfRule type="expression" dxfId="3219" priority="109">
      <formula>AND($N71 &gt; 0, ISNUMBER($N71))</formula>
    </cfRule>
    <cfRule type="expression" dxfId="3218" priority="110">
      <formula>AND($N71 = 0 * ISNUMBER($N71))</formula>
    </cfRule>
    <cfRule type="expression" dxfId="3217" priority="111">
      <formula>AND($N71 &lt; 0, ISNUMBER($N71))</formula>
    </cfRule>
  </conditionalFormatting>
  <conditionalFormatting sqref="A71:F90">
    <cfRule type="expression" dxfId="3216" priority="118">
      <formula>AND($E71 &gt; 0, ISNUMBER($E71))</formula>
    </cfRule>
    <cfRule type="expression" dxfId="3215" priority="119">
      <formula>AND($E71 = 0 * ISNUMBER($E71))</formula>
    </cfRule>
    <cfRule type="expression" dxfId="3214" priority="120">
      <formula>AND($E71 &lt; 0, ISNUMBER($E71))</formula>
    </cfRule>
  </conditionalFormatting>
  <conditionalFormatting sqref="A71:C90 G71:I90">
    <cfRule type="expression" dxfId="3213" priority="115">
      <formula>AND($H71 &gt; 0, ISNUMBER($H71))</formula>
    </cfRule>
    <cfRule type="expression" dxfId="3212" priority="116">
      <formula>AND($H71 = 0 * ISNUMBER($H71))</formula>
    </cfRule>
    <cfRule type="expression" dxfId="3211" priority="117">
      <formula>AND($H71 &lt; 0, ISNUMBER($H71))</formula>
    </cfRule>
  </conditionalFormatting>
  <conditionalFormatting sqref="A71:C90 J71:L90">
    <cfRule type="expression" dxfId="3210" priority="112">
      <formula>AND($K71 &gt; 0, ISNUMBER($K71))</formula>
    </cfRule>
    <cfRule type="expression" dxfId="3209" priority="113">
      <formula>AND($K71 = 0 * ISNUMBER($K71))</formula>
    </cfRule>
    <cfRule type="expression" dxfId="3208" priority="114">
      <formula>AND($K71 &lt; 0, ISNUMBER($K71))</formula>
    </cfRule>
  </conditionalFormatting>
  <conditionalFormatting sqref="D69:F70 E91:F91">
    <cfRule type="expression" dxfId="3207" priority="106">
      <formula>$E$91 &gt; 0</formula>
    </cfRule>
    <cfRule type="expression" dxfId="3206" priority="107">
      <formula>$E$91 = 0</formula>
    </cfRule>
    <cfRule type="expression" dxfId="3205" priority="108">
      <formula>$E$91 &lt; 0</formula>
    </cfRule>
  </conditionalFormatting>
  <conditionalFormatting sqref="G69:I70 H91:I91">
    <cfRule type="expression" dxfId="3204" priority="103">
      <formula>$H$91 &gt; 0</formula>
    </cfRule>
    <cfRule type="expression" dxfId="3203" priority="104">
      <formula>$H$91 = 0</formula>
    </cfRule>
    <cfRule type="expression" dxfId="3202" priority="105">
      <formula>$H$91 &lt; 0</formula>
    </cfRule>
  </conditionalFormatting>
  <conditionalFormatting sqref="J69:L70 K91:L91">
    <cfRule type="expression" dxfId="3201" priority="100">
      <formula>$K$91 &gt; 0</formula>
    </cfRule>
    <cfRule type="expression" dxfId="3200" priority="101">
      <formula>$K$91 = 0</formula>
    </cfRule>
    <cfRule type="expression" dxfId="3199" priority="102">
      <formula>$K$91 &lt; 0</formula>
    </cfRule>
  </conditionalFormatting>
  <conditionalFormatting sqref="M69:O70 N91:O91">
    <cfRule type="expression" dxfId="3198" priority="97">
      <formula>$N$91 &gt; 0</formula>
    </cfRule>
    <cfRule type="expression" dxfId="3197" priority="98">
      <formula>$N$91 = 0</formula>
    </cfRule>
    <cfRule type="expression" dxfId="3196" priority="99">
      <formula>$N$91 &lt; 0</formula>
    </cfRule>
  </conditionalFormatting>
  <conditionalFormatting sqref="A98:C117 M98:O117">
    <cfRule type="expression" dxfId="3195" priority="85">
      <formula>AND($N98 &gt; 0, ISNUMBER($N98))</formula>
    </cfRule>
    <cfRule type="expression" dxfId="3194" priority="86">
      <formula>AND($N98 = 0 * ISNUMBER($N98))</formula>
    </cfRule>
    <cfRule type="expression" dxfId="3193" priority="87">
      <formula>AND($N98 &lt; 0, ISNUMBER($N98))</formula>
    </cfRule>
  </conditionalFormatting>
  <conditionalFormatting sqref="A98:F117">
    <cfRule type="expression" dxfId="3192" priority="94">
      <formula>AND($E98 &gt; 0, ISNUMBER($E98))</formula>
    </cfRule>
    <cfRule type="expression" dxfId="3191" priority="95">
      <formula>AND($E98 = 0 * ISNUMBER($E98))</formula>
    </cfRule>
    <cfRule type="expression" dxfId="3190" priority="96">
      <formula>AND($E98 &lt; 0, ISNUMBER($E98))</formula>
    </cfRule>
  </conditionalFormatting>
  <conditionalFormatting sqref="A98:C117 G98:I117">
    <cfRule type="expression" dxfId="3189" priority="91">
      <formula>AND($H98 &gt; 0, ISNUMBER($H98))</formula>
    </cfRule>
    <cfRule type="expression" dxfId="3188" priority="92">
      <formula>AND($H98 = 0 * ISNUMBER($H98))</formula>
    </cfRule>
    <cfRule type="expression" dxfId="3187" priority="93">
      <formula>AND($H98 &lt; 0, ISNUMBER($H98))</formula>
    </cfRule>
  </conditionalFormatting>
  <conditionalFormatting sqref="A98:C117 J98:L117">
    <cfRule type="expression" dxfId="3186" priority="88">
      <formula>AND($K98 &gt; 0, ISNUMBER($K98))</formula>
    </cfRule>
    <cfRule type="expression" dxfId="3185" priority="89">
      <formula>AND($K98 = 0 * ISNUMBER($K98))</formula>
    </cfRule>
    <cfRule type="expression" dxfId="3184" priority="90">
      <formula>AND($K98 &lt; 0, ISNUMBER($K98))</formula>
    </cfRule>
  </conditionalFormatting>
  <conditionalFormatting sqref="D96:F97 E118:F118">
    <cfRule type="expression" dxfId="3183" priority="82">
      <formula>$E$118 &gt; 0</formula>
    </cfRule>
    <cfRule type="expression" dxfId="3182" priority="83">
      <formula>$E$118 = 0</formula>
    </cfRule>
    <cfRule type="expression" dxfId="3181" priority="84">
      <formula>$E$118 &lt; 0</formula>
    </cfRule>
  </conditionalFormatting>
  <conditionalFormatting sqref="G96:I97 H118:I118">
    <cfRule type="expression" dxfId="3180" priority="79">
      <formula>$H$118 &gt; 0</formula>
    </cfRule>
    <cfRule type="expression" dxfId="3179" priority="80">
      <formula>$H$118 = 0</formula>
    </cfRule>
    <cfRule type="expression" dxfId="3178" priority="81">
      <formula>$H$118 &lt; 0</formula>
    </cfRule>
  </conditionalFormatting>
  <conditionalFormatting sqref="J96:L97 K118:L118">
    <cfRule type="expression" dxfId="3177" priority="76">
      <formula>$K$118 &gt; 0</formula>
    </cfRule>
    <cfRule type="expression" dxfId="3176" priority="77">
      <formula>$K$118 = 0</formula>
    </cfRule>
    <cfRule type="expression" dxfId="3175" priority="78">
      <formula>$K$118 &lt; 0</formula>
    </cfRule>
  </conditionalFormatting>
  <conditionalFormatting sqref="M96:O97 N118:O118">
    <cfRule type="expression" dxfId="3174" priority="73">
      <formula>$N$118 &gt; 0</formula>
    </cfRule>
    <cfRule type="expression" dxfId="3173" priority="74">
      <formula>$N$118 = 0</formula>
    </cfRule>
    <cfRule type="expression" dxfId="3172" priority="75">
      <formula>$N$118 &lt; 0</formula>
    </cfRule>
  </conditionalFormatting>
  <conditionalFormatting sqref="A125:C144 M125:O144">
    <cfRule type="expression" dxfId="3171" priority="61">
      <formula>AND($N125 &gt; 0, ISNUMBER($N125))</formula>
    </cfRule>
    <cfRule type="expression" dxfId="3170" priority="62">
      <formula>AND($N125 = 0 * ISNUMBER($N125))</formula>
    </cfRule>
    <cfRule type="expression" dxfId="3169" priority="63">
      <formula>AND($N125 &lt; 0, ISNUMBER($N125))</formula>
    </cfRule>
  </conditionalFormatting>
  <conditionalFormatting sqref="A125:F144">
    <cfRule type="expression" dxfId="3168" priority="70">
      <formula>AND($E125 &gt; 0, ISNUMBER($E125))</formula>
    </cfRule>
    <cfRule type="expression" dxfId="3167" priority="71">
      <formula>AND($E125 = 0 * ISNUMBER($E125))</formula>
    </cfRule>
    <cfRule type="expression" dxfId="3166" priority="72">
      <formula>AND($E125 &lt; 0, ISNUMBER($E125))</formula>
    </cfRule>
  </conditionalFormatting>
  <conditionalFormatting sqref="A125:C144 G125:I144">
    <cfRule type="expression" dxfId="3165" priority="67">
      <formula>AND($H125 &gt; 0, ISNUMBER($H125))</formula>
    </cfRule>
    <cfRule type="expression" dxfId="3164" priority="68">
      <formula>AND($H125 = 0 * ISNUMBER($H125))</formula>
    </cfRule>
    <cfRule type="expression" dxfId="3163" priority="69">
      <formula>AND($H125 &lt; 0, ISNUMBER($H125))</formula>
    </cfRule>
  </conditionalFormatting>
  <conditionalFormatting sqref="A125:C144 J125:L144">
    <cfRule type="expression" dxfId="3162" priority="64">
      <formula>AND($K125 &gt; 0, ISNUMBER($K125))</formula>
    </cfRule>
    <cfRule type="expression" dxfId="3161" priority="65">
      <formula>AND($K125 = 0 * ISNUMBER($K125))</formula>
    </cfRule>
    <cfRule type="expression" dxfId="3160" priority="66">
      <formula>AND($K125 &lt; 0, ISNUMBER($K125))</formula>
    </cfRule>
  </conditionalFormatting>
  <conditionalFormatting sqref="D123:F124 E145:F145">
    <cfRule type="expression" dxfId="3159" priority="58">
      <formula>$E$145 &gt; 0</formula>
    </cfRule>
    <cfRule type="expression" dxfId="3158" priority="59">
      <formula>$E$145 = 0</formula>
    </cfRule>
    <cfRule type="expression" dxfId="3157" priority="60">
      <formula>$E$145 &lt; 0</formula>
    </cfRule>
  </conditionalFormatting>
  <conditionalFormatting sqref="G123:I124 H145:I145">
    <cfRule type="expression" dxfId="3156" priority="55">
      <formula>$H$145 &gt; 0</formula>
    </cfRule>
    <cfRule type="expression" dxfId="3155" priority="56">
      <formula>$H$145 = 0</formula>
    </cfRule>
    <cfRule type="expression" dxfId="3154" priority="57">
      <formula>$H$145 &lt; 0</formula>
    </cfRule>
  </conditionalFormatting>
  <conditionalFormatting sqref="J123:L124 K145:L145">
    <cfRule type="expression" dxfId="3153" priority="52">
      <formula>$K$145 &gt; 0</formula>
    </cfRule>
    <cfRule type="expression" dxfId="3152" priority="53">
      <formula>$K$145 = 0</formula>
    </cfRule>
    <cfRule type="expression" dxfId="3151" priority="54">
      <formula>$K$145 &lt; 0</formula>
    </cfRule>
  </conditionalFormatting>
  <conditionalFormatting sqref="M123:O124 N145:O145">
    <cfRule type="expression" dxfId="3150" priority="49">
      <formula>$N$145 &gt; 0</formula>
    </cfRule>
    <cfRule type="expression" dxfId="3149" priority="50">
      <formula>$N$145 = 0</formula>
    </cfRule>
    <cfRule type="expression" dxfId="3148" priority="51">
      <formula>$N$145 &lt; 0</formula>
    </cfRule>
  </conditionalFormatting>
  <conditionalFormatting sqref="A152:C171 M152:O171">
    <cfRule type="expression" dxfId="3147" priority="37">
      <formula>AND($N152 &gt; 0, ISNUMBER($N152))</formula>
    </cfRule>
    <cfRule type="expression" dxfId="3146" priority="38">
      <formula>AND($N152 = 0 * ISNUMBER($N152))</formula>
    </cfRule>
    <cfRule type="expression" dxfId="3145" priority="39">
      <formula>AND($N152 &lt; 0, ISNUMBER($N152))</formula>
    </cfRule>
  </conditionalFormatting>
  <conditionalFormatting sqref="A152:F171">
    <cfRule type="expression" dxfId="3144" priority="46">
      <formula>AND($E152 &gt; 0, ISNUMBER($E152))</formula>
    </cfRule>
    <cfRule type="expression" dxfId="3143" priority="47">
      <formula>AND($E152 = 0 * ISNUMBER($E152))</formula>
    </cfRule>
    <cfRule type="expression" dxfId="3142" priority="48">
      <formula>AND($E152 &lt; 0, ISNUMBER($E152))</formula>
    </cfRule>
  </conditionalFormatting>
  <conditionalFormatting sqref="A152:C171 G152:I171">
    <cfRule type="expression" dxfId="3141" priority="43">
      <formula>AND($H152 &gt; 0, ISNUMBER($H152))</formula>
    </cfRule>
    <cfRule type="expression" dxfId="3140" priority="44">
      <formula>AND($H152 = 0 * ISNUMBER($H152))</formula>
    </cfRule>
    <cfRule type="expression" dxfId="3139" priority="45">
      <formula>AND($H152 &lt; 0, ISNUMBER($H152))</formula>
    </cfRule>
  </conditionalFormatting>
  <conditionalFormatting sqref="A152:C171 J152:L171">
    <cfRule type="expression" dxfId="3138" priority="40">
      <formula>AND($K152 &gt; 0, ISNUMBER($K152))</formula>
    </cfRule>
    <cfRule type="expression" dxfId="3137" priority="41">
      <formula>AND($K152 = 0 * ISNUMBER($K152))</formula>
    </cfRule>
    <cfRule type="expression" dxfId="3136" priority="42">
      <formula>AND($K152 &lt; 0, ISNUMBER($K152))</formula>
    </cfRule>
  </conditionalFormatting>
  <conditionalFormatting sqref="D150:F151 E172:F172">
    <cfRule type="expression" dxfId="3135" priority="34">
      <formula>$E$172 &gt; 0</formula>
    </cfRule>
    <cfRule type="expression" dxfId="3134" priority="35">
      <formula>$E$172 = 0</formula>
    </cfRule>
    <cfRule type="expression" dxfId="3133" priority="36">
      <formula>$E$172 &lt; 0</formula>
    </cfRule>
  </conditionalFormatting>
  <conditionalFormatting sqref="G150:I151 H172:I172">
    <cfRule type="expression" dxfId="3132" priority="31">
      <formula>$H$172 &gt; 0</formula>
    </cfRule>
    <cfRule type="expression" dxfId="3131" priority="32">
      <formula>$H$172 = 0</formula>
    </cfRule>
    <cfRule type="expression" dxfId="3130" priority="33">
      <formula>$H$172 &lt; 0</formula>
    </cfRule>
  </conditionalFormatting>
  <conditionalFormatting sqref="J150:L151 K172:L172">
    <cfRule type="expression" dxfId="3129" priority="28">
      <formula>$K$172 &gt; 0</formula>
    </cfRule>
    <cfRule type="expression" dxfId="3128" priority="29">
      <formula>$K$172 = 0</formula>
    </cfRule>
    <cfRule type="expression" dxfId="3127" priority="30">
      <formula>$K$172 &lt; 0</formula>
    </cfRule>
  </conditionalFormatting>
  <conditionalFormatting sqref="M150:O151 N172:O172">
    <cfRule type="expression" dxfId="3126" priority="25">
      <formula>$N$172 &gt; 0</formula>
    </cfRule>
    <cfRule type="expression" dxfId="3125" priority="26">
      <formula>$N$172 = 0</formula>
    </cfRule>
    <cfRule type="expression" dxfId="3124" priority="27">
      <formula>$N$172 &lt; 0</formula>
    </cfRule>
  </conditionalFormatting>
  <conditionalFormatting sqref="A179:C198 M179:O198">
    <cfRule type="expression" dxfId="3123" priority="13">
      <formula>AND($N179 &gt; 0, ISNUMBER($N179))</formula>
    </cfRule>
    <cfRule type="expression" dxfId="3122" priority="14">
      <formula>AND($N179 = 0 * ISNUMBER($N179))</formula>
    </cfRule>
    <cfRule type="expression" dxfId="3121" priority="15">
      <formula>AND($N179 &lt; 0, ISNUMBER($N179))</formula>
    </cfRule>
  </conditionalFormatting>
  <conditionalFormatting sqref="A179:F198">
    <cfRule type="expression" dxfId="3120" priority="22">
      <formula>AND($E179 &gt; 0, ISNUMBER($E179))</formula>
    </cfRule>
    <cfRule type="expression" dxfId="3119" priority="23">
      <formula>AND($E179 = 0 * ISNUMBER($E179))</formula>
    </cfRule>
    <cfRule type="expression" dxfId="3118" priority="24">
      <formula>AND($E179 &lt; 0, ISNUMBER($E179))</formula>
    </cfRule>
  </conditionalFormatting>
  <conditionalFormatting sqref="A179:C198 G179:I198">
    <cfRule type="expression" dxfId="3117" priority="19">
      <formula>AND($H179 &gt; 0, ISNUMBER($H179))</formula>
    </cfRule>
    <cfRule type="expression" dxfId="3116" priority="20">
      <formula>AND($H179 = 0 * ISNUMBER($H179))</formula>
    </cfRule>
    <cfRule type="expression" dxfId="3115" priority="21">
      <formula>AND($H179 &lt; 0, ISNUMBER($H179))</formula>
    </cfRule>
  </conditionalFormatting>
  <conditionalFormatting sqref="A179:C198 J179:L198">
    <cfRule type="expression" dxfId="3114" priority="16">
      <formula>AND($K179 &gt; 0, ISNUMBER($K179))</formula>
    </cfRule>
    <cfRule type="expression" dxfId="3113" priority="17">
      <formula>AND($K179 = 0 * ISNUMBER($K179))</formula>
    </cfRule>
    <cfRule type="expression" dxfId="3112" priority="18">
      <formula>AND($K179 &lt; 0, ISNUMBER($K179))</formula>
    </cfRule>
  </conditionalFormatting>
  <conditionalFormatting sqref="D177:F178 E199:F199">
    <cfRule type="expression" dxfId="3111" priority="10">
      <formula>$E$199 &gt; 0</formula>
    </cfRule>
    <cfRule type="expression" dxfId="3110" priority="11">
      <formula>$E$199 = 0</formula>
    </cfRule>
    <cfRule type="expression" dxfId="3109" priority="12">
      <formula>$E$199 &lt; 0</formula>
    </cfRule>
  </conditionalFormatting>
  <conditionalFormatting sqref="G177:I178 H199:I199">
    <cfRule type="expression" dxfId="3108" priority="7">
      <formula>$H$199 &gt; 0</formula>
    </cfRule>
    <cfRule type="expression" dxfId="3107" priority="8">
      <formula>$H$199 = 0</formula>
    </cfRule>
    <cfRule type="expression" dxfId="3106" priority="9">
      <formula>$H$199 &lt; 0</formula>
    </cfRule>
  </conditionalFormatting>
  <conditionalFormatting sqref="J177:L178 K199:L199">
    <cfRule type="expression" dxfId="3105" priority="4">
      <formula>$K$199 &gt; 0</formula>
    </cfRule>
    <cfRule type="expression" dxfId="3104" priority="5">
      <formula>$K$199 = 0</formula>
    </cfRule>
    <cfRule type="expression" dxfId="3103" priority="6">
      <formula>$K$199 &lt; 0</formula>
    </cfRule>
  </conditionalFormatting>
  <conditionalFormatting sqref="M177:O178 N199:O199">
    <cfRule type="expression" dxfId="3102" priority="1">
      <formula>$N$199 &gt; 0</formula>
    </cfRule>
    <cfRule type="expression" dxfId="3101" priority="2">
      <formula>$N$199 = 0</formula>
    </cfRule>
    <cfRule type="expression" dxfId="310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A85" workbookViewId="0">
      <selection activeCell="A2" sqref="A2:E118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287</v>
      </c>
      <c r="B1" s="69" t="s">
        <v>39</v>
      </c>
      <c r="C1" s="68" t="s">
        <v>37</v>
      </c>
      <c r="D1" s="70" t="s">
        <v>38</v>
      </c>
      <c r="E1" s="91" t="s">
        <v>294</v>
      </c>
    </row>
    <row r="2" spans="1:18" ht="17.25" thickBot="1">
      <c r="A2" s="40" t="s">
        <v>231</v>
      </c>
      <c r="B2" s="11" t="s">
        <v>232</v>
      </c>
      <c r="C2" s="95">
        <v>103</v>
      </c>
      <c r="D2" s="92">
        <v>8.3070452200000006E-2</v>
      </c>
      <c r="E2" s="93">
        <v>958380331.39126635</v>
      </c>
      <c r="F2" s="35"/>
      <c r="G2" s="54"/>
      <c r="H2" s="35"/>
      <c r="I2" s="35"/>
    </row>
    <row r="3" spans="1:18" ht="17.25" thickBot="1">
      <c r="A3" s="40" t="s">
        <v>117</v>
      </c>
      <c r="B3" s="11" t="s">
        <v>118</v>
      </c>
      <c r="C3" s="95">
        <v>4935</v>
      </c>
      <c r="D3" s="92">
        <v>5.3361792999999998E-2</v>
      </c>
      <c r="E3" s="93">
        <v>7312613.7629184602</v>
      </c>
      <c r="F3" s="35"/>
      <c r="G3" s="290" t="s">
        <v>290</v>
      </c>
      <c r="H3" s="302" t="s">
        <v>365</v>
      </c>
      <c r="I3" s="302"/>
      <c r="K3" s="246" t="s">
        <v>34</v>
      </c>
      <c r="L3" s="247"/>
      <c r="M3" s="247"/>
      <c r="N3" s="248"/>
      <c r="O3" s="246" t="s">
        <v>292</v>
      </c>
      <c r="P3" s="247"/>
      <c r="Q3" s="247"/>
      <c r="R3" s="248"/>
    </row>
    <row r="4" spans="1:18" ht="17.25" thickBot="1">
      <c r="A4" s="40" t="s">
        <v>149</v>
      </c>
      <c r="B4" s="11" t="s">
        <v>150</v>
      </c>
      <c r="C4" s="95">
        <v>2630</v>
      </c>
      <c r="D4" s="92">
        <v>3.9525691699999997E-2</v>
      </c>
      <c r="E4" s="93">
        <v>7158550.7848444702</v>
      </c>
      <c r="F4" s="35"/>
      <c r="G4" s="291"/>
      <c r="H4" s="303"/>
      <c r="I4" s="303"/>
      <c r="K4" s="283" t="s">
        <v>55</v>
      </c>
      <c r="L4" s="299">
        <f ca="1">NOW()</f>
        <v>44363.886320254627</v>
      </c>
      <c r="M4" s="300"/>
      <c r="N4" s="301"/>
      <c r="O4" s="298" t="s">
        <v>55</v>
      </c>
      <c r="P4" s="299">
        <f ca="1">NOW()</f>
        <v>44363.886320254627</v>
      </c>
      <c r="Q4" s="300"/>
      <c r="R4" s="301"/>
    </row>
    <row r="5" spans="1:18" ht="17.25" thickBot="1">
      <c r="A5" s="40" t="s">
        <v>87</v>
      </c>
      <c r="B5" s="11" t="s">
        <v>88</v>
      </c>
      <c r="C5" s="95">
        <v>394</v>
      </c>
      <c r="D5" s="92">
        <v>3.4120734899999998E-2</v>
      </c>
      <c r="E5" s="93">
        <v>586858868.92043281</v>
      </c>
      <c r="F5" s="35"/>
      <c r="K5" s="291"/>
      <c r="L5" s="36" t="s">
        <v>58</v>
      </c>
      <c r="M5" s="73" t="s">
        <v>59</v>
      </c>
      <c r="N5" s="69" t="s">
        <v>294</v>
      </c>
      <c r="O5" s="291"/>
      <c r="P5" s="36" t="s">
        <v>58</v>
      </c>
      <c r="Q5" s="73" t="s">
        <v>59</v>
      </c>
      <c r="R5" s="69" t="s">
        <v>294</v>
      </c>
    </row>
    <row r="6" spans="1:18" ht="17.25" thickBot="1">
      <c r="A6" s="40" t="s">
        <v>175</v>
      </c>
      <c r="B6" s="11" t="s">
        <v>176</v>
      </c>
      <c r="C6" s="95">
        <v>1055</v>
      </c>
      <c r="D6" s="92">
        <v>2.92682927E-2</v>
      </c>
      <c r="E6" s="93">
        <v>47740892.876944073</v>
      </c>
      <c r="F6" s="35"/>
      <c r="G6" s="246" t="s">
        <v>52</v>
      </c>
      <c r="H6" s="247"/>
      <c r="I6" s="248"/>
      <c r="K6" s="55" t="str">
        <f ca="1">IFERROR(OFFSET(INDIRECT($H$3 &amp; "!A17"), 0, 0), "")</f>
        <v>오브스</v>
      </c>
      <c r="L6" s="38">
        <f t="shared" ref="L6:L24" ca="1" si="0">_xlfn.IFNA(VLOOKUP(K6, $B$2:$E$200, 2, FALSE), "")</f>
        <v>77.900000000000006</v>
      </c>
      <c r="M6" s="76">
        <f t="shared" ref="M6:M25" ca="1" si="1">_xlfn.IFNA(VLOOKUP(K6, $B$2:$E$200, 3, FALSE), "")</f>
        <v>-4.6511627899999998E-2</v>
      </c>
      <c r="N6" s="85">
        <f ca="1">_xlfn.IFNA(VLOOKUP(K6, $B$2:$E$200, 4, FALSE), "")</f>
        <v>44029136.411715008</v>
      </c>
      <c r="O6" s="46" t="str">
        <f>INDEX($A$2:$D$200, MATCH(LARGE($D$2:$D$200, 1), $D$2:$D$200, 0), 2)</f>
        <v>센티넬프로토콜</v>
      </c>
      <c r="P6" s="38">
        <f t="shared" ref="P6:P25" si="2">_xlfn.IFNA(VLOOKUP(O6, $B$2:$D$200, 2, FALSE), "")</f>
        <v>103</v>
      </c>
      <c r="Q6" s="76">
        <f t="shared" ref="Q6:Q25" si="3">_xlfn.IFNA(VLOOKUP(O6, $B$2:$D$200, 3, FALSE), "")</f>
        <v>8.3070452200000006E-2</v>
      </c>
      <c r="R6" s="85">
        <f>_xlfn.IFNA(VLOOKUP(O6, $B$2:$E$200, 4, FALSE), "")</f>
        <v>958380331.39126635</v>
      </c>
    </row>
    <row r="7" spans="1:18">
      <c r="A7" s="40" t="s">
        <v>159</v>
      </c>
      <c r="B7" s="11" t="s">
        <v>160</v>
      </c>
      <c r="C7" s="95">
        <v>1655</v>
      </c>
      <c r="D7" s="92">
        <v>1.8461538499999999E-2</v>
      </c>
      <c r="E7" s="93">
        <v>9934667.2848957796</v>
      </c>
      <c r="F7" s="35"/>
      <c r="G7" s="274" t="s">
        <v>36</v>
      </c>
      <c r="H7" s="275"/>
      <c r="I7" s="276"/>
      <c r="K7" s="56" t="str">
        <f ca="1">IFERROR(OFFSET(INDIRECT($H$3 &amp; "!A17"), 1, 0), "")</f>
        <v>메디블록</v>
      </c>
      <c r="L7" s="39">
        <f t="shared" ca="1" si="0"/>
        <v>54.8</v>
      </c>
      <c r="M7" s="77">
        <f t="shared" ca="1" si="1"/>
        <v>-7.1186440700000006E-2</v>
      </c>
      <c r="N7" s="86">
        <f t="shared" ref="N7:N25" ca="1" si="4">_xlfn.IFNA(VLOOKUP(K7, $B$2:$E$200, 4, FALSE), "")</f>
        <v>186438446.76060143</v>
      </c>
      <c r="O7" s="47" t="str">
        <f>INDEX($A$2:$D$200, MATCH(LARGE($D$2:$D$200, 2), $D$2:$D$200, 0), 2)</f>
        <v>카바</v>
      </c>
      <c r="P7" s="39">
        <f t="shared" si="2"/>
        <v>4935</v>
      </c>
      <c r="Q7" s="77">
        <f t="shared" si="3"/>
        <v>5.3361792999999998E-2</v>
      </c>
      <c r="R7" s="86">
        <f t="shared" ref="R7:R25" si="5">_xlfn.IFNA(VLOOKUP(O7, $B$2:$E$200, 4, FALSE), "")</f>
        <v>7312613.7629184602</v>
      </c>
    </row>
    <row r="8" spans="1:18" ht="17.25" thickBot="1">
      <c r="A8" s="40" t="s">
        <v>119</v>
      </c>
      <c r="B8" s="11" t="s">
        <v>120</v>
      </c>
      <c r="C8" s="95">
        <v>137</v>
      </c>
      <c r="D8" s="92">
        <v>1.4814814799999999E-2</v>
      </c>
      <c r="E8" s="93">
        <v>39312544.293046698</v>
      </c>
      <c r="F8" s="35"/>
      <c r="G8" s="267"/>
      <c r="H8" s="268"/>
      <c r="I8" s="269"/>
      <c r="K8" s="56" t="str">
        <f ca="1">IFERROR(OFFSET(INDIRECT($H$3 &amp; "!A17"), 2, 0), "")</f>
        <v>메타디움</v>
      </c>
      <c r="L8" s="39">
        <f t="shared" ca="1" si="0"/>
        <v>87.8</v>
      </c>
      <c r="M8" s="77">
        <f t="shared" ca="1" si="1"/>
        <v>-6.7940552000000001E-2</v>
      </c>
      <c r="N8" s="86">
        <f t="shared" ca="1" si="4"/>
        <v>84526939.452911913</v>
      </c>
      <c r="O8" s="47" t="str">
        <f>INDEX($A$2:$D$200, MATCH(LARGE($D$2:$D$200, 3), $D$2:$D$200, 0), 2)</f>
        <v>스와이프</v>
      </c>
      <c r="P8" s="39">
        <f t="shared" si="2"/>
        <v>2630</v>
      </c>
      <c r="Q8" s="77">
        <f t="shared" si="3"/>
        <v>3.9525691699999997E-2</v>
      </c>
      <c r="R8" s="86">
        <f t="shared" si="5"/>
        <v>7158550.7848444702</v>
      </c>
    </row>
    <row r="9" spans="1:18" ht="17.25" thickBot="1">
      <c r="A9" s="40" t="s">
        <v>197</v>
      </c>
      <c r="B9" s="11" t="s">
        <v>198</v>
      </c>
      <c r="C9" s="95">
        <v>15</v>
      </c>
      <c r="D9" s="92">
        <v>1.3513513499999999E-2</v>
      </c>
      <c r="E9" s="93">
        <v>4919262894.4380054</v>
      </c>
      <c r="F9" s="35"/>
      <c r="G9" s="9" t="s">
        <v>38</v>
      </c>
      <c r="H9" s="247" t="s">
        <v>37</v>
      </c>
      <c r="I9" s="248"/>
      <c r="K9" s="56" t="str">
        <f ca="1">IFERROR(OFFSET(INDIRECT($H$3 &amp; "!A17"), 3, 0), "")</f>
        <v>헌트</v>
      </c>
      <c r="L9" s="39">
        <f t="shared" ca="1" si="0"/>
        <v>250</v>
      </c>
      <c r="M9" s="77">
        <f t="shared" ca="1" si="1"/>
        <v>-4.9429657799999999E-2</v>
      </c>
      <c r="N9" s="86">
        <f t="shared" ca="1" si="4"/>
        <v>18424549.210683171</v>
      </c>
      <c r="O9" s="47" t="str">
        <f>INDEX($A$2:$D$200, MATCH(LARGE($D$2:$D$200, 4), $D$2:$D$200, 0), 2)</f>
        <v>칠리즈</v>
      </c>
      <c r="P9" s="39">
        <f t="shared" si="2"/>
        <v>394</v>
      </c>
      <c r="Q9" s="77">
        <f t="shared" si="3"/>
        <v>3.4120734899999998E-2</v>
      </c>
      <c r="R9" s="86">
        <f t="shared" si="5"/>
        <v>586858868.92043281</v>
      </c>
    </row>
    <row r="10" spans="1:18">
      <c r="A10" s="40" t="s">
        <v>199</v>
      </c>
      <c r="B10" s="11" t="s">
        <v>200</v>
      </c>
      <c r="C10" s="95">
        <v>170</v>
      </c>
      <c r="D10" s="92">
        <v>1.19047619E-2</v>
      </c>
      <c r="E10" s="93">
        <v>87835585.324890509</v>
      </c>
      <c r="F10" s="35"/>
      <c r="G10" s="292">
        <f>_xlfn.IFNA(VLOOKUP(G7, $B$2:$D$200, 3, FALSE), "-")</f>
        <v>-2.27209037E-2</v>
      </c>
      <c r="H10" s="294">
        <f>_xlfn.IFNA(VLOOKUP(G7, $B$2:$D$200, 2, FALSE), "-")</f>
        <v>45335000</v>
      </c>
      <c r="I10" s="295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스택스</v>
      </c>
      <c r="P10" s="39">
        <f t="shared" si="2"/>
        <v>1055</v>
      </c>
      <c r="Q10" s="77">
        <f t="shared" si="3"/>
        <v>2.92682927E-2</v>
      </c>
      <c r="R10" s="90">
        <f t="shared" si="5"/>
        <v>47740892.876944073</v>
      </c>
    </row>
    <row r="11" spans="1:18" ht="17.25" thickBot="1">
      <c r="A11" s="40" t="s">
        <v>135</v>
      </c>
      <c r="B11" s="11" t="s">
        <v>136</v>
      </c>
      <c r="C11" s="95">
        <v>123</v>
      </c>
      <c r="D11" s="92">
        <v>-8.0645161000000003E-3</v>
      </c>
      <c r="E11" s="93">
        <v>40047951.58945179</v>
      </c>
      <c r="F11" s="35"/>
      <c r="G11" s="293"/>
      <c r="H11" s="296"/>
      <c r="I11" s="297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엔진코인</v>
      </c>
      <c r="P11" s="45">
        <f t="shared" si="2"/>
        <v>1655</v>
      </c>
      <c r="Q11" s="80">
        <f t="shared" si="3"/>
        <v>1.8461538499999999E-2</v>
      </c>
      <c r="R11" s="99">
        <f t="shared" si="5"/>
        <v>9934667.2848957796</v>
      </c>
    </row>
    <row r="12" spans="1:18" ht="17.25" thickBot="1">
      <c r="A12" s="40" t="s">
        <v>105</v>
      </c>
      <c r="B12" s="11" t="s">
        <v>106</v>
      </c>
      <c r="C12" s="95">
        <v>1025</v>
      </c>
      <c r="D12" s="92">
        <v>-9.6618356999999995E-3</v>
      </c>
      <c r="E12" s="93">
        <v>2269969.2957033101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크립토닷컴체인</v>
      </c>
      <c r="P12" s="39">
        <f t="shared" si="2"/>
        <v>137</v>
      </c>
      <c r="Q12" s="77">
        <f t="shared" si="3"/>
        <v>1.4814814799999999E-2</v>
      </c>
      <c r="R12" s="86">
        <f t="shared" si="5"/>
        <v>39312544.293046698</v>
      </c>
    </row>
    <row r="13" spans="1:18" ht="17.25" thickBot="1">
      <c r="A13" s="40" t="s">
        <v>243</v>
      </c>
      <c r="B13" s="11" t="s">
        <v>244</v>
      </c>
      <c r="C13" s="95">
        <v>1485</v>
      </c>
      <c r="D13" s="92">
        <v>-1.32890365E-2</v>
      </c>
      <c r="E13" s="93">
        <v>10807835.33964717</v>
      </c>
      <c r="F13" s="35"/>
      <c r="G13" s="246" t="s">
        <v>70</v>
      </c>
      <c r="H13" s="247"/>
      <c r="I13" s="248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엠블</v>
      </c>
      <c r="P13" s="39">
        <f t="shared" si="2"/>
        <v>15</v>
      </c>
      <c r="Q13" s="77">
        <f t="shared" si="3"/>
        <v>1.3513513499999999E-2</v>
      </c>
      <c r="R13" s="86">
        <f t="shared" si="5"/>
        <v>4919262894.4380054</v>
      </c>
    </row>
    <row r="14" spans="1:18">
      <c r="A14" s="40" t="s">
        <v>163</v>
      </c>
      <c r="B14" s="11" t="s">
        <v>164</v>
      </c>
      <c r="C14" s="95">
        <v>18870</v>
      </c>
      <c r="D14" s="92">
        <v>-1.5649452300000002E-2</v>
      </c>
      <c r="E14" s="93">
        <v>811594.92478308</v>
      </c>
      <c r="F14" s="35"/>
      <c r="G14" s="274" t="s">
        <v>36</v>
      </c>
      <c r="H14" s="275"/>
      <c r="I14" s="276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아르고</v>
      </c>
      <c r="P14" s="39">
        <f t="shared" si="2"/>
        <v>170</v>
      </c>
      <c r="Q14" s="77">
        <f t="shared" si="3"/>
        <v>1.19047619E-2</v>
      </c>
      <c r="R14" s="86">
        <f t="shared" si="5"/>
        <v>87835585.324890509</v>
      </c>
    </row>
    <row r="15" spans="1:18" ht="17.25" thickBot="1">
      <c r="A15" s="40" t="s">
        <v>60</v>
      </c>
      <c r="B15" s="11" t="s">
        <v>61</v>
      </c>
      <c r="C15" s="95">
        <v>807</v>
      </c>
      <c r="D15" s="92">
        <v>-1.8248175200000001E-2</v>
      </c>
      <c r="E15" s="93">
        <v>28064698.298678119</v>
      </c>
      <c r="F15" s="35"/>
      <c r="G15" s="267"/>
      <c r="H15" s="268"/>
      <c r="I15" s="269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질리카</v>
      </c>
      <c r="P15" s="37">
        <f t="shared" si="2"/>
        <v>123</v>
      </c>
      <c r="Q15" s="79">
        <f t="shared" si="3"/>
        <v>-8.0645161000000003E-3</v>
      </c>
      <c r="R15" s="87">
        <f t="shared" si="5"/>
        <v>40047951.58945179</v>
      </c>
    </row>
    <row r="16" spans="1:18" ht="17.25" thickBot="1">
      <c r="A16" s="40" t="s">
        <v>189</v>
      </c>
      <c r="B16" s="11" t="s">
        <v>190</v>
      </c>
      <c r="C16" s="95">
        <v>51440</v>
      </c>
      <c r="D16" s="92">
        <v>-2.00038102E-2</v>
      </c>
      <c r="E16" s="93">
        <v>1341746.31967745</v>
      </c>
      <c r="F16" s="35"/>
      <c r="G16" s="9" t="s">
        <v>38</v>
      </c>
      <c r="H16" s="247" t="s">
        <v>37</v>
      </c>
      <c r="I16" s="248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제로엑스</v>
      </c>
      <c r="P16" s="38">
        <f t="shared" si="2"/>
        <v>1025</v>
      </c>
      <c r="Q16" s="76">
        <f t="shared" si="3"/>
        <v>-9.6618356999999995E-3</v>
      </c>
      <c r="R16" s="85">
        <f t="shared" si="5"/>
        <v>2269969.2957033101</v>
      </c>
    </row>
    <row r="17" spans="1:18">
      <c r="A17" s="40" t="s">
        <v>50</v>
      </c>
      <c r="B17" s="11" t="s">
        <v>51</v>
      </c>
      <c r="C17" s="95">
        <v>378</v>
      </c>
      <c r="D17" s="92">
        <v>-2.0725388599999998E-2</v>
      </c>
      <c r="E17" s="93">
        <v>49828594.165088691</v>
      </c>
      <c r="F17" s="35"/>
      <c r="G17" s="292">
        <f>_xlfn.IFNA(VLOOKUP(G14, $B$2:$D$200, 3, FALSE), "-")</f>
        <v>-2.27209037E-2</v>
      </c>
      <c r="H17" s="294">
        <f>_xlfn.IFNA(VLOOKUP(G14, $B$2:$D$200, 2, FALSE), "-")</f>
        <v>45335000</v>
      </c>
      <c r="I17" s="295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펀디엑스</v>
      </c>
      <c r="P17" s="39">
        <f t="shared" si="2"/>
        <v>1485</v>
      </c>
      <c r="Q17" s="77">
        <f t="shared" si="3"/>
        <v>-1.32890365E-2</v>
      </c>
      <c r="R17" s="86">
        <f t="shared" si="5"/>
        <v>10807835.33964717</v>
      </c>
    </row>
    <row r="18" spans="1:18" ht="17.25" thickBot="1">
      <c r="A18" s="40" t="s">
        <v>155</v>
      </c>
      <c r="B18" s="11" t="s">
        <v>156</v>
      </c>
      <c r="C18" s="95">
        <v>81.2</v>
      </c>
      <c r="D18" s="92">
        <v>-2.1686746999999999E-2</v>
      </c>
      <c r="E18" s="93">
        <v>91928993.761296406</v>
      </c>
      <c r="F18" s="35"/>
      <c r="G18" s="293"/>
      <c r="H18" s="296"/>
      <c r="I18" s="297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웨이브</v>
      </c>
      <c r="P18" s="39">
        <f t="shared" si="2"/>
        <v>18870</v>
      </c>
      <c r="Q18" s="77">
        <f t="shared" si="3"/>
        <v>-1.5649452300000002E-2</v>
      </c>
      <c r="R18" s="86">
        <f t="shared" si="5"/>
        <v>811594.92478308</v>
      </c>
    </row>
    <row r="19" spans="1:18" ht="17.25" thickBot="1">
      <c r="A19" s="40" t="s">
        <v>83</v>
      </c>
      <c r="B19" s="11" t="s">
        <v>84</v>
      </c>
      <c r="C19" s="95">
        <v>1760</v>
      </c>
      <c r="D19" s="92">
        <v>-2.2222222199999999E-2</v>
      </c>
      <c r="E19" s="93">
        <v>14582587.90275836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디센트럴랜드</v>
      </c>
      <c r="P19" s="39">
        <f t="shared" si="2"/>
        <v>807</v>
      </c>
      <c r="Q19" s="77">
        <f t="shared" si="3"/>
        <v>-1.8248175200000001E-2</v>
      </c>
      <c r="R19" s="86">
        <f t="shared" si="5"/>
        <v>28064698.298678119</v>
      </c>
    </row>
    <row r="20" spans="1:18" ht="17.25" thickBot="1">
      <c r="A20" s="40" t="s">
        <v>209</v>
      </c>
      <c r="B20" s="11" t="s">
        <v>210</v>
      </c>
      <c r="C20" s="95">
        <v>88</v>
      </c>
      <c r="D20" s="92">
        <v>-2.2222222199999999E-2</v>
      </c>
      <c r="E20" s="93">
        <v>274360993.06719381</v>
      </c>
      <c r="F20" s="35"/>
      <c r="G20" s="246" t="s">
        <v>286</v>
      </c>
      <c r="H20" s="247"/>
      <c r="I20" s="248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스트라이크</v>
      </c>
      <c r="P20" s="39">
        <f t="shared" si="2"/>
        <v>51440</v>
      </c>
      <c r="Q20" s="77">
        <f t="shared" si="3"/>
        <v>-2.00038102E-2</v>
      </c>
      <c r="R20" s="90">
        <f t="shared" si="5"/>
        <v>1341746.31967745</v>
      </c>
    </row>
    <row r="21" spans="1:18">
      <c r="A21" s="40" t="s">
        <v>277</v>
      </c>
      <c r="B21" s="11" t="s">
        <v>278</v>
      </c>
      <c r="C21" s="95">
        <v>69.900000000000006</v>
      </c>
      <c r="D21" s="92">
        <v>-2.2377622400000002E-2</v>
      </c>
      <c r="E21" s="93">
        <v>13790700.367384341</v>
      </c>
      <c r="F21" s="35"/>
      <c r="G21" s="274" t="s">
        <v>36</v>
      </c>
      <c r="H21" s="275"/>
      <c r="I21" s="276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스텔라루멘</v>
      </c>
      <c r="P21" s="45">
        <f t="shared" si="2"/>
        <v>378</v>
      </c>
      <c r="Q21" s="80">
        <f t="shared" si="3"/>
        <v>-2.0725388599999998E-2</v>
      </c>
      <c r="R21" s="99">
        <f t="shared" si="5"/>
        <v>49828594.165088691</v>
      </c>
    </row>
    <row r="22" spans="1:18" ht="17.25" thickBot="1">
      <c r="A22" s="40" t="s">
        <v>48</v>
      </c>
      <c r="B22" s="11" t="s">
        <v>49</v>
      </c>
      <c r="C22" s="95">
        <v>45335000</v>
      </c>
      <c r="D22" s="92">
        <v>-2.27209037E-2</v>
      </c>
      <c r="E22" s="93">
        <v>5299.9254492700002</v>
      </c>
      <c r="F22" s="35"/>
      <c r="G22" s="267"/>
      <c r="H22" s="268"/>
      <c r="I22" s="269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트론</v>
      </c>
      <c r="P22" s="39">
        <f t="shared" si="2"/>
        <v>81.2</v>
      </c>
      <c r="Q22" s="77">
        <f t="shared" si="3"/>
        <v>-2.1686746999999999E-2</v>
      </c>
      <c r="R22" s="86">
        <f t="shared" si="5"/>
        <v>91928993.761296406</v>
      </c>
    </row>
    <row r="23" spans="1:18" ht="17.25" thickBot="1">
      <c r="A23" s="40" t="s">
        <v>89</v>
      </c>
      <c r="B23" s="11" t="s">
        <v>90</v>
      </c>
      <c r="C23" s="95">
        <v>191400</v>
      </c>
      <c r="D23" s="92">
        <v>-2.3469387800000002E-2</v>
      </c>
      <c r="E23" s="93">
        <v>11613.532752319999</v>
      </c>
      <c r="F23" s="35"/>
      <c r="G23" s="9" t="s">
        <v>38</v>
      </c>
      <c r="H23" s="247" t="s">
        <v>37</v>
      </c>
      <c r="I23" s="248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에이다</v>
      </c>
      <c r="P23" s="39">
        <f t="shared" si="2"/>
        <v>1760</v>
      </c>
      <c r="Q23" s="77">
        <f t="shared" si="3"/>
        <v>-2.2222222199999999E-2</v>
      </c>
      <c r="R23" s="86">
        <f t="shared" si="5"/>
        <v>14582587.90275836</v>
      </c>
    </row>
    <row r="24" spans="1:18">
      <c r="A24" s="40" t="s">
        <v>295</v>
      </c>
      <c r="B24" s="11" t="s">
        <v>296</v>
      </c>
      <c r="C24" s="95">
        <v>360</v>
      </c>
      <c r="D24" s="92">
        <v>-2.4390243900000001E-2</v>
      </c>
      <c r="E24" s="93">
        <v>237132598.57343888</v>
      </c>
      <c r="F24" s="35"/>
      <c r="G24" s="292">
        <f>_xlfn.IFNA(VLOOKUP(G21, $B$2:$D$200, 3, FALSE), "-")</f>
        <v>-2.27209037E-2</v>
      </c>
      <c r="H24" s="294">
        <f>_xlfn.IFNA(VLOOKUP(G21, $B$2:$D$200, 2, FALSE), "-")</f>
        <v>45335000</v>
      </c>
      <c r="I24" s="295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에이다</v>
      </c>
      <c r="P24" s="39">
        <f t="shared" si="2"/>
        <v>1760</v>
      </c>
      <c r="Q24" s="77">
        <f t="shared" si="3"/>
        <v>-2.2222222199999999E-2</v>
      </c>
      <c r="R24" s="86">
        <f t="shared" si="5"/>
        <v>14582587.90275836</v>
      </c>
    </row>
    <row r="25" spans="1:18" ht="17.25" thickBot="1">
      <c r="A25" s="40" t="s">
        <v>167</v>
      </c>
      <c r="B25" s="11" t="s">
        <v>168</v>
      </c>
      <c r="C25" s="95">
        <v>82.6</v>
      </c>
      <c r="D25" s="92">
        <v>-2.59433962E-2</v>
      </c>
      <c r="E25" s="93">
        <v>33958781.11859145</v>
      </c>
      <c r="F25" s="35"/>
      <c r="G25" s="293"/>
      <c r="H25" s="296"/>
      <c r="I25" s="297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저스트</v>
      </c>
      <c r="P25" s="37">
        <f t="shared" si="2"/>
        <v>69.900000000000006</v>
      </c>
      <c r="Q25" s="79">
        <f t="shared" si="3"/>
        <v>-2.2377622400000002E-2</v>
      </c>
      <c r="R25" s="87">
        <f t="shared" si="5"/>
        <v>13790700.367384341</v>
      </c>
    </row>
    <row r="26" spans="1:18">
      <c r="A26" s="40" t="s">
        <v>143</v>
      </c>
      <c r="B26" s="11" t="s">
        <v>144</v>
      </c>
      <c r="C26" s="95">
        <v>5845</v>
      </c>
      <c r="D26" s="92">
        <v>-2.6644462899999999E-2</v>
      </c>
      <c r="E26" s="93">
        <v>969488.02352166001</v>
      </c>
      <c r="F26" s="35"/>
    </row>
    <row r="27" spans="1:18" ht="17.25" thickBot="1">
      <c r="A27" s="40" t="s">
        <v>113</v>
      </c>
      <c r="B27" s="11" t="s">
        <v>114</v>
      </c>
      <c r="C27" s="95">
        <v>9955</v>
      </c>
      <c r="D27" s="92">
        <v>-2.783203125E-2</v>
      </c>
      <c r="E27" s="93">
        <v>734982.42263061996</v>
      </c>
      <c r="F27" s="35"/>
    </row>
    <row r="28" spans="1:18" ht="17.25" thickBot="1">
      <c r="A28" s="40" t="s">
        <v>73</v>
      </c>
      <c r="B28" s="11" t="s">
        <v>74</v>
      </c>
      <c r="C28" s="95">
        <v>14550</v>
      </c>
      <c r="D28" s="92">
        <v>-2.80561122E-2</v>
      </c>
      <c r="E28" s="93">
        <v>121211.69980846001</v>
      </c>
      <c r="F28" s="35"/>
      <c r="G28" s="246" t="s">
        <v>46</v>
      </c>
      <c r="H28" s="247"/>
      <c r="I28" s="247"/>
      <c r="J28" s="248"/>
      <c r="K28" s="246" t="s">
        <v>44</v>
      </c>
      <c r="L28" s="247"/>
      <c r="M28" s="247"/>
      <c r="N28" s="248"/>
      <c r="O28" s="246" t="s">
        <v>45</v>
      </c>
      <c r="P28" s="247"/>
      <c r="Q28" s="247"/>
      <c r="R28" s="248"/>
    </row>
    <row r="29" spans="1:18" ht="17.25" thickBot="1">
      <c r="A29" s="40" t="s">
        <v>239</v>
      </c>
      <c r="B29" s="11" t="s">
        <v>240</v>
      </c>
      <c r="C29" s="95">
        <v>88.2</v>
      </c>
      <c r="D29" s="92">
        <v>-2.86343612E-2</v>
      </c>
      <c r="E29" s="93">
        <v>243958792.27612266</v>
      </c>
      <c r="F29" s="35"/>
      <c r="G29" s="283" t="s">
        <v>55</v>
      </c>
      <c r="H29" s="299">
        <f ca="1">NOW()</f>
        <v>44363.886320254627</v>
      </c>
      <c r="I29" s="300"/>
      <c r="J29" s="301"/>
      <c r="K29" s="298" t="s">
        <v>55</v>
      </c>
      <c r="L29" s="299">
        <f ca="1">NOW()</f>
        <v>44363.886320254627</v>
      </c>
      <c r="M29" s="300"/>
      <c r="N29" s="301"/>
      <c r="O29" s="298" t="s">
        <v>55</v>
      </c>
      <c r="P29" s="299">
        <f ca="1">NOW()</f>
        <v>44363.886320254627</v>
      </c>
      <c r="Q29" s="300"/>
      <c r="R29" s="301"/>
    </row>
    <row r="30" spans="1:18" ht="17.25" thickBot="1">
      <c r="A30" s="40" t="s">
        <v>157</v>
      </c>
      <c r="B30" s="11" t="s">
        <v>158</v>
      </c>
      <c r="C30" s="95">
        <v>5050</v>
      </c>
      <c r="D30" s="92">
        <v>-2.88461538E-2</v>
      </c>
      <c r="E30" s="93">
        <v>2976183.6115929699</v>
      </c>
      <c r="F30" s="35"/>
      <c r="G30" s="291"/>
      <c r="H30" s="36" t="s">
        <v>58</v>
      </c>
      <c r="I30" s="73" t="s">
        <v>59</v>
      </c>
      <c r="J30" s="69" t="s">
        <v>294</v>
      </c>
      <c r="K30" s="291"/>
      <c r="L30" s="36" t="s">
        <v>58</v>
      </c>
      <c r="M30" s="73" t="s">
        <v>59</v>
      </c>
      <c r="N30" s="69" t="s">
        <v>294</v>
      </c>
      <c r="O30" s="291"/>
      <c r="P30" s="36" t="s">
        <v>58</v>
      </c>
      <c r="Q30" s="73" t="s">
        <v>59</v>
      </c>
      <c r="R30" s="69" t="s">
        <v>294</v>
      </c>
    </row>
    <row r="31" spans="1:18">
      <c r="A31" s="40" t="s">
        <v>91</v>
      </c>
      <c r="B31" s="11" t="s">
        <v>92</v>
      </c>
      <c r="C31" s="95">
        <v>976</v>
      </c>
      <c r="D31" s="92">
        <v>-2.8855721399999999E-2</v>
      </c>
      <c r="E31" s="93">
        <v>170024540.58456266</v>
      </c>
      <c r="F31" s="35"/>
      <c r="G31" s="55" t="str">
        <f ca="1">IFERROR(OFFSET(INDIRECT($H$3 &amp; "!A98"), 0, 0), "")</f>
        <v>엘비알와이크레딧</v>
      </c>
      <c r="H31" s="38">
        <f t="shared" ref="H31:H50" ca="1" si="7">_xlfn.IFNA(VLOOKUP(G31, $B$2:$D$200, 2, FALSE), "")</f>
        <v>59.7</v>
      </c>
      <c r="I31" s="76">
        <f t="shared" ref="I31:I50" ca="1" si="8">_xlfn.IFNA(VLOOKUP(G31, $B$2:$D$200, 3, FALSE), "")</f>
        <v>-0.22164276399999999</v>
      </c>
      <c r="J31" s="85">
        <f ca="1">_xlfn.IFNA(VLOOKUP(G31, $B$2:$E$200, 4, FALSE), "")</f>
        <v>308421255.24230123</v>
      </c>
      <c r="K31" s="55" t="str">
        <f ca="1">IFERROR(OFFSET(INDIRECT($H$3 &amp; "!A44"), 0, 0), "")</f>
        <v>엘비알와이크레딧</v>
      </c>
      <c r="L31" s="38">
        <f t="shared" ref="L31:L50" ca="1" si="9">_xlfn.IFNA(VLOOKUP(K31, $B$2:$D$200, 2, FALSE), "")</f>
        <v>59.7</v>
      </c>
      <c r="M31" s="76">
        <f t="shared" ref="M31:M50" ca="1" si="10">_xlfn.IFNA(VLOOKUP(K31, $B$2:$D$200, 3, FALSE), "")</f>
        <v>-0.22164276399999999</v>
      </c>
      <c r="N31" s="85">
        <f ca="1">_xlfn.IFNA(VLOOKUP(K31, $B$2:$E$200, 4, FALSE), "")</f>
        <v>308421255.24230123</v>
      </c>
      <c r="O31" s="55" t="str">
        <f ca="1">IFERROR(OFFSET(INDIRECT($H$3 &amp; "!A71"), 0, 0), "")</f>
        <v>보라</v>
      </c>
      <c r="P31" s="38">
        <f t="shared" ref="P31:P50" ca="1" si="11">_xlfn.IFNA(VLOOKUP(O31, $B$2:$D$200, 2, FALSE), "")</f>
        <v>122</v>
      </c>
      <c r="Q31" s="76">
        <f t="shared" ref="Q31:Q50" ca="1" si="12">_xlfn.IFNA(VLOOKUP(O31, $B$2:$D$200, 3, FALSE), "")</f>
        <v>-6.1538461500000002E-2</v>
      </c>
      <c r="R31" s="85">
        <f ca="1">_xlfn.IFNA(VLOOKUP(O31, $B$2:$E$200, 4, FALSE), "")</f>
        <v>165737859.54426</v>
      </c>
    </row>
    <row r="32" spans="1:18">
      <c r="A32" s="40" t="s">
        <v>99</v>
      </c>
      <c r="B32" s="11" t="s">
        <v>100</v>
      </c>
      <c r="C32" s="95">
        <v>3.9</v>
      </c>
      <c r="D32" s="92">
        <v>-2.9850746300000001E-2</v>
      </c>
      <c r="E32" s="93">
        <v>5858865688.1369638</v>
      </c>
      <c r="F32" s="35"/>
      <c r="G32" s="56" t="str">
        <f ca="1">IFERROR(OFFSET(INDIRECT($H$3 &amp; "!A98"), 1, 0), "")</f>
        <v>엠블</v>
      </c>
      <c r="H32" s="39">
        <f t="shared" ca="1" si="7"/>
        <v>15</v>
      </c>
      <c r="I32" s="77">
        <f t="shared" ca="1" si="8"/>
        <v>1.3513513499999999E-2</v>
      </c>
      <c r="J32" s="86">
        <f t="shared" ref="J32:J50" ca="1" si="13">_xlfn.IFNA(VLOOKUP(G32, $B$2:$E$200, 4, FALSE), "")</f>
        <v>4919262894.4380054</v>
      </c>
      <c r="K32" s="56" t="str">
        <f ca="1">IFERROR(OFFSET(INDIRECT($H$3 &amp; "!A44"), 1, 0), "")</f>
        <v>엠블</v>
      </c>
      <c r="L32" s="39">
        <f t="shared" ca="1" si="9"/>
        <v>15</v>
      </c>
      <c r="M32" s="77">
        <f t="shared" ca="1" si="10"/>
        <v>1.3513513499999999E-2</v>
      </c>
      <c r="N32" s="86">
        <f t="shared" ref="N32:N50" ca="1" si="14">_xlfn.IFNA(VLOOKUP(K32, $B$2:$E$200, 4, FALSE), "")</f>
        <v>4919262894.4380054</v>
      </c>
      <c r="O32" s="56" t="str">
        <f ca="1">IFERROR(OFFSET(INDIRECT($H$3 &amp; "!A71"), 1, 0), "")</f>
        <v>헤데라해시그래프</v>
      </c>
      <c r="P32" s="39">
        <f t="shared" ca="1" si="11"/>
        <v>231</v>
      </c>
      <c r="Q32" s="77">
        <f t="shared" ca="1" si="12"/>
        <v>-5.71428571E-2</v>
      </c>
      <c r="R32" s="86">
        <f t="shared" ref="R32:R50" ca="1" si="15">_xlfn.IFNA(VLOOKUP(O32, $B$2:$E$200, 4, FALSE), "")</f>
        <v>19569561.713297289</v>
      </c>
    </row>
    <row r="33" spans="1:18">
      <c r="A33" s="40" t="s">
        <v>229</v>
      </c>
      <c r="B33" s="11" t="s">
        <v>230</v>
      </c>
      <c r="C33" s="95">
        <v>90.7</v>
      </c>
      <c r="D33" s="92">
        <v>-2.99465241E-2</v>
      </c>
      <c r="E33" s="93">
        <v>244115635.12598738</v>
      </c>
      <c r="F33" s="35"/>
      <c r="G33" s="56" t="str">
        <f ca="1">IFERROR(OFFSET(INDIRECT($H$3 &amp; "!A98"), 2, 0), "")</f>
        <v>아이콘</v>
      </c>
      <c r="H33" s="39">
        <f t="shared" ca="1" si="7"/>
        <v>1185</v>
      </c>
      <c r="I33" s="77">
        <f t="shared" ca="1" si="8"/>
        <v>-7.7821011699999998E-2</v>
      </c>
      <c r="J33" s="86">
        <f t="shared" ca="1" si="13"/>
        <v>2723757.2591882101</v>
      </c>
      <c r="K33" s="56" t="str">
        <f ca="1">IFERROR(OFFSET(INDIRECT($H$3 &amp; "!A44"), 2, 0), "")</f>
        <v>리퍼리움</v>
      </c>
      <c r="L33" s="39">
        <f t="shared" ca="1" si="9"/>
        <v>9.56</v>
      </c>
      <c r="M33" s="77">
        <f t="shared" ca="1" si="10"/>
        <v>-7.1844660199999993E-2</v>
      </c>
      <c r="N33" s="86">
        <f t="shared" ca="1" si="14"/>
        <v>817273335.50967932</v>
      </c>
      <c r="O33" s="56" t="str">
        <f ca="1">IFERROR(OFFSET(INDIRECT($H$3 &amp; "!A71"), 2, 0), "")</f>
        <v>아르고</v>
      </c>
      <c r="P33" s="39">
        <f t="shared" ca="1" si="11"/>
        <v>170</v>
      </c>
      <c r="Q33" s="77">
        <f t="shared" ca="1" si="12"/>
        <v>1.19047619E-2</v>
      </c>
      <c r="R33" s="86">
        <f t="shared" ca="1" si="15"/>
        <v>87835585.324890509</v>
      </c>
    </row>
    <row r="34" spans="1:18">
      <c r="A34" s="40" t="s">
        <v>95</v>
      </c>
      <c r="B34" s="11" t="s">
        <v>96</v>
      </c>
      <c r="C34" s="95">
        <v>2851000</v>
      </c>
      <c r="D34" s="92">
        <v>-3.0272108799999999E-2</v>
      </c>
      <c r="E34" s="93">
        <v>54568.028141850002</v>
      </c>
      <c r="F34" s="35"/>
      <c r="G34" s="56" t="str">
        <f ca="1">IFERROR(OFFSET(INDIRECT($H$3 &amp; "!A98"), 3, 0), "")</f>
        <v>리퍼리움</v>
      </c>
      <c r="H34" s="39">
        <f t="shared" ca="1" si="7"/>
        <v>9.56</v>
      </c>
      <c r="I34" s="77">
        <f t="shared" ca="1" si="8"/>
        <v>-7.1844660199999993E-2</v>
      </c>
      <c r="J34" s="86">
        <f t="shared" ca="1" si="13"/>
        <v>817273335.50967932</v>
      </c>
      <c r="K34" s="56" t="str">
        <f ca="1">IFERROR(OFFSET(INDIRECT($H$3 &amp; "!A44"), 3, 0), "")</f>
        <v>무비블록</v>
      </c>
      <c r="L34" s="39">
        <f t="shared" ca="1" si="9"/>
        <v>8.19</v>
      </c>
      <c r="M34" s="77">
        <f t="shared" ca="1" si="10"/>
        <v>-4.65657742E-2</v>
      </c>
      <c r="N34" s="86">
        <f t="shared" ca="1" si="14"/>
        <v>2299902317.8079996</v>
      </c>
      <c r="O34" s="56" t="str">
        <f ca="1">IFERROR(OFFSET(INDIRECT($H$3 &amp; "!A71"), 3, 0), "")</f>
        <v>왁스</v>
      </c>
      <c r="P34" s="39">
        <f t="shared" ca="1" si="11"/>
        <v>143</v>
      </c>
      <c r="Q34" s="77">
        <f t="shared" ca="1" si="12"/>
        <v>-4.6666666699999998E-2</v>
      </c>
      <c r="R34" s="86">
        <f t="shared" ca="1" si="15"/>
        <v>9151930.9615261108</v>
      </c>
    </row>
    <row r="35" spans="1:18">
      <c r="A35" s="40" t="s">
        <v>97</v>
      </c>
      <c r="B35" s="11" t="s">
        <v>98</v>
      </c>
      <c r="C35" s="95">
        <v>3675</v>
      </c>
      <c r="D35" s="92">
        <v>-3.03430079E-2</v>
      </c>
      <c r="E35" s="93">
        <v>951979.99727220996</v>
      </c>
      <c r="F35" s="35"/>
      <c r="G35" s="58" t="str">
        <f ca="1">IFERROR(OFFSET(INDIRECT($H$3 &amp; "!A98"), 4, 0), "")</f>
        <v>무비블록</v>
      </c>
      <c r="H35" s="44">
        <f t="shared" ca="1" si="7"/>
        <v>8.19</v>
      </c>
      <c r="I35" s="78">
        <f t="shared" ca="1" si="8"/>
        <v>-4.65657742E-2</v>
      </c>
      <c r="J35" s="90">
        <f t="shared" ca="1" si="13"/>
        <v>2299902317.8079996</v>
      </c>
      <c r="K35" s="58" t="str">
        <f ca="1">IFERROR(OFFSET(INDIRECT($H$3 &amp; "!A44"), 4, 0), "")</f>
        <v>아하토큰</v>
      </c>
      <c r="L35" s="44">
        <f t="shared" ca="1" si="9"/>
        <v>8.49</v>
      </c>
      <c r="M35" s="78">
        <f t="shared" ca="1" si="10"/>
        <v>-6.7032966999999999E-2</v>
      </c>
      <c r="N35" s="90">
        <f t="shared" ca="1" si="14"/>
        <v>401818314.41871303</v>
      </c>
      <c r="O35" s="58" t="str">
        <f ca="1">IFERROR(OFFSET(INDIRECT($H$3 &amp; "!A71"), 4, 0), "")</f>
        <v>베이직어텐션토큰</v>
      </c>
      <c r="P35" s="44">
        <f t="shared" ca="1" si="11"/>
        <v>770</v>
      </c>
      <c r="Q35" s="78">
        <f t="shared" ca="1" si="12"/>
        <v>-3.2663316599999999E-2</v>
      </c>
      <c r="R35" s="90">
        <f t="shared" ca="1" si="15"/>
        <v>2339508.7167112101</v>
      </c>
    </row>
    <row r="36" spans="1:18">
      <c r="A36" s="40" t="s">
        <v>131</v>
      </c>
      <c r="B36" s="11" t="s">
        <v>132</v>
      </c>
      <c r="C36" s="95">
        <v>125</v>
      </c>
      <c r="D36" s="92">
        <v>-3.1007751900000002E-2</v>
      </c>
      <c r="E36" s="93">
        <v>266866996.23858052</v>
      </c>
      <c r="F36" s="35"/>
      <c r="G36" s="56" t="str">
        <f ca="1">IFERROR(OFFSET(INDIRECT($H$3 &amp; "!A98"), 5, 0), "")</f>
        <v>아하토큰</v>
      </c>
      <c r="H36" s="39">
        <f t="shared" ca="1" si="7"/>
        <v>8.49</v>
      </c>
      <c r="I36" s="77">
        <f t="shared" ca="1" si="8"/>
        <v>-6.7032966999999999E-2</v>
      </c>
      <c r="J36" s="99">
        <f t="shared" ca="1" si="13"/>
        <v>401818314.41871303</v>
      </c>
      <c r="K36" s="56" t="str">
        <f ca="1">IFERROR(OFFSET(INDIRECT($H$3 &amp; "!A44"), 5, 0), "")</f>
        <v>썬더토큰</v>
      </c>
      <c r="L36" s="39">
        <f t="shared" ca="1" si="9"/>
        <v>8.69</v>
      </c>
      <c r="M36" s="77">
        <f t="shared" ca="1" si="10"/>
        <v>-4.4004400399999997E-2</v>
      </c>
      <c r="N36" s="99">
        <f t="shared" ca="1" si="14"/>
        <v>1210465113.7851038</v>
      </c>
      <c r="O36" s="56" t="str">
        <f ca="1">IFERROR(OFFSET(INDIRECT($H$3 &amp; "!A71"), 5, 0), "")</f>
        <v>디카르고</v>
      </c>
      <c r="P36" s="39">
        <f t="shared" ca="1" si="11"/>
        <v>131</v>
      </c>
      <c r="Q36" s="77">
        <f t="shared" ca="1" si="12"/>
        <v>-5.75539568E-2</v>
      </c>
      <c r="R36" s="99">
        <f t="shared" ca="1" si="15"/>
        <v>484356217.22101432</v>
      </c>
    </row>
    <row r="37" spans="1:18">
      <c r="A37" s="40" t="s">
        <v>129</v>
      </c>
      <c r="B37" s="11" t="s">
        <v>130</v>
      </c>
      <c r="C37" s="95">
        <v>196000</v>
      </c>
      <c r="D37" s="92">
        <v>-3.1381270099999997E-2</v>
      </c>
      <c r="E37" s="93">
        <v>44345.91030068</v>
      </c>
      <c r="F37" s="35"/>
      <c r="G37" s="56" t="str">
        <f ca="1">IFERROR(OFFSET(INDIRECT($H$3 &amp; "!A98"), 6, 0), "")</f>
        <v>보라</v>
      </c>
      <c r="H37" s="39">
        <f t="shared" ca="1" si="7"/>
        <v>122</v>
      </c>
      <c r="I37" s="77">
        <f t="shared" ca="1" si="8"/>
        <v>-6.1538461500000002E-2</v>
      </c>
      <c r="J37" s="86">
        <f t="shared" ca="1" si="13"/>
        <v>165737859.54426</v>
      </c>
      <c r="K37" s="56" t="str">
        <f ca="1">IFERROR(OFFSET(INDIRECT($H$3 &amp; "!A44"), 6, 0), "")</f>
        <v>이그니스</v>
      </c>
      <c r="L37" s="39">
        <f t="shared" ca="1" si="9"/>
        <v>54.3</v>
      </c>
      <c r="M37" s="77">
        <f t="shared" ca="1" si="10"/>
        <v>-0.20960698689999999</v>
      </c>
      <c r="N37" s="86">
        <f t="shared" ca="1" si="14"/>
        <v>85666052.47430554</v>
      </c>
      <c r="O37" s="56" t="str">
        <f ca="1">IFERROR(OFFSET(INDIRECT($H$3 &amp; "!A71"), 6, 0), "")</f>
        <v>아인스타이늄</v>
      </c>
      <c r="P37" s="39">
        <f t="shared" ca="1" si="11"/>
        <v>98.4</v>
      </c>
      <c r="Q37" s="77">
        <f t="shared" ca="1" si="12"/>
        <v>-0.21279999999999999</v>
      </c>
      <c r="R37" s="86">
        <f t="shared" ca="1" si="15"/>
        <v>38263767.564725444</v>
      </c>
    </row>
    <row r="38" spans="1:18">
      <c r="A38" s="40" t="s">
        <v>205</v>
      </c>
      <c r="B38" s="11" t="s">
        <v>206</v>
      </c>
      <c r="C38" s="95">
        <v>13810</v>
      </c>
      <c r="D38" s="92">
        <v>-3.2235459000000001E-2</v>
      </c>
      <c r="E38" s="93">
        <v>457248.12896350003</v>
      </c>
      <c r="F38" s="35"/>
      <c r="G38" s="56" t="str">
        <f ca="1">IFERROR(OFFSET(INDIRECT($H$3 &amp; "!A98"), 7, 0), "")</f>
        <v>썬더토큰</v>
      </c>
      <c r="H38" s="39">
        <f t="shared" ca="1" si="7"/>
        <v>8.69</v>
      </c>
      <c r="I38" s="77">
        <f t="shared" ca="1" si="8"/>
        <v>-4.4004400399999997E-2</v>
      </c>
      <c r="J38" s="86">
        <f t="shared" ca="1" si="13"/>
        <v>1210465113.7851038</v>
      </c>
      <c r="K38" s="56" t="str">
        <f ca="1">IFERROR(OFFSET(INDIRECT($H$3 &amp; "!A44"), 7, 0), "")</f>
        <v>캐리프로토콜</v>
      </c>
      <c r="L38" s="39">
        <f t="shared" ca="1" si="9"/>
        <v>8.6199999999999992</v>
      </c>
      <c r="M38" s="77">
        <f t="shared" ca="1" si="10"/>
        <v>-5.6892778999999997E-2</v>
      </c>
      <c r="N38" s="86">
        <f t="shared" ca="1" si="14"/>
        <v>1076018044.8153782</v>
      </c>
      <c r="O38" s="56" t="str">
        <f ca="1">IFERROR(OFFSET(INDIRECT($H$3 &amp; "!A71"), 7, 0), "")</f>
        <v>칠리즈</v>
      </c>
      <c r="P38" s="39">
        <f t="shared" ca="1" si="11"/>
        <v>394</v>
      </c>
      <c r="Q38" s="77">
        <f t="shared" ca="1" si="12"/>
        <v>3.4120734899999998E-2</v>
      </c>
      <c r="R38" s="86">
        <f t="shared" ca="1" si="15"/>
        <v>586858868.92043281</v>
      </c>
    </row>
    <row r="39" spans="1:18">
      <c r="A39" s="40" t="s">
        <v>79</v>
      </c>
      <c r="B39" s="11" t="s">
        <v>80</v>
      </c>
      <c r="C39" s="95">
        <v>770</v>
      </c>
      <c r="D39" s="92">
        <v>-3.2663316599999999E-2</v>
      </c>
      <c r="E39" s="93">
        <v>2339508.7167112101</v>
      </c>
      <c r="F39" s="35"/>
      <c r="G39" s="56" t="str">
        <f ca="1">IFERROR(OFFSET(INDIRECT($H$3 &amp; "!A98"), 8, 0), "")</f>
        <v>이그니스</v>
      </c>
      <c r="H39" s="39">
        <f t="shared" ca="1" si="7"/>
        <v>54.3</v>
      </c>
      <c r="I39" s="77">
        <f t="shared" ca="1" si="8"/>
        <v>-0.20960698689999999</v>
      </c>
      <c r="J39" s="86">
        <f t="shared" ca="1" si="13"/>
        <v>85666052.47430554</v>
      </c>
      <c r="K39" s="56" t="str">
        <f ca="1">IFERROR(OFFSET(INDIRECT($H$3 &amp; "!A44"), 8, 0), "")</f>
        <v>에스티피</v>
      </c>
      <c r="L39" s="39">
        <f t="shared" ca="1" si="9"/>
        <v>53.2</v>
      </c>
      <c r="M39" s="77">
        <f t="shared" ca="1" si="10"/>
        <v>-6.8301225899999998E-2</v>
      </c>
      <c r="N39" s="86">
        <f t="shared" ca="1" si="14"/>
        <v>124979328.91107576</v>
      </c>
      <c r="O39" s="56" t="str">
        <f ca="1">IFERROR(OFFSET(INDIRECT($H$3 &amp; "!A71"), 8, 0), "")</f>
        <v>비체인</v>
      </c>
      <c r="P39" s="39">
        <f t="shared" ca="1" si="11"/>
        <v>125</v>
      </c>
      <c r="Q39" s="77">
        <f t="shared" ca="1" si="12"/>
        <v>-3.1007751900000002E-2</v>
      </c>
      <c r="R39" s="86">
        <f t="shared" ca="1" si="15"/>
        <v>266866996.23858052</v>
      </c>
    </row>
    <row r="40" spans="1:18" ht="17.25" thickBot="1">
      <c r="A40" s="40" t="s">
        <v>68</v>
      </c>
      <c r="B40" s="11" t="s">
        <v>69</v>
      </c>
      <c r="C40" s="95">
        <v>4860</v>
      </c>
      <c r="D40" s="92">
        <v>-3.28358209E-2</v>
      </c>
      <c r="E40" s="93">
        <v>1969483.23795676</v>
      </c>
      <c r="F40" s="35"/>
      <c r="G40" s="57" t="str">
        <f ca="1">IFERROR(OFFSET(INDIRECT($H$3 &amp; "!A98"), 9, 0), "")</f>
        <v>헤데라해시그래프</v>
      </c>
      <c r="H40" s="37">
        <f t="shared" ca="1" si="7"/>
        <v>231</v>
      </c>
      <c r="I40" s="79">
        <f t="shared" ca="1" si="8"/>
        <v>-5.71428571E-2</v>
      </c>
      <c r="J40" s="87">
        <f t="shared" ca="1" si="13"/>
        <v>19569561.713297289</v>
      </c>
      <c r="K40" s="57" t="str">
        <f ca="1">IFERROR(OFFSET(INDIRECT($H$3 &amp; "!A44"), 9, 0), "")</f>
        <v>트웰브쉽스</v>
      </c>
      <c r="L40" s="37">
        <f t="shared" ca="1" si="9"/>
        <v>4.7300000000000004</v>
      </c>
      <c r="M40" s="79">
        <f t="shared" ca="1" si="10"/>
        <v>-0.18588640279999999</v>
      </c>
      <c r="N40" s="87">
        <f t="shared" ca="1" si="14"/>
        <v>1703910420.1838396</v>
      </c>
      <c r="O40" s="57" t="str">
        <f ca="1">IFERROR(OFFSET(INDIRECT($H$3 &amp; "!A71"), 9, 0), "")</f>
        <v>질리카</v>
      </c>
      <c r="P40" s="37">
        <f t="shared" ca="1" si="11"/>
        <v>123</v>
      </c>
      <c r="Q40" s="79">
        <f t="shared" ca="1" si="12"/>
        <v>-8.0645161000000003E-3</v>
      </c>
      <c r="R40" s="87">
        <f t="shared" ca="1" si="15"/>
        <v>40047951.58945179</v>
      </c>
    </row>
    <row r="41" spans="1:18">
      <c r="A41" s="40" t="s">
        <v>115</v>
      </c>
      <c r="B41" s="11" t="s">
        <v>116</v>
      </c>
      <c r="C41" s="95">
        <v>320</v>
      </c>
      <c r="D41" s="92">
        <v>-3.3232628399999999E-2</v>
      </c>
      <c r="E41" s="93">
        <v>25631083.486139901</v>
      </c>
      <c r="F41" s="35"/>
      <c r="G41" s="59" t="str">
        <f ca="1">IFERROR(OFFSET(INDIRECT($H$3 &amp; "!A98"), 10, 0), "")</f>
        <v>캐리프로토콜</v>
      </c>
      <c r="H41" s="38">
        <f t="shared" ca="1" si="7"/>
        <v>8.6199999999999992</v>
      </c>
      <c r="I41" s="76">
        <f t="shared" ca="1" si="8"/>
        <v>-5.6892778999999997E-2</v>
      </c>
      <c r="J41" s="85">
        <f t="shared" ca="1" si="13"/>
        <v>1076018044.8153782</v>
      </c>
      <c r="K41" s="55" t="str">
        <f ca="1">IFERROR(OFFSET(INDIRECT($H$3 &amp; "!A44"), 10, 0), "")</f>
        <v>픽셀</v>
      </c>
      <c r="L41" s="38">
        <f t="shared" ca="1" si="9"/>
        <v>23.8</v>
      </c>
      <c r="M41" s="76">
        <f t="shared" ca="1" si="10"/>
        <v>-0.15</v>
      </c>
      <c r="N41" s="85">
        <f t="shared" ca="1" si="14"/>
        <v>222991212.08902317</v>
      </c>
      <c r="O41" s="55" t="str">
        <f ca="1">IFERROR(OFFSET(INDIRECT($H$3 &amp; "!A71"), 10, 0), "")</f>
        <v>골렘</v>
      </c>
      <c r="P41" s="38">
        <f t="shared" ca="1" si="11"/>
        <v>329</v>
      </c>
      <c r="Q41" s="76">
        <f t="shared" ca="1" si="12"/>
        <v>-4.08163265E-2</v>
      </c>
      <c r="R41" s="85">
        <f t="shared" ca="1" si="15"/>
        <v>1161126.1705569299</v>
      </c>
    </row>
    <row r="42" spans="1:18">
      <c r="A42" s="40" t="s">
        <v>77</v>
      </c>
      <c r="B42" s="11" t="s">
        <v>78</v>
      </c>
      <c r="C42" s="95">
        <v>701100</v>
      </c>
      <c r="D42" s="92">
        <v>-3.3365503900000003E-2</v>
      </c>
      <c r="E42" s="93">
        <v>15586.134573310001</v>
      </c>
      <c r="F42" s="35"/>
      <c r="G42" s="56" t="str">
        <f ca="1">IFERROR(OFFSET(INDIRECT($H$3 &amp; "!A98"), 11, 0), "")</f>
        <v>에스티피</v>
      </c>
      <c r="H42" s="39">
        <f t="shared" ca="1" si="7"/>
        <v>53.2</v>
      </c>
      <c r="I42" s="77">
        <f t="shared" ca="1" si="8"/>
        <v>-6.8301225899999998E-2</v>
      </c>
      <c r="J42" s="86">
        <f t="shared" ca="1" si="13"/>
        <v>124979328.91107576</v>
      </c>
      <c r="K42" s="56" t="str">
        <f ca="1">IFERROR(OFFSET(INDIRECT($H$3 &amp; "!A44"), 11, 0), "")</f>
        <v>람다</v>
      </c>
      <c r="L42" s="39">
        <f t="shared" ca="1" si="9"/>
        <v>26.4</v>
      </c>
      <c r="M42" s="77">
        <f t="shared" ca="1" si="10"/>
        <v>-0.18518518519999999</v>
      </c>
      <c r="N42" s="86">
        <f t="shared" ca="1" si="14"/>
        <v>159778012.81956238</v>
      </c>
      <c r="O42" s="56" t="str">
        <f ca="1">IFERROR(OFFSET(INDIRECT($H$3 &amp; "!A71"), 11, 0), "")</f>
        <v>넴</v>
      </c>
      <c r="P42" s="39">
        <f t="shared" ca="1" si="11"/>
        <v>194</v>
      </c>
      <c r="Q42" s="77">
        <f t="shared" ca="1" si="12"/>
        <v>-4.4334975399999997E-2</v>
      </c>
      <c r="R42" s="86">
        <f t="shared" ca="1" si="15"/>
        <v>33690224.69887922</v>
      </c>
    </row>
    <row r="43" spans="1:18">
      <c r="A43" s="40" t="s">
        <v>75</v>
      </c>
      <c r="B43" s="11" t="s">
        <v>76</v>
      </c>
      <c r="C43" s="95">
        <v>27340</v>
      </c>
      <c r="D43" s="92">
        <v>-3.3580770599999997E-2</v>
      </c>
      <c r="E43" s="93">
        <v>572313.57733350003</v>
      </c>
      <c r="F43" s="35"/>
      <c r="G43" s="56" t="str">
        <f ca="1">IFERROR(OFFSET(INDIRECT($H$3 &amp; "!A98"), 12, 0), "")</f>
        <v>아르고</v>
      </c>
      <c r="H43" s="39">
        <f t="shared" ca="1" si="7"/>
        <v>170</v>
      </c>
      <c r="I43" s="77">
        <f t="shared" ca="1" si="8"/>
        <v>1.19047619E-2</v>
      </c>
      <c r="J43" s="86">
        <f t="shared" ca="1" si="13"/>
        <v>87835585.324890509</v>
      </c>
      <c r="K43" s="56" t="str">
        <f ca="1">IFERROR(OFFSET(INDIRECT($H$3 &amp; "!A44"), 12, 0), "")</f>
        <v>메디블록</v>
      </c>
      <c r="L43" s="39">
        <f t="shared" ca="1" si="9"/>
        <v>54.8</v>
      </c>
      <c r="M43" s="77">
        <f t="shared" ca="1" si="10"/>
        <v>-7.1186440700000006E-2</v>
      </c>
      <c r="N43" s="86">
        <f t="shared" ca="1" si="14"/>
        <v>186438446.76060143</v>
      </c>
      <c r="O43" s="56" t="str">
        <f ca="1">IFERROR(OFFSET(INDIRECT($H$3 &amp; "!A71"), 12, 0), "")</f>
        <v>엘프</v>
      </c>
      <c r="P43" s="39">
        <f t="shared" ca="1" si="11"/>
        <v>241</v>
      </c>
      <c r="Q43" s="77">
        <f t="shared" ca="1" si="12"/>
        <v>-4.743083E-2</v>
      </c>
      <c r="R43" s="86">
        <f t="shared" ca="1" si="15"/>
        <v>20069224.687385269</v>
      </c>
    </row>
    <row r="44" spans="1:18">
      <c r="A44" s="40" t="s">
        <v>85</v>
      </c>
      <c r="B44" s="11" t="s">
        <v>86</v>
      </c>
      <c r="C44" s="95">
        <v>5780</v>
      </c>
      <c r="D44" s="92">
        <v>-3.4252297399999999E-2</v>
      </c>
      <c r="E44" s="93">
        <v>4843691.1915423898</v>
      </c>
      <c r="F44" s="35"/>
      <c r="G44" s="56" t="str">
        <f ca="1">IFERROR(OFFSET(INDIRECT($H$3 &amp; "!A98"), 13, 0), "")</f>
        <v>트웰브쉽스</v>
      </c>
      <c r="H44" s="39">
        <f t="shared" ca="1" si="7"/>
        <v>4.7300000000000004</v>
      </c>
      <c r="I44" s="77">
        <f t="shared" ca="1" si="8"/>
        <v>-0.18588640279999999</v>
      </c>
      <c r="J44" s="86">
        <f t="shared" ca="1" si="13"/>
        <v>1703910420.1838396</v>
      </c>
      <c r="K44" s="56" t="str">
        <f ca="1">IFERROR(OFFSET(INDIRECT($H$3 &amp; "!A44"), 13, 0), "")</f>
        <v>퀴즈톡</v>
      </c>
      <c r="L44" s="39">
        <f t="shared" ca="1" si="9"/>
        <v>19.600000000000001</v>
      </c>
      <c r="M44" s="77">
        <f t="shared" ca="1" si="10"/>
        <v>-0.19008264459999999</v>
      </c>
      <c r="N44" s="86">
        <f t="shared" ca="1" si="14"/>
        <v>253377870.37290585</v>
      </c>
      <c r="O44" s="56" t="str">
        <f ca="1">IFERROR(OFFSET(INDIRECT($H$3 &amp; "!A71"), 13, 0), "")</f>
        <v>파워렛저</v>
      </c>
      <c r="P44" s="39">
        <f t="shared" ca="1" si="11"/>
        <v>227</v>
      </c>
      <c r="Q44" s="77">
        <f t="shared" ca="1" si="12"/>
        <v>-5.4166666699999998E-2</v>
      </c>
      <c r="R44" s="86">
        <f t="shared" ca="1" si="15"/>
        <v>5212931.8253209302</v>
      </c>
    </row>
    <row r="45" spans="1:18">
      <c r="A45" s="40" t="s">
        <v>62</v>
      </c>
      <c r="B45" s="11" t="s">
        <v>63</v>
      </c>
      <c r="C45" s="95">
        <v>55940</v>
      </c>
      <c r="D45" s="92">
        <v>-3.4351803899999998E-2</v>
      </c>
      <c r="E45" s="93">
        <v>172156.98602565</v>
      </c>
      <c r="F45" s="35"/>
      <c r="G45" s="58" t="str">
        <f ca="1">IFERROR(OFFSET(INDIRECT($H$3 &amp; "!A98"), 14, 0), "")</f>
        <v>픽셀</v>
      </c>
      <c r="H45" s="44">
        <f t="shared" ca="1" si="7"/>
        <v>23.8</v>
      </c>
      <c r="I45" s="78">
        <f t="shared" ca="1" si="8"/>
        <v>-0.15</v>
      </c>
      <c r="J45" s="90">
        <f t="shared" ca="1" si="13"/>
        <v>222991212.08902317</v>
      </c>
      <c r="K45" s="58" t="str">
        <f ca="1">IFERROR(OFFSET(INDIRECT($H$3 &amp; "!A44"), 14, 0), "")</f>
        <v>피르마체인</v>
      </c>
      <c r="L45" s="44">
        <f t="shared" ca="1" si="9"/>
        <v>88</v>
      </c>
      <c r="M45" s="78">
        <f t="shared" ca="1" si="10"/>
        <v>-2.2222222199999999E-2</v>
      </c>
      <c r="N45" s="90">
        <f t="shared" ca="1" si="14"/>
        <v>274360993.06719381</v>
      </c>
      <c r="O45" s="58" t="str">
        <f ca="1">IFERROR(OFFSET(INDIRECT($H$3 &amp; "!A71"), 14, 0), "")</f>
        <v>디센트럴랜드</v>
      </c>
      <c r="P45" s="44">
        <f t="shared" ca="1" si="11"/>
        <v>807</v>
      </c>
      <c r="Q45" s="78">
        <f t="shared" ca="1" si="12"/>
        <v>-1.8248175200000001E-2</v>
      </c>
      <c r="R45" s="90">
        <f t="shared" ca="1" si="15"/>
        <v>28064698.298678119</v>
      </c>
    </row>
    <row r="46" spans="1:18">
      <c r="A46" s="40" t="s">
        <v>107</v>
      </c>
      <c r="B46" s="11" t="s">
        <v>108</v>
      </c>
      <c r="C46" s="95">
        <v>28960</v>
      </c>
      <c r="D46" s="92">
        <v>-3.4666666700000001E-2</v>
      </c>
      <c r="E46" s="93">
        <v>135462.74993761</v>
      </c>
      <c r="F46" s="35"/>
      <c r="G46" s="56" t="str">
        <f ca="1">IFERROR(OFFSET(INDIRECT($H$3 &amp; "!A98"), 15, 0), "")</f>
        <v>왁스</v>
      </c>
      <c r="H46" s="39">
        <f t="shared" ca="1" si="7"/>
        <v>143</v>
      </c>
      <c r="I46" s="77">
        <f t="shared" ca="1" si="8"/>
        <v>-4.6666666699999998E-2</v>
      </c>
      <c r="J46" s="99">
        <f t="shared" ca="1" si="13"/>
        <v>9151930.9615261108</v>
      </c>
      <c r="K46" s="56" t="str">
        <f ca="1">IFERROR(OFFSET(INDIRECT($H$3 &amp; "!A44"), 15, 0), "")</f>
        <v>엔도르</v>
      </c>
      <c r="L46" s="39">
        <f t="shared" ca="1" si="9"/>
        <v>17.5</v>
      </c>
      <c r="M46" s="77">
        <f t="shared" ca="1" si="10"/>
        <v>-0.20091324199999999</v>
      </c>
      <c r="N46" s="99">
        <f t="shared" ca="1" si="14"/>
        <v>339808539.09258568</v>
      </c>
      <c r="O46" s="56" t="str">
        <f ca="1">IFERROR(OFFSET(INDIRECT($H$3 &amp; "!A71"), 15, 0), "")</f>
        <v>도지코인</v>
      </c>
      <c r="P46" s="39">
        <f t="shared" ca="1" si="11"/>
        <v>360</v>
      </c>
      <c r="Q46" s="77">
        <f t="shared" ca="1" si="12"/>
        <v>-2.4390243900000001E-2</v>
      </c>
      <c r="R46" s="99">
        <f t="shared" ca="1" si="15"/>
        <v>237132598.57343888</v>
      </c>
    </row>
    <row r="47" spans="1:18">
      <c r="A47" s="40" t="s">
        <v>101</v>
      </c>
      <c r="B47" s="11" t="s">
        <v>102</v>
      </c>
      <c r="C47" s="95">
        <v>64870</v>
      </c>
      <c r="D47" s="92">
        <v>-3.4672619000000002E-2</v>
      </c>
      <c r="E47" s="93">
        <v>1041220.68468701</v>
      </c>
      <c r="F47" s="35"/>
      <c r="G47" s="56" t="str">
        <f ca="1">IFERROR(OFFSET(INDIRECT($H$3 &amp; "!A98"), 16, 0), "")</f>
        <v>웨이브</v>
      </c>
      <c r="H47" s="39">
        <f t="shared" ca="1" si="7"/>
        <v>18870</v>
      </c>
      <c r="I47" s="77">
        <f t="shared" ca="1" si="8"/>
        <v>-1.5649452300000002E-2</v>
      </c>
      <c r="J47" s="86">
        <f t="shared" ca="1" si="13"/>
        <v>811594.92478308</v>
      </c>
      <c r="K47" s="56" t="str">
        <f ca="1">IFERROR(OFFSET(INDIRECT($H$3 &amp; "!A44"), 16, 0), "")</f>
        <v>솔브케어</v>
      </c>
      <c r="L47" s="39">
        <f t="shared" ca="1" si="9"/>
        <v>87.8</v>
      </c>
      <c r="M47" s="77">
        <f t="shared" ca="1" si="10"/>
        <v>-0.13069306929999999</v>
      </c>
      <c r="N47" s="86">
        <f t="shared" ca="1" si="14"/>
        <v>26482306.830114309</v>
      </c>
      <c r="O47" s="56" t="str">
        <f ca="1">IFERROR(OFFSET(INDIRECT($H$3 &amp; "!A71"), 16, 0), "")</f>
        <v>헌트</v>
      </c>
      <c r="P47" s="39">
        <f t="shared" ca="1" si="11"/>
        <v>250</v>
      </c>
      <c r="Q47" s="77">
        <f t="shared" ca="1" si="12"/>
        <v>-4.9429657799999999E-2</v>
      </c>
      <c r="R47" s="86">
        <f t="shared" ca="1" si="15"/>
        <v>18424549.210683171</v>
      </c>
    </row>
    <row r="48" spans="1:18">
      <c r="A48" s="40" t="s">
        <v>203</v>
      </c>
      <c r="B48" s="11" t="s">
        <v>204</v>
      </c>
      <c r="C48" s="95">
        <v>2975</v>
      </c>
      <c r="D48" s="92">
        <v>-3.5656401900000002E-2</v>
      </c>
      <c r="E48" s="93">
        <v>8079115.2864871798</v>
      </c>
      <c r="F48" s="35"/>
      <c r="G48" s="56" t="str">
        <f ca="1">IFERROR(OFFSET(INDIRECT($H$3 &amp; "!A98"), 17, 0), "")</f>
        <v>베이직어텐션토큰</v>
      </c>
      <c r="H48" s="39">
        <f t="shared" ca="1" si="7"/>
        <v>770</v>
      </c>
      <c r="I48" s="77">
        <f t="shared" ca="1" si="8"/>
        <v>-3.2663316599999999E-2</v>
      </c>
      <c r="J48" s="86">
        <f t="shared" ca="1" si="13"/>
        <v>2339508.7167112101</v>
      </c>
      <c r="K48" s="56" t="str">
        <f ca="1">IFERROR(OFFSET(INDIRECT($H$3 &amp; "!A44"), 17, 0), "")</f>
        <v>옵저버</v>
      </c>
      <c r="L48" s="39">
        <f t="shared" ca="1" si="9"/>
        <v>5.46</v>
      </c>
      <c r="M48" s="77">
        <f t="shared" ca="1" si="10"/>
        <v>-0.20408163269999999</v>
      </c>
      <c r="N48" s="86">
        <f t="shared" ca="1" si="14"/>
        <v>986886398.35607469</v>
      </c>
      <c r="O48" s="56" t="str">
        <f ca="1">IFERROR(OFFSET(INDIRECT($H$3 &amp; "!A71"), 17, 0), "")</f>
        <v>하이브</v>
      </c>
      <c r="P48" s="39">
        <f t="shared" ca="1" si="11"/>
        <v>399</v>
      </c>
      <c r="Q48" s="77">
        <f t="shared" ca="1" si="12"/>
        <v>-0.05</v>
      </c>
      <c r="R48" s="86">
        <f t="shared" ca="1" si="15"/>
        <v>2904262.1594113801</v>
      </c>
    </row>
    <row r="49" spans="1:18">
      <c r="A49" s="40" t="s">
        <v>137</v>
      </c>
      <c r="B49" s="11" t="s">
        <v>138</v>
      </c>
      <c r="C49" s="95">
        <v>26670</v>
      </c>
      <c r="D49" s="92">
        <v>-3.7531577000000003E-2</v>
      </c>
      <c r="E49" s="93">
        <v>1350120.40679028</v>
      </c>
      <c r="F49" s="35"/>
      <c r="G49" s="56" t="str">
        <f ca="1">IFERROR(OFFSET(INDIRECT($H$3 &amp; "!A98"), 18, 0), "")</f>
        <v>람다</v>
      </c>
      <c r="H49" s="39">
        <f t="shared" ca="1" si="7"/>
        <v>26.4</v>
      </c>
      <c r="I49" s="77">
        <f t="shared" ca="1" si="8"/>
        <v>-0.18518518519999999</v>
      </c>
      <c r="J49" s="86">
        <f t="shared" ca="1" si="13"/>
        <v>159778012.81956238</v>
      </c>
      <c r="K49" s="56" t="str">
        <f ca="1">IFERROR(OFFSET(INDIRECT($H$3 &amp; "!A44"), 18, 0), "")</f>
        <v>트론</v>
      </c>
      <c r="L49" s="39">
        <f t="shared" ca="1" si="9"/>
        <v>81.2</v>
      </c>
      <c r="M49" s="77">
        <f t="shared" ca="1" si="10"/>
        <v>-2.1686746999999999E-2</v>
      </c>
      <c r="N49" s="86">
        <f t="shared" ca="1" si="14"/>
        <v>91928993.761296406</v>
      </c>
      <c r="O49" s="56" t="str">
        <f ca="1">IFERROR(OFFSET(INDIRECT($H$3 &amp; "!A71"), 18, 0), "")</f>
        <v>크립토닷컴체인</v>
      </c>
      <c r="P49" s="39">
        <f t="shared" ca="1" si="11"/>
        <v>137</v>
      </c>
      <c r="Q49" s="77">
        <f t="shared" ca="1" si="12"/>
        <v>1.4814814799999999E-2</v>
      </c>
      <c r="R49" s="86">
        <f t="shared" ca="1" si="15"/>
        <v>39312544.293046698</v>
      </c>
    </row>
    <row r="50" spans="1:18" ht="17.25" thickBot="1">
      <c r="A50" s="40" t="s">
        <v>145</v>
      </c>
      <c r="B50" s="11" t="s">
        <v>146</v>
      </c>
      <c r="C50" s="95">
        <v>8910</v>
      </c>
      <c r="D50" s="92">
        <v>-3.9353099699999998E-2</v>
      </c>
      <c r="E50" s="93">
        <v>377574.75845989998</v>
      </c>
      <c r="F50" s="35"/>
      <c r="G50" s="57" t="str">
        <f ca="1">IFERROR(OFFSET(INDIRECT($H$3 &amp; "!A98"), 19, 0), "")</f>
        <v>메디블록</v>
      </c>
      <c r="H50" s="37">
        <f t="shared" ca="1" si="7"/>
        <v>54.8</v>
      </c>
      <c r="I50" s="79">
        <f t="shared" ca="1" si="8"/>
        <v>-7.1186440700000006E-2</v>
      </c>
      <c r="J50" s="87">
        <f t="shared" ca="1" si="13"/>
        <v>186438446.76060143</v>
      </c>
      <c r="K50" s="57" t="str">
        <f ca="1">IFERROR(OFFSET(INDIRECT($H$3 &amp; "!A44"), 19, 0), "")</f>
        <v>저스트</v>
      </c>
      <c r="L50" s="37">
        <f t="shared" ca="1" si="9"/>
        <v>69.900000000000006</v>
      </c>
      <c r="M50" s="79">
        <f t="shared" ca="1" si="10"/>
        <v>-2.2377622400000002E-2</v>
      </c>
      <c r="N50" s="87">
        <f t="shared" ca="1" si="14"/>
        <v>13790700.367384341</v>
      </c>
      <c r="O50" s="57" t="str">
        <f ca="1">IFERROR(OFFSET(INDIRECT($H$3 &amp; "!A71"), 19, 0), "")</f>
        <v>플레이댑</v>
      </c>
      <c r="P50" s="37">
        <f t="shared" ca="1" si="11"/>
        <v>210</v>
      </c>
      <c r="Q50" s="79">
        <f t="shared" ca="1" si="12"/>
        <v>-5.82959641E-2</v>
      </c>
      <c r="R50" s="87">
        <f t="shared" ca="1" si="15"/>
        <v>13359506.11988187</v>
      </c>
    </row>
    <row r="51" spans="1:18">
      <c r="A51" s="40" t="s">
        <v>269</v>
      </c>
      <c r="B51" s="11" t="s">
        <v>270</v>
      </c>
      <c r="C51" s="95">
        <v>329</v>
      </c>
      <c r="D51" s="92">
        <v>-4.08163265E-2</v>
      </c>
      <c r="E51" s="93">
        <v>1161126.1705569299</v>
      </c>
      <c r="F51" s="35"/>
    </row>
    <row r="52" spans="1:18" ht="17.25" thickBot="1">
      <c r="A52" s="40" t="s">
        <v>64</v>
      </c>
      <c r="B52" s="11" t="s">
        <v>65</v>
      </c>
      <c r="C52" s="95">
        <v>32.200000000000003</v>
      </c>
      <c r="D52" s="92">
        <v>-4.16666667E-2</v>
      </c>
      <c r="E52" s="93">
        <v>68805240.309093013</v>
      </c>
      <c r="F52" s="35"/>
    </row>
    <row r="53" spans="1:18" ht="17.25" thickBot="1">
      <c r="A53" s="40" t="s">
        <v>271</v>
      </c>
      <c r="B53" s="11" t="s">
        <v>272</v>
      </c>
      <c r="C53" s="95">
        <v>1215</v>
      </c>
      <c r="D53" s="92">
        <v>-4.3307086600000003E-2</v>
      </c>
      <c r="E53" s="93">
        <v>1533997.03366166</v>
      </c>
      <c r="F53" s="35"/>
      <c r="G53" s="246" t="s">
        <v>285</v>
      </c>
      <c r="H53" s="247"/>
      <c r="I53" s="247"/>
      <c r="J53" s="248"/>
      <c r="K53" s="246" t="s">
        <v>288</v>
      </c>
      <c r="L53" s="247"/>
      <c r="M53" s="247"/>
      <c r="N53" s="248"/>
      <c r="O53" s="246" t="s">
        <v>289</v>
      </c>
      <c r="P53" s="247"/>
      <c r="Q53" s="247"/>
      <c r="R53" s="248"/>
    </row>
    <row r="54" spans="1:18" ht="17.25" thickBot="1">
      <c r="A54" s="40" t="s">
        <v>195</v>
      </c>
      <c r="B54" s="11" t="s">
        <v>196</v>
      </c>
      <c r="C54" s="95">
        <v>8.69</v>
      </c>
      <c r="D54" s="92">
        <v>-4.4004400399999997E-2</v>
      </c>
      <c r="E54" s="93">
        <v>1210465113.7851038</v>
      </c>
      <c r="F54" s="35"/>
      <c r="G54" s="283" t="s">
        <v>55</v>
      </c>
      <c r="H54" s="299">
        <f ca="1">NOW()</f>
        <v>44363.886320254627</v>
      </c>
      <c r="I54" s="300"/>
      <c r="J54" s="301"/>
      <c r="K54" s="298" t="s">
        <v>55</v>
      </c>
      <c r="L54" s="299">
        <f ca="1">NOW()</f>
        <v>44363.886320254627</v>
      </c>
      <c r="M54" s="300"/>
      <c r="N54" s="301"/>
      <c r="O54" s="298" t="s">
        <v>55</v>
      </c>
      <c r="P54" s="299">
        <f ca="1">NOW()</f>
        <v>44363.886320254627</v>
      </c>
      <c r="Q54" s="300"/>
      <c r="R54" s="301"/>
    </row>
    <row r="55" spans="1:18" ht="17.25" thickBot="1">
      <c r="A55" s="40" t="s">
        <v>139</v>
      </c>
      <c r="B55" s="11" t="s">
        <v>140</v>
      </c>
      <c r="C55" s="95">
        <v>2060</v>
      </c>
      <c r="D55" s="92">
        <v>-4.40835267E-2</v>
      </c>
      <c r="E55" s="93">
        <v>1301742.0924460499</v>
      </c>
      <c r="F55" s="35"/>
      <c r="G55" s="291"/>
      <c r="H55" s="36" t="s">
        <v>58</v>
      </c>
      <c r="I55" s="73" t="s">
        <v>59</v>
      </c>
      <c r="J55" s="69" t="s">
        <v>294</v>
      </c>
      <c r="K55" s="291"/>
      <c r="L55" s="36" t="s">
        <v>58</v>
      </c>
      <c r="M55" s="73" t="s">
        <v>59</v>
      </c>
      <c r="N55" s="69" t="s">
        <v>294</v>
      </c>
      <c r="O55" s="291"/>
      <c r="P55" s="36" t="s">
        <v>58</v>
      </c>
      <c r="Q55" s="73" t="s">
        <v>59</v>
      </c>
      <c r="R55" s="69" t="s">
        <v>294</v>
      </c>
    </row>
    <row r="56" spans="1:18">
      <c r="A56" s="40" t="s">
        <v>183</v>
      </c>
      <c r="B56" s="11" t="s">
        <v>184</v>
      </c>
      <c r="C56" s="95">
        <v>1295</v>
      </c>
      <c r="D56" s="92">
        <v>-4.42804428E-2</v>
      </c>
      <c r="E56" s="93">
        <v>827998.49233146</v>
      </c>
      <c r="F56" s="35"/>
      <c r="G56" s="55" t="str">
        <f ca="1">IFERROR(OFFSET(INDIRECT($H$3 &amp; "!A179"), 0, 0), "")</f>
        <v>코스모스</v>
      </c>
      <c r="H56" s="38">
        <f t="shared" ref="H56:H65" ca="1" si="16">_xlfn.IFNA(VLOOKUP(G56, $B$2:$D$200, 2, FALSE), "")</f>
        <v>14550</v>
      </c>
      <c r="I56" s="76">
        <f t="shared" ref="I56:I65" ca="1" si="17">_xlfn.IFNA(VLOOKUP(G56, $B$2:$D$200, 3, FALSE), "")</f>
        <v>-2.80561122E-2</v>
      </c>
      <c r="J56" s="85">
        <f ca="1">_xlfn.IFNA(VLOOKUP(G56, $B$2:$E$200, 4, FALSE), "")</f>
        <v>121211.69980846001</v>
      </c>
      <c r="K56" s="55" t="str">
        <f ca="1">IFERROR(OFFSET(INDIRECT($H$3 &amp; "!A125"), 0, 0), "")</f>
        <v>옵저버</v>
      </c>
      <c r="L56" s="38">
        <f t="shared" ref="L56:L75" ca="1" si="18">_xlfn.IFNA(VLOOKUP(K56, $B$2:$D$200, 2, FALSE), "")</f>
        <v>5.46</v>
      </c>
      <c r="M56" s="76">
        <f t="shared" ref="M56:M75" ca="1" si="19">_xlfn.IFNA(VLOOKUP(K56, $B$2:$D$200, 3, FALSE), "")</f>
        <v>-0.20408163269999999</v>
      </c>
      <c r="N56" s="85">
        <f ca="1">_xlfn.IFNA(VLOOKUP(K56, $B$2:$E$200, 4, FALSE), "")</f>
        <v>986886398.35607469</v>
      </c>
      <c r="O56" s="55" t="str">
        <f ca="1">IFERROR(OFFSET(INDIRECT($H$3 &amp; "!A152"), 0, 0), "")</f>
        <v>파워렛저</v>
      </c>
      <c r="P56" s="38">
        <f t="shared" ref="P56:P75" ca="1" si="20">_xlfn.IFNA(VLOOKUP(O56, $B$2:$D$200, 2, FALSE), "")</f>
        <v>227</v>
      </c>
      <c r="Q56" s="76">
        <f t="shared" ref="Q56:Q75" ca="1" si="21">_xlfn.IFNA(VLOOKUP(O56, $B$2:$D$200, 3, FALSE), "")</f>
        <v>-5.4166666699999998E-2</v>
      </c>
      <c r="R56" s="85">
        <f ca="1">_xlfn.IFNA(VLOOKUP(O56, $B$2:$E$200, 4, FALSE), "")</f>
        <v>5212931.8253209302</v>
      </c>
    </row>
    <row r="57" spans="1:18">
      <c r="A57" s="40" t="s">
        <v>56</v>
      </c>
      <c r="B57" s="11" t="s">
        <v>57</v>
      </c>
      <c r="C57" s="95">
        <v>194</v>
      </c>
      <c r="D57" s="92">
        <v>-4.4334975399999997E-2</v>
      </c>
      <c r="E57" s="93">
        <v>33690224.69887922</v>
      </c>
      <c r="F57" s="35"/>
      <c r="G57" s="56" t="str">
        <f ca="1">IFERROR(OFFSET(INDIRECT($H$3 &amp; "!A179"), 1, 0), "")</f>
        <v>시빅</v>
      </c>
      <c r="H57" s="39">
        <f t="shared" ca="1" si="16"/>
        <v>297</v>
      </c>
      <c r="I57" s="77">
        <f t="shared" ca="1" si="17"/>
        <v>-4.8076923100000002E-2</v>
      </c>
      <c r="J57" s="86">
        <f t="shared" ref="J57:J75" ca="1" si="22">_xlfn.IFNA(VLOOKUP(G57, $B$2:$E$200, 4, FALSE), "")</f>
        <v>5171402.7197357304</v>
      </c>
      <c r="K57" s="56" t="str">
        <f ca="1">IFERROR(OFFSET(INDIRECT($H$3 &amp; "!A125"), 1, 0), "")</f>
        <v>트론</v>
      </c>
      <c r="L57" s="39">
        <f t="shared" ca="1" si="18"/>
        <v>81.2</v>
      </c>
      <c r="M57" s="77">
        <f t="shared" ca="1" si="19"/>
        <v>-2.1686746999999999E-2</v>
      </c>
      <c r="N57" s="86">
        <f t="shared" ref="N57:N75" ca="1" si="23">_xlfn.IFNA(VLOOKUP(K57, $B$2:$E$200, 4, FALSE), "")</f>
        <v>91928993.761296406</v>
      </c>
      <c r="O57" s="56" t="str">
        <f ca="1">IFERROR(OFFSET(INDIRECT($H$3 &amp; "!A152"), 1, 0), "")</f>
        <v>디센트럴랜드</v>
      </c>
      <c r="P57" s="39">
        <f t="shared" ca="1" si="20"/>
        <v>807</v>
      </c>
      <c r="Q57" s="77">
        <f t="shared" ca="1" si="21"/>
        <v>-1.8248175200000001E-2</v>
      </c>
      <c r="R57" s="86">
        <f t="shared" ref="R57:R75" ca="1" si="24">_xlfn.IFNA(VLOOKUP(O57, $B$2:$E$200, 4, FALSE), "")</f>
        <v>28064698.298678119</v>
      </c>
    </row>
    <row r="58" spans="1:18">
      <c r="A58" s="40" t="s">
        <v>215</v>
      </c>
      <c r="B58" s="11" t="s">
        <v>216</v>
      </c>
      <c r="C58" s="95">
        <v>237</v>
      </c>
      <c r="D58" s="92">
        <v>-4.4354838700000003E-2</v>
      </c>
      <c r="E58" s="93">
        <v>10206210.205984071</v>
      </c>
      <c r="F58" s="35"/>
      <c r="G58" s="56" t="str">
        <f ca="1">IFERROR(OFFSET(INDIRECT($H$3 &amp; "!A179"), 2, 0), "")</f>
        <v>엔진코인</v>
      </c>
      <c r="H58" s="39">
        <f t="shared" ca="1" si="16"/>
        <v>1655</v>
      </c>
      <c r="I58" s="77">
        <f t="shared" ca="1" si="17"/>
        <v>1.8461538499999999E-2</v>
      </c>
      <c r="J58" s="86">
        <f t="shared" ca="1" si="22"/>
        <v>9934667.2848957796</v>
      </c>
      <c r="K58" s="56" t="str">
        <f ca="1">IFERROR(OFFSET(INDIRECT($H$3 &amp; "!A125"), 2, 0), "")</f>
        <v>저스트</v>
      </c>
      <c r="L58" s="39">
        <f t="shared" ca="1" si="18"/>
        <v>69.900000000000006</v>
      </c>
      <c r="M58" s="77">
        <f t="shared" ca="1" si="19"/>
        <v>-2.2377622400000002E-2</v>
      </c>
      <c r="N58" s="86">
        <f t="shared" ca="1" si="23"/>
        <v>13790700.367384341</v>
      </c>
      <c r="O58" s="56" t="str">
        <f ca="1">IFERROR(OFFSET(INDIRECT($H$3 &amp; "!A152"), 2, 0), "")</f>
        <v>도지코인</v>
      </c>
      <c r="P58" s="39">
        <f t="shared" ca="1" si="20"/>
        <v>360</v>
      </c>
      <c r="Q58" s="77">
        <f t="shared" ca="1" si="21"/>
        <v>-2.4390243900000001E-2</v>
      </c>
      <c r="R58" s="86">
        <f t="shared" ca="1" si="24"/>
        <v>237132598.57343888</v>
      </c>
    </row>
    <row r="59" spans="1:18">
      <c r="A59" s="40" t="s">
        <v>275</v>
      </c>
      <c r="B59" s="11" t="s">
        <v>276</v>
      </c>
      <c r="C59" s="95">
        <v>2430</v>
      </c>
      <c r="D59" s="92">
        <v>-4.51866405E-2</v>
      </c>
      <c r="E59" s="93">
        <v>2840597.1195313698</v>
      </c>
      <c r="F59" s="35"/>
      <c r="G59" s="56" t="str">
        <f ca="1">IFERROR(OFFSET(INDIRECT($H$3 &amp; "!A179"), 3, 0), "")</f>
        <v>아크</v>
      </c>
      <c r="H59" s="39">
        <f t="shared" ca="1" si="16"/>
        <v>1215</v>
      </c>
      <c r="I59" s="77">
        <f t="shared" ca="1" si="17"/>
        <v>-4.3307086600000003E-2</v>
      </c>
      <c r="J59" s="86">
        <f t="shared" ca="1" si="22"/>
        <v>1533997.03366166</v>
      </c>
      <c r="K59" s="56" t="str">
        <f ca="1">IFERROR(OFFSET(INDIRECT($H$3 &amp; "!A125"), 3, 0), "")</f>
        <v>휴먼스케이프</v>
      </c>
      <c r="L59" s="39">
        <f t="shared" ca="1" si="18"/>
        <v>90.7</v>
      </c>
      <c r="M59" s="77">
        <f t="shared" ca="1" si="19"/>
        <v>-2.99465241E-2</v>
      </c>
      <c r="N59" s="86">
        <f t="shared" ca="1" si="23"/>
        <v>244115635.12598738</v>
      </c>
      <c r="O59" s="56" t="str">
        <f ca="1">IFERROR(OFFSET(INDIRECT($H$3 &amp; "!A152"), 3, 0), "")</f>
        <v>헌트</v>
      </c>
      <c r="P59" s="39">
        <f t="shared" ca="1" si="20"/>
        <v>250</v>
      </c>
      <c r="Q59" s="77">
        <f t="shared" ca="1" si="21"/>
        <v>-4.9429657799999999E-2</v>
      </c>
      <c r="R59" s="86">
        <f t="shared" ca="1" si="24"/>
        <v>18424549.210683171</v>
      </c>
    </row>
    <row r="60" spans="1:18">
      <c r="A60" s="40" t="s">
        <v>179</v>
      </c>
      <c r="B60" s="11" t="s">
        <v>180</v>
      </c>
      <c r="C60" s="95">
        <v>2410</v>
      </c>
      <c r="D60" s="92">
        <v>-4.5544554500000001E-2</v>
      </c>
      <c r="E60" s="93">
        <v>2046837.02058181</v>
      </c>
      <c r="F60" s="35"/>
      <c r="G60" s="56" t="str">
        <f ca="1">IFERROR(OFFSET(INDIRECT($H$3 &amp; "!A179"), 4, 0), "")</f>
        <v>룸네트워크</v>
      </c>
      <c r="H60" s="39">
        <f t="shared" ca="1" si="16"/>
        <v>71.099999999999994</v>
      </c>
      <c r="I60" s="77">
        <f t="shared" ca="1" si="17"/>
        <v>-6.3241106699999994E-2</v>
      </c>
      <c r="J60" s="90">
        <f t="shared" ca="1" si="22"/>
        <v>42071191.683762006</v>
      </c>
      <c r="K60" s="58" t="str">
        <f ca="1">IFERROR(OFFSET(INDIRECT($H$3 &amp; "!A125"), 4, 0), "")</f>
        <v>오브스</v>
      </c>
      <c r="L60" s="44">
        <f t="shared" ca="1" si="18"/>
        <v>77.900000000000006</v>
      </c>
      <c r="M60" s="78">
        <f t="shared" ca="1" si="19"/>
        <v>-4.6511627899999998E-2</v>
      </c>
      <c r="N60" s="90">
        <f t="shared" ca="1" si="23"/>
        <v>44029136.411715008</v>
      </c>
      <c r="O60" s="58" t="str">
        <f ca="1">IFERROR(OFFSET(INDIRECT($H$3 &amp; "!A152"), 4, 0), "")</f>
        <v>하이브</v>
      </c>
      <c r="P60" s="44">
        <f t="shared" ca="1" si="20"/>
        <v>399</v>
      </c>
      <c r="Q60" s="78">
        <f t="shared" ca="1" si="21"/>
        <v>-0.05</v>
      </c>
      <c r="R60" s="90">
        <f t="shared" ca="1" si="24"/>
        <v>2904262.1594113801</v>
      </c>
    </row>
    <row r="61" spans="1:18">
      <c r="A61" s="40" t="s">
        <v>241</v>
      </c>
      <c r="B61" s="11" t="s">
        <v>242</v>
      </c>
      <c r="C61" s="95">
        <v>3345</v>
      </c>
      <c r="D61" s="92">
        <v>-4.5649072800000003E-2</v>
      </c>
      <c r="E61" s="93">
        <v>2580798.1050680298</v>
      </c>
      <c r="F61" s="35"/>
      <c r="G61" s="60" t="str">
        <f ca="1">IFERROR(OFFSET(INDIRECT($H$3 &amp; "!A179"), 5, 0), "")</f>
        <v>폴리매쓰</v>
      </c>
      <c r="H61" s="45">
        <f t="shared" ca="1" si="16"/>
        <v>237</v>
      </c>
      <c r="I61" s="80">
        <f t="shared" ca="1" si="17"/>
        <v>-4.4354838700000003E-2</v>
      </c>
      <c r="J61" s="99">
        <f t="shared" ca="1" si="22"/>
        <v>10206210.205984071</v>
      </c>
      <c r="K61" s="56" t="str">
        <f ca="1">IFERROR(OFFSET(INDIRECT($H$3 &amp; "!A125"), 5, 0), "")</f>
        <v>스톰엑스</v>
      </c>
      <c r="L61" s="39">
        <f t="shared" ca="1" si="18"/>
        <v>24.4</v>
      </c>
      <c r="M61" s="77">
        <f t="shared" ca="1" si="19"/>
        <v>-6.1538461500000002E-2</v>
      </c>
      <c r="N61" s="99">
        <f t="shared" ca="1" si="23"/>
        <v>123267327.2555742</v>
      </c>
      <c r="O61" s="56" t="str">
        <f ca="1">IFERROR(OFFSET(INDIRECT($H$3 &amp; "!A152"), 5, 0), "")</f>
        <v>크립토닷컴체인</v>
      </c>
      <c r="P61" s="39">
        <f t="shared" ca="1" si="20"/>
        <v>137</v>
      </c>
      <c r="Q61" s="77">
        <f t="shared" ca="1" si="21"/>
        <v>1.4814814799999999E-2</v>
      </c>
      <c r="R61" s="99">
        <f t="shared" ca="1" si="24"/>
        <v>39312544.293046698</v>
      </c>
    </row>
    <row r="62" spans="1:18">
      <c r="A62" s="40" t="s">
        <v>71</v>
      </c>
      <c r="B62" s="11" t="s">
        <v>72</v>
      </c>
      <c r="C62" s="95">
        <v>18.7</v>
      </c>
      <c r="D62" s="92">
        <v>-4.5918367299999999E-2</v>
      </c>
      <c r="E62" s="93">
        <v>256712984.40249464</v>
      </c>
      <c r="F62" s="35"/>
      <c r="G62" s="56" t="str">
        <f ca="1">IFERROR(OFFSET(INDIRECT($H$3 &amp; "!A179"), 6, 0), "")</f>
        <v>아더</v>
      </c>
      <c r="H62" s="39">
        <f t="shared" ca="1" si="16"/>
        <v>194</v>
      </c>
      <c r="I62" s="77">
        <f t="shared" ca="1" si="17"/>
        <v>-6.2801932399999996E-2</v>
      </c>
      <c r="J62" s="86">
        <f t="shared" ca="1" si="22"/>
        <v>8093047.5737750903</v>
      </c>
      <c r="K62" s="56" t="str">
        <f ca="1">IFERROR(OFFSET(INDIRECT($H$3 &amp; "!A125"), 6, 0), "")</f>
        <v>비트토렌트</v>
      </c>
      <c r="L62" s="39">
        <f t="shared" ca="1" si="18"/>
        <v>3.9</v>
      </c>
      <c r="M62" s="77">
        <f t="shared" ca="1" si="19"/>
        <v>-2.9850746300000001E-2</v>
      </c>
      <c r="N62" s="86">
        <f t="shared" ca="1" si="23"/>
        <v>5858865688.1369638</v>
      </c>
      <c r="O62" s="56" t="str">
        <f ca="1">IFERROR(OFFSET(INDIRECT($H$3 &amp; "!A152"), 6, 0), "")</f>
        <v>플레이댑</v>
      </c>
      <c r="P62" s="39">
        <f t="shared" ca="1" si="20"/>
        <v>210</v>
      </c>
      <c r="Q62" s="77">
        <f t="shared" ca="1" si="21"/>
        <v>-5.82959641E-2</v>
      </c>
      <c r="R62" s="86">
        <f t="shared" ca="1" si="24"/>
        <v>13359506.11988187</v>
      </c>
    </row>
    <row r="63" spans="1:18">
      <c r="A63" s="40" t="s">
        <v>133</v>
      </c>
      <c r="B63" s="11" t="s">
        <v>134</v>
      </c>
      <c r="C63" s="95">
        <v>77.900000000000006</v>
      </c>
      <c r="D63" s="92">
        <v>-4.6511627899999998E-2</v>
      </c>
      <c r="E63" s="93">
        <v>44029136.411715008</v>
      </c>
      <c r="F63" s="35"/>
      <c r="G63" s="56" t="str">
        <f ca="1">IFERROR(OFFSET(INDIRECT($H$3 &amp; "!A179"), 7, 0), "")</f>
        <v>마로</v>
      </c>
      <c r="H63" s="39">
        <f t="shared" ca="1" si="16"/>
        <v>88.9</v>
      </c>
      <c r="I63" s="77">
        <f t="shared" ca="1" si="17"/>
        <v>-0.18440366969999999</v>
      </c>
      <c r="J63" s="86">
        <f t="shared" ca="1" si="22"/>
        <v>123104099.17406885</v>
      </c>
      <c r="K63" s="56" t="str">
        <f ca="1">IFERROR(OFFSET(INDIRECT($H$3 &amp; "!A125"), 7, 0), "")</f>
        <v>시아코인</v>
      </c>
      <c r="L63" s="39">
        <f t="shared" ca="1" si="18"/>
        <v>17.7</v>
      </c>
      <c r="M63" s="77">
        <f t="shared" ca="1" si="19"/>
        <v>-4.8387096800000001E-2</v>
      </c>
      <c r="N63" s="86">
        <f t="shared" ca="1" si="23"/>
        <v>126978064.66528949</v>
      </c>
      <c r="O63" s="56" t="str">
        <f ca="1">IFERROR(OFFSET(INDIRECT($H$3 &amp; "!A152"), 7, 0), "")</f>
        <v>애드엑스</v>
      </c>
      <c r="P63" s="39">
        <f t="shared" ca="1" si="20"/>
        <v>789</v>
      </c>
      <c r="Q63" s="77">
        <f t="shared" ca="1" si="21"/>
        <v>-0.1281767956</v>
      </c>
      <c r="R63" s="86">
        <f t="shared" ca="1" si="24"/>
        <v>2479562.9575470402</v>
      </c>
    </row>
    <row r="64" spans="1:18">
      <c r="A64" s="40" t="s">
        <v>227</v>
      </c>
      <c r="B64" s="11" t="s">
        <v>228</v>
      </c>
      <c r="C64" s="95">
        <v>8.19</v>
      </c>
      <c r="D64" s="92">
        <v>-4.65657742E-2</v>
      </c>
      <c r="E64" s="93">
        <v>2299902317.8079996</v>
      </c>
      <c r="F64" s="35"/>
      <c r="G64" s="56" t="str">
        <f ca="1">IFERROR(OFFSET(INDIRECT($H$3 &amp; "!A179"), 8, 0), "")</f>
        <v>카바</v>
      </c>
      <c r="H64" s="39">
        <f t="shared" ca="1" si="16"/>
        <v>4935</v>
      </c>
      <c r="I64" s="77">
        <f t="shared" ca="1" si="17"/>
        <v>5.3361792999999998E-2</v>
      </c>
      <c r="J64" s="86">
        <f t="shared" ca="1" si="22"/>
        <v>7312613.7629184602</v>
      </c>
      <c r="K64" s="56" t="str">
        <f ca="1">IFERROR(OFFSET(INDIRECT($H$3 &amp; "!A125"), 8, 0), "")</f>
        <v>썸씽</v>
      </c>
      <c r="L64" s="39">
        <f t="shared" ca="1" si="18"/>
        <v>57.3</v>
      </c>
      <c r="M64" s="77">
        <f t="shared" ca="1" si="19"/>
        <v>-5.6013179599999997E-2</v>
      </c>
      <c r="N64" s="86">
        <f t="shared" ca="1" si="23"/>
        <v>127600818.36981086</v>
      </c>
      <c r="O64" s="56" t="str">
        <f ca="1">IFERROR(OFFSET(INDIRECT($H$3 &amp; "!A152"), 8, 0), "")</f>
        <v>리플</v>
      </c>
      <c r="P64" s="39">
        <f t="shared" ca="1" si="20"/>
        <v>976</v>
      </c>
      <c r="Q64" s="77">
        <f t="shared" ca="1" si="21"/>
        <v>-2.8855721399999999E-2</v>
      </c>
      <c r="R64" s="86">
        <f t="shared" ca="1" si="24"/>
        <v>170024540.58456266</v>
      </c>
    </row>
    <row r="65" spans="1:18" ht="17.25" thickBot="1">
      <c r="A65" s="40" t="s">
        <v>255</v>
      </c>
      <c r="B65" s="11" t="s">
        <v>256</v>
      </c>
      <c r="C65" s="95">
        <v>143</v>
      </c>
      <c r="D65" s="92">
        <v>-4.6666666699999998E-2</v>
      </c>
      <c r="E65" s="93">
        <v>9151930.9615261108</v>
      </c>
      <c r="F65" s="35"/>
      <c r="G65" s="57" t="str">
        <f ca="1">IFERROR(OFFSET(INDIRECT($H$3 &amp; "!A179"), 9, 0), "")</f>
        <v>스팀</v>
      </c>
      <c r="H65" s="37">
        <f t="shared" ca="1" si="16"/>
        <v>471</v>
      </c>
      <c r="I65" s="79">
        <f t="shared" ca="1" si="17"/>
        <v>-6.1752988000000002E-2</v>
      </c>
      <c r="J65" s="87">
        <f t="shared" ca="1" si="22"/>
        <v>4501589.3271689201</v>
      </c>
      <c r="K65" s="57" t="str">
        <f ca="1">IFERROR(OFFSET(INDIRECT($H$3 &amp; "!A125"), 9, 0), "")</f>
        <v>스테이터스네트워크토큰</v>
      </c>
      <c r="L65" s="37">
        <f t="shared" ca="1" si="18"/>
        <v>82.6</v>
      </c>
      <c r="M65" s="79">
        <f t="shared" ca="1" si="19"/>
        <v>-2.59433962E-2</v>
      </c>
      <c r="N65" s="87">
        <f t="shared" ca="1" si="23"/>
        <v>33958781.11859145</v>
      </c>
      <c r="O65" s="57" t="str">
        <f ca="1">IFERROR(OFFSET(INDIRECT($H$3 &amp; "!A152"), 9, 0), "")</f>
        <v>샌드박스</v>
      </c>
      <c r="P65" s="37">
        <f t="shared" ca="1" si="20"/>
        <v>320</v>
      </c>
      <c r="Q65" s="79">
        <f t="shared" ca="1" si="21"/>
        <v>-3.3232628399999999E-2</v>
      </c>
      <c r="R65" s="87">
        <f t="shared" ca="1" si="24"/>
        <v>25631083.486139901</v>
      </c>
    </row>
    <row r="66" spans="1:18">
      <c r="A66" s="40" t="s">
        <v>279</v>
      </c>
      <c r="B66" s="11" t="s">
        <v>280</v>
      </c>
      <c r="C66" s="95">
        <v>806</v>
      </c>
      <c r="D66" s="92">
        <v>-4.7281323899999998E-2</v>
      </c>
      <c r="E66" s="93">
        <v>2852396.7711118599</v>
      </c>
      <c r="F66" s="35"/>
      <c r="G66" s="56" t="str">
        <f ca="1">IFERROR(OFFSET(INDIRECT($H$3 &amp; "!A179"), 10, 0), "")</f>
        <v>온톨로지가스</v>
      </c>
      <c r="H66" s="38">
        <f t="shared" ref="H66:H75" ca="1" si="25">_xlfn.IFNA(VLOOKUP(G66, $B$2:$D$200, 2, FALSE), "")</f>
        <v>949</v>
      </c>
      <c r="I66" s="76">
        <f t="shared" ref="I66:I75" ca="1" si="26">_xlfn.IFNA(VLOOKUP(G66, $B$2:$D$200, 3, FALSE), "")</f>
        <v>-5.0999999999999997E-2</v>
      </c>
      <c r="J66" s="85">
        <f t="shared" ca="1" si="22"/>
        <v>8268143.6880276501</v>
      </c>
      <c r="K66" s="55" t="str">
        <f ca="1">IFERROR(OFFSET(INDIRECT($H$3 &amp; "!A125"), 10, 0), "")</f>
        <v>모스코인</v>
      </c>
      <c r="L66" s="38">
        <f t="shared" ca="1" si="18"/>
        <v>88.2</v>
      </c>
      <c r="M66" s="76">
        <f t="shared" ca="1" si="19"/>
        <v>-2.86343612E-2</v>
      </c>
      <c r="N66" s="85">
        <f t="shared" ca="1" si="23"/>
        <v>243958792.27612266</v>
      </c>
      <c r="O66" s="55" t="str">
        <f ca="1">IFERROR(OFFSET(INDIRECT($H$3 &amp; "!A152"), 10, 0), "")</f>
        <v>그로스톨코인</v>
      </c>
      <c r="P66" s="38">
        <f t="shared" ca="1" si="20"/>
        <v>806</v>
      </c>
      <c r="Q66" s="76">
        <f t="shared" ca="1" si="21"/>
        <v>-4.7281323899999998E-2</v>
      </c>
      <c r="R66" s="85">
        <f t="shared" ca="1" si="24"/>
        <v>2852396.7711118599</v>
      </c>
    </row>
    <row r="67" spans="1:18">
      <c r="A67" s="40" t="s">
        <v>169</v>
      </c>
      <c r="B67" s="11" t="s">
        <v>170</v>
      </c>
      <c r="C67" s="95">
        <v>241</v>
      </c>
      <c r="D67" s="92">
        <v>-4.743083E-2</v>
      </c>
      <c r="E67" s="93">
        <v>20069224.687385269</v>
      </c>
      <c r="F67" s="35"/>
      <c r="G67" s="56" t="str">
        <f ca="1">IFERROR(OFFSET(INDIRECT($H$3 &amp; "!A179"), 11, 0), "")</f>
        <v>리스크</v>
      </c>
      <c r="H67" s="39">
        <f t="shared" ca="1" si="25"/>
        <v>3345</v>
      </c>
      <c r="I67" s="77">
        <f t="shared" ca="1" si="26"/>
        <v>-4.5649072800000003E-2</v>
      </c>
      <c r="J67" s="86">
        <f t="shared" ca="1" si="22"/>
        <v>2580798.1050680298</v>
      </c>
      <c r="K67" s="56" t="str">
        <f ca="1">IFERROR(OFFSET(INDIRECT($H$3 &amp; "!A125"), 11, 0), "")</f>
        <v>에브리피디아</v>
      </c>
      <c r="L67" s="39">
        <f t="shared" ca="1" si="18"/>
        <v>14.3</v>
      </c>
      <c r="M67" s="77">
        <f t="shared" ca="1" si="19"/>
        <v>-6.5359477099999994E-2</v>
      </c>
      <c r="N67" s="86">
        <f t="shared" ca="1" si="23"/>
        <v>526951928.12938404</v>
      </c>
      <c r="O67" s="56" t="str">
        <f ca="1">IFERROR(OFFSET(INDIRECT($H$3 &amp; "!A152"), 11, 0), "")</f>
        <v>스텔라루멘</v>
      </c>
      <c r="P67" s="39">
        <f t="shared" ca="1" si="20"/>
        <v>378</v>
      </c>
      <c r="Q67" s="77">
        <f t="shared" ca="1" si="21"/>
        <v>-2.0725388599999998E-2</v>
      </c>
      <c r="R67" s="86">
        <f t="shared" ca="1" si="24"/>
        <v>49828594.165088691</v>
      </c>
    </row>
    <row r="68" spans="1:18">
      <c r="A68" s="40" t="s">
        <v>123</v>
      </c>
      <c r="B68" s="11" t="s">
        <v>124</v>
      </c>
      <c r="C68" s="95">
        <v>2400</v>
      </c>
      <c r="D68" s="92">
        <v>-4.7619047599999999E-2</v>
      </c>
      <c r="E68" s="93">
        <v>3132933.7216657498</v>
      </c>
      <c r="F68" s="35"/>
      <c r="G68" s="56" t="str">
        <f ca="1">IFERROR(OFFSET(INDIRECT($H$3 &amp; "!A179"), 12, 0), "")</f>
        <v>센티넬프로토콜</v>
      </c>
      <c r="H68" s="39">
        <f t="shared" ca="1" si="25"/>
        <v>103</v>
      </c>
      <c r="I68" s="77">
        <f t="shared" ca="1" si="26"/>
        <v>8.3070452200000006E-2</v>
      </c>
      <c r="J68" s="86">
        <f t="shared" ca="1" si="22"/>
        <v>958380331.39126635</v>
      </c>
      <c r="K68" s="56" t="str">
        <f ca="1">IFERROR(OFFSET(INDIRECT($H$3 &amp; "!A125"), 12, 0), "")</f>
        <v>쿼크체인</v>
      </c>
      <c r="L68" s="39">
        <f t="shared" ca="1" si="18"/>
        <v>18.7</v>
      </c>
      <c r="M68" s="77">
        <f t="shared" ca="1" si="19"/>
        <v>-4.5918367299999999E-2</v>
      </c>
      <c r="N68" s="86">
        <f t="shared" ca="1" si="23"/>
        <v>256712984.40249464</v>
      </c>
      <c r="O68" s="56" t="str">
        <f ca="1">IFERROR(OFFSET(INDIRECT($H$3 &amp; "!A152"), 12, 0), "")</f>
        <v>시빅</v>
      </c>
      <c r="P68" s="39">
        <f t="shared" ca="1" si="20"/>
        <v>297</v>
      </c>
      <c r="Q68" s="77">
        <f t="shared" ca="1" si="21"/>
        <v>-4.8076923100000002E-2</v>
      </c>
      <c r="R68" s="86">
        <f t="shared" ca="1" si="24"/>
        <v>5171402.7197357304</v>
      </c>
    </row>
    <row r="69" spans="1:18">
      <c r="A69" s="40" t="s">
        <v>127</v>
      </c>
      <c r="B69" s="11" t="s">
        <v>128</v>
      </c>
      <c r="C69" s="95">
        <v>297</v>
      </c>
      <c r="D69" s="92">
        <v>-4.8076923100000002E-2</v>
      </c>
      <c r="E69" s="93">
        <v>5171402.7197357304</v>
      </c>
      <c r="F69" s="35"/>
      <c r="G69" s="56" t="str">
        <f ca="1">IFERROR(OFFSET(INDIRECT($H$3 &amp; "!A179"), 13, 0), "")</f>
        <v>메탈</v>
      </c>
      <c r="H69" s="39">
        <f t="shared" ca="1" si="25"/>
        <v>2410</v>
      </c>
      <c r="I69" s="77">
        <f t="shared" ca="1" si="26"/>
        <v>-4.5544554500000001E-2</v>
      </c>
      <c r="J69" s="86">
        <f t="shared" ca="1" si="22"/>
        <v>2046837.02058181</v>
      </c>
      <c r="K69" s="56" t="str">
        <f ca="1">IFERROR(OFFSET(INDIRECT($H$3 &amp; "!A125"), 13, 0), "")</f>
        <v>메타디움</v>
      </c>
      <c r="L69" s="39">
        <f t="shared" ca="1" si="18"/>
        <v>87.8</v>
      </c>
      <c r="M69" s="77">
        <f t="shared" ca="1" si="19"/>
        <v>-6.7940552000000001E-2</v>
      </c>
      <c r="N69" s="86">
        <f t="shared" ca="1" si="23"/>
        <v>84526939.452911913</v>
      </c>
      <c r="O69" s="56" t="str">
        <f ca="1">IFERROR(OFFSET(INDIRECT($H$3 &amp; "!A152"), 13, 0), "")</f>
        <v>폴리매쓰</v>
      </c>
      <c r="P69" s="39">
        <f t="shared" ca="1" si="20"/>
        <v>237</v>
      </c>
      <c r="Q69" s="77">
        <f t="shared" ca="1" si="21"/>
        <v>-4.4354838700000003E-2</v>
      </c>
      <c r="R69" s="86">
        <f t="shared" ca="1" si="24"/>
        <v>10206210.205984071</v>
      </c>
    </row>
    <row r="70" spans="1:18">
      <c r="A70" s="40" t="s">
        <v>151</v>
      </c>
      <c r="B70" s="11" t="s">
        <v>152</v>
      </c>
      <c r="C70" s="95">
        <v>17.7</v>
      </c>
      <c r="D70" s="92">
        <v>-4.8387096800000001E-2</v>
      </c>
      <c r="E70" s="93">
        <v>126978064.66528949</v>
      </c>
      <c r="F70" s="35"/>
      <c r="G70" s="56" t="str">
        <f ca="1">IFERROR(OFFSET(INDIRECT($H$3 &amp; "!A179"), 14, 0), "")</f>
        <v>스트라이크</v>
      </c>
      <c r="H70" s="39">
        <f t="shared" ca="1" si="25"/>
        <v>51440</v>
      </c>
      <c r="I70" s="77">
        <f t="shared" ca="1" si="26"/>
        <v>-2.00038102E-2</v>
      </c>
      <c r="J70" s="90">
        <f t="shared" ca="1" si="22"/>
        <v>1341746.31967745</v>
      </c>
      <c r="K70" s="58" t="str">
        <f ca="1">IFERROR(OFFSET(INDIRECT($H$3 &amp; "!A125"), 14, 0), "")</f>
        <v>메인프레임</v>
      </c>
      <c r="L70" s="44">
        <f t="shared" ca="1" si="18"/>
        <v>9.56</v>
      </c>
      <c r="M70" s="78">
        <f t="shared" ca="1" si="19"/>
        <v>-6.2745097999999999E-2</v>
      </c>
      <c r="N70" s="90">
        <f t="shared" ca="1" si="23"/>
        <v>338757142.32559967</v>
      </c>
      <c r="O70" s="58" t="str">
        <f ca="1">IFERROR(OFFSET(INDIRECT($H$3 &amp; "!A152"), 14, 0), "")</f>
        <v>아더</v>
      </c>
      <c r="P70" s="44">
        <f t="shared" ca="1" si="20"/>
        <v>194</v>
      </c>
      <c r="Q70" s="78">
        <f t="shared" ca="1" si="21"/>
        <v>-6.2801932399999996E-2</v>
      </c>
      <c r="R70" s="90">
        <f t="shared" ca="1" si="24"/>
        <v>8093047.5737750903</v>
      </c>
    </row>
    <row r="71" spans="1:18">
      <c r="A71" s="40" t="s">
        <v>93</v>
      </c>
      <c r="B71" s="11" t="s">
        <v>94</v>
      </c>
      <c r="C71" s="95">
        <v>64320</v>
      </c>
      <c r="D71" s="92">
        <v>-4.8520710100000003E-2</v>
      </c>
      <c r="E71" s="93">
        <v>198014.58414444001</v>
      </c>
      <c r="F71" s="35"/>
      <c r="G71" s="60" t="str">
        <f ca="1">IFERROR(OFFSET(INDIRECT($H$3 &amp; "!A179"), 15, 0), "")</f>
        <v>스팀달러</v>
      </c>
      <c r="H71" s="45">
        <f t="shared" ca="1" si="25"/>
        <v>7375</v>
      </c>
      <c r="I71" s="80">
        <f t="shared" ca="1" si="26"/>
        <v>-5.8109833999999999E-2</v>
      </c>
      <c r="J71" s="99">
        <f t="shared" ca="1" si="22"/>
        <v>1659123.81136999</v>
      </c>
      <c r="K71" s="56" t="str">
        <f ca="1">IFERROR(OFFSET(INDIRECT($H$3 &amp; "!A125"), 15, 0), "")</f>
        <v>아이오에스티</v>
      </c>
      <c r="L71" s="39">
        <f t="shared" ca="1" si="18"/>
        <v>32.200000000000003</v>
      </c>
      <c r="M71" s="77">
        <f t="shared" ca="1" si="19"/>
        <v>-4.16666667E-2</v>
      </c>
      <c r="N71" s="99">
        <f t="shared" ca="1" si="23"/>
        <v>68805240.309093013</v>
      </c>
      <c r="O71" s="56" t="str">
        <f ca="1">IFERROR(OFFSET(INDIRECT($H$3 &amp; "!A152"), 15, 0), "")</f>
        <v>스팀</v>
      </c>
      <c r="P71" s="39">
        <f t="shared" ca="1" si="20"/>
        <v>471</v>
      </c>
      <c r="Q71" s="77">
        <f t="shared" ca="1" si="21"/>
        <v>-6.1752988000000002E-2</v>
      </c>
      <c r="R71" s="99">
        <f t="shared" ca="1" si="24"/>
        <v>4501589.3271689201</v>
      </c>
    </row>
    <row r="72" spans="1:18">
      <c r="A72" s="40" t="s">
        <v>165</v>
      </c>
      <c r="B72" s="11" t="s">
        <v>166</v>
      </c>
      <c r="C72" s="95">
        <v>1065</v>
      </c>
      <c r="D72" s="92">
        <v>-4.9107142899999998E-2</v>
      </c>
      <c r="E72" s="93">
        <v>1000838.7393104</v>
      </c>
      <c r="F72" s="35"/>
      <c r="G72" s="56" t="str">
        <f ca="1">IFERROR(OFFSET(INDIRECT($H$3 &amp; "!A179"), 16, 0), "")</f>
        <v>디마켓</v>
      </c>
      <c r="H72" s="39">
        <f t="shared" ca="1" si="25"/>
        <v>304</v>
      </c>
      <c r="I72" s="77">
        <f t="shared" ca="1" si="26"/>
        <v>-0.2164948454</v>
      </c>
      <c r="J72" s="86">
        <f t="shared" ca="1" si="22"/>
        <v>19405957.85959287</v>
      </c>
      <c r="K72" s="56" t="str">
        <f ca="1">IFERROR(OFFSET(INDIRECT($H$3 &amp; "!A125"), 16, 0), "")</f>
        <v>앵커</v>
      </c>
      <c r="L72" s="39">
        <f t="shared" ca="1" si="18"/>
        <v>93.9</v>
      </c>
      <c r="M72" s="77">
        <f t="shared" ca="1" si="19"/>
        <v>-5.1515151500000002E-2</v>
      </c>
      <c r="N72" s="86">
        <f t="shared" ca="1" si="23"/>
        <v>54888152.650036611</v>
      </c>
      <c r="O72" s="56" t="str">
        <f ca="1">IFERROR(OFFSET(INDIRECT($H$3 &amp; "!A152"), 16, 0), "")</f>
        <v>온톨로지가스</v>
      </c>
      <c r="P72" s="39">
        <f t="shared" ca="1" si="20"/>
        <v>949</v>
      </c>
      <c r="Q72" s="77">
        <f t="shared" ca="1" si="21"/>
        <v>-5.0999999999999997E-2</v>
      </c>
      <c r="R72" s="86">
        <f t="shared" ca="1" si="24"/>
        <v>8268143.6880276501</v>
      </c>
    </row>
    <row r="73" spans="1:18">
      <c r="A73" s="40" t="s">
        <v>245</v>
      </c>
      <c r="B73" s="11" t="s">
        <v>246</v>
      </c>
      <c r="C73" s="95">
        <v>250</v>
      </c>
      <c r="D73" s="92">
        <v>-4.9429657799999999E-2</v>
      </c>
      <c r="E73" s="93">
        <v>18424549.210683171</v>
      </c>
      <c r="F73" s="35"/>
      <c r="G73" s="56" t="str">
        <f ca="1">IFERROR(OFFSET(INDIRECT($H$3 &amp; "!A179"), 17, 0), "")</f>
        <v>쎄타퓨엘</v>
      </c>
      <c r="H73" s="39">
        <f t="shared" ca="1" si="25"/>
        <v>571</v>
      </c>
      <c r="I73" s="77">
        <f t="shared" ca="1" si="26"/>
        <v>-5.6198347099999997E-2</v>
      </c>
      <c r="J73" s="86">
        <f t="shared" ca="1" si="22"/>
        <v>103263506.65319262</v>
      </c>
      <c r="K73" s="56" t="str">
        <f ca="1">IFERROR(OFFSET(INDIRECT($H$3 &amp; "!A125"), 17, 0), "")</f>
        <v>룸네트워크</v>
      </c>
      <c r="L73" s="39">
        <f t="shared" ca="1" si="18"/>
        <v>71.099999999999994</v>
      </c>
      <c r="M73" s="77">
        <f t="shared" ca="1" si="19"/>
        <v>-6.3241106699999994E-2</v>
      </c>
      <c r="N73" s="86">
        <f t="shared" ca="1" si="23"/>
        <v>42071191.683762006</v>
      </c>
      <c r="O73" s="56" t="str">
        <f ca="1">IFERROR(OFFSET(INDIRECT($H$3 &amp; "!A152"), 17, 0), "")</f>
        <v>디마켓</v>
      </c>
      <c r="P73" s="39">
        <f t="shared" ca="1" si="20"/>
        <v>304</v>
      </c>
      <c r="Q73" s="77">
        <f t="shared" ca="1" si="21"/>
        <v>-0.2164948454</v>
      </c>
      <c r="R73" s="86">
        <f t="shared" ca="1" si="24"/>
        <v>19405957.85959287</v>
      </c>
    </row>
    <row r="74" spans="1:18">
      <c r="A74" s="40" t="s">
        <v>257</v>
      </c>
      <c r="B74" s="11" t="s">
        <v>258</v>
      </c>
      <c r="C74" s="95">
        <v>399</v>
      </c>
      <c r="D74" s="92">
        <v>-0.05</v>
      </c>
      <c r="E74" s="93">
        <v>2904262.1594113801</v>
      </c>
      <c r="F74" s="35"/>
      <c r="G74" s="56" t="str">
        <f ca="1">IFERROR(OFFSET(INDIRECT($H$3 &amp; "!A179"), 18, 0), "")</f>
        <v>폴카닷</v>
      </c>
      <c r="H74" s="39">
        <f t="shared" ca="1" si="25"/>
        <v>26670</v>
      </c>
      <c r="I74" s="77">
        <f t="shared" ca="1" si="26"/>
        <v>-3.7531577000000003E-2</v>
      </c>
      <c r="J74" s="86">
        <f t="shared" ca="1" si="22"/>
        <v>1350120.40679028</v>
      </c>
      <c r="K74" s="56" t="str">
        <f ca="1">IFERROR(OFFSET(INDIRECT($H$3 &amp; "!A125"), 18, 0), "")</f>
        <v>마로</v>
      </c>
      <c r="L74" s="39">
        <f t="shared" ca="1" si="18"/>
        <v>88.9</v>
      </c>
      <c r="M74" s="77">
        <f t="shared" ca="1" si="19"/>
        <v>-0.18440366969999999</v>
      </c>
      <c r="N74" s="86">
        <f t="shared" ca="1" si="23"/>
        <v>123104099.17406885</v>
      </c>
      <c r="O74" s="56" t="str">
        <f ca="1">IFERROR(OFFSET(INDIRECT($H$3 &amp; "!A152"), 18, 0), "")</f>
        <v>쎄타퓨엘</v>
      </c>
      <c r="P74" s="39">
        <f t="shared" ca="1" si="20"/>
        <v>571</v>
      </c>
      <c r="Q74" s="77">
        <f t="shared" ca="1" si="21"/>
        <v>-5.6198347099999997E-2</v>
      </c>
      <c r="R74" s="86">
        <f t="shared" ca="1" si="24"/>
        <v>103263506.65319262</v>
      </c>
    </row>
    <row r="75" spans="1:18" ht="17.25" thickBot="1">
      <c r="A75" s="40" t="s">
        <v>191</v>
      </c>
      <c r="B75" s="11" t="s">
        <v>192</v>
      </c>
      <c r="C75" s="95">
        <v>949</v>
      </c>
      <c r="D75" s="92">
        <v>-5.0999999999999997E-2</v>
      </c>
      <c r="E75" s="93">
        <v>8268143.6880276501</v>
      </c>
      <c r="F75" s="35"/>
      <c r="G75" s="57" t="str">
        <f ca="1">IFERROR(OFFSET(INDIRECT($H$3 &amp; "!A179"), 19, 0), "")</f>
        <v>페이코인</v>
      </c>
      <c r="H75" s="37">
        <f t="shared" ca="1" si="25"/>
        <v>733</v>
      </c>
      <c r="I75" s="79">
        <f t="shared" ca="1" si="26"/>
        <v>-0.13663133099999999</v>
      </c>
      <c r="J75" s="87">
        <f t="shared" ca="1" si="22"/>
        <v>105889146.27079575</v>
      </c>
      <c r="K75" s="57" t="str">
        <f ca="1">IFERROR(OFFSET(INDIRECT($H$3 &amp; "!A125"), 19, 0), "")</f>
        <v>센티넬프로토콜</v>
      </c>
      <c r="L75" s="37">
        <f t="shared" ca="1" si="18"/>
        <v>103</v>
      </c>
      <c r="M75" s="79">
        <f t="shared" ca="1" si="19"/>
        <v>8.3070452200000006E-2</v>
      </c>
      <c r="N75" s="87">
        <f t="shared" ca="1" si="23"/>
        <v>958380331.39126635</v>
      </c>
      <c r="O75" s="57" t="str">
        <f ca="1">IFERROR(OFFSET(INDIRECT($H$3 &amp; "!A152"), 19, 0), "")</f>
        <v>페이코인</v>
      </c>
      <c r="P75" s="37">
        <f t="shared" ca="1" si="20"/>
        <v>733</v>
      </c>
      <c r="Q75" s="79">
        <f t="shared" ca="1" si="21"/>
        <v>-0.13663133099999999</v>
      </c>
      <c r="R75" s="87">
        <f t="shared" ca="1" si="24"/>
        <v>105889146.27079575</v>
      </c>
    </row>
    <row r="76" spans="1:18">
      <c r="A76" s="40" t="s">
        <v>147</v>
      </c>
      <c r="B76" s="11" t="s">
        <v>148</v>
      </c>
      <c r="C76" s="95">
        <v>93.9</v>
      </c>
      <c r="D76" s="92">
        <v>-5.1515151500000002E-2</v>
      </c>
      <c r="E76" s="93">
        <v>54888152.650036611</v>
      </c>
      <c r="F76" s="35"/>
      <c r="G76" s="35"/>
      <c r="H76" s="35"/>
      <c r="I76" s="35"/>
    </row>
    <row r="77" spans="1:18">
      <c r="A77" s="40" t="s">
        <v>187</v>
      </c>
      <c r="B77" s="11" t="s">
        <v>188</v>
      </c>
      <c r="C77" s="95">
        <v>10120</v>
      </c>
      <c r="D77" s="92">
        <v>-5.3320860599999999E-2</v>
      </c>
      <c r="E77" s="93">
        <v>877155.48728760995</v>
      </c>
      <c r="F77" s="35"/>
      <c r="G77" s="35"/>
      <c r="H77" s="35"/>
      <c r="I77" s="35"/>
    </row>
    <row r="78" spans="1:18">
      <c r="A78" s="40" t="s">
        <v>103</v>
      </c>
      <c r="B78" s="11" t="s">
        <v>104</v>
      </c>
      <c r="C78" s="95">
        <v>1060</v>
      </c>
      <c r="D78" s="92">
        <v>-5.3571428599999998E-2</v>
      </c>
      <c r="E78" s="93">
        <v>2479633.91083065</v>
      </c>
      <c r="F78" s="35"/>
      <c r="G78" s="35"/>
      <c r="H78" s="35"/>
      <c r="I78" s="35"/>
    </row>
    <row r="79" spans="1:18">
      <c r="A79" s="40" t="s">
        <v>181</v>
      </c>
      <c r="B79" s="11" t="s">
        <v>182</v>
      </c>
      <c r="C79" s="95">
        <v>227</v>
      </c>
      <c r="D79" s="92">
        <v>-5.4166666699999998E-2</v>
      </c>
      <c r="E79" s="93">
        <v>5212931.8253209302</v>
      </c>
      <c r="F79" s="35"/>
      <c r="G79" s="35"/>
      <c r="H79" s="35"/>
      <c r="I79" s="35"/>
    </row>
    <row r="80" spans="1:18">
      <c r="A80" s="40" t="s">
        <v>259</v>
      </c>
      <c r="B80" s="11" t="s">
        <v>260</v>
      </c>
      <c r="C80" s="95">
        <v>57.3</v>
      </c>
      <c r="D80" s="92">
        <v>-5.6013179599999997E-2</v>
      </c>
      <c r="E80" s="93">
        <v>127600818.36981086</v>
      </c>
      <c r="F80" s="35"/>
      <c r="G80" s="35"/>
      <c r="H80" s="35"/>
      <c r="I80" s="35"/>
    </row>
    <row r="81" spans="1:9">
      <c r="A81" s="40" t="s">
        <v>141</v>
      </c>
      <c r="B81" s="11" t="s">
        <v>142</v>
      </c>
      <c r="C81" s="95">
        <v>571</v>
      </c>
      <c r="D81" s="92">
        <v>-5.6198347099999997E-2</v>
      </c>
      <c r="E81" s="93">
        <v>103263506.65319262</v>
      </c>
      <c r="F81" s="35"/>
      <c r="G81" s="35"/>
      <c r="H81" s="35"/>
      <c r="I81" s="35"/>
    </row>
    <row r="82" spans="1:9">
      <c r="A82" s="40" t="s">
        <v>153</v>
      </c>
      <c r="B82" s="11" t="s">
        <v>154</v>
      </c>
      <c r="C82" s="95">
        <v>8.6199999999999992</v>
      </c>
      <c r="D82" s="92">
        <v>-5.6892778999999997E-2</v>
      </c>
      <c r="E82" s="93">
        <v>1076018044.8153782</v>
      </c>
      <c r="F82" s="35"/>
      <c r="G82" s="35"/>
      <c r="H82" s="35"/>
      <c r="I82" s="35"/>
    </row>
    <row r="83" spans="1:9">
      <c r="A83" s="40" t="s">
        <v>53</v>
      </c>
      <c r="B83" s="11" t="s">
        <v>54</v>
      </c>
      <c r="C83" s="95">
        <v>231</v>
      </c>
      <c r="D83" s="92">
        <v>-5.71428571E-2</v>
      </c>
      <c r="E83" s="93">
        <v>19569561.713297289</v>
      </c>
      <c r="F83" s="35"/>
      <c r="G83" s="35"/>
      <c r="H83" s="35"/>
      <c r="I83" s="35"/>
    </row>
    <row r="84" spans="1:9">
      <c r="A84" s="40" t="s">
        <v>111</v>
      </c>
      <c r="B84" s="11" t="s">
        <v>112</v>
      </c>
      <c r="C84" s="95">
        <v>131</v>
      </c>
      <c r="D84" s="92">
        <v>-5.75539568E-2</v>
      </c>
      <c r="E84" s="93">
        <v>484356217.22101432</v>
      </c>
      <c r="F84" s="35"/>
      <c r="G84" s="35"/>
      <c r="H84" s="35"/>
      <c r="I84" s="35"/>
    </row>
    <row r="85" spans="1:9">
      <c r="A85" s="40" t="s">
        <v>273</v>
      </c>
      <c r="B85" s="11" t="s">
        <v>274</v>
      </c>
      <c r="C85" s="95">
        <v>7375</v>
      </c>
      <c r="D85" s="92">
        <v>-5.8109833999999999E-2</v>
      </c>
      <c r="E85" s="93">
        <v>1659123.81136999</v>
      </c>
      <c r="F85" s="35"/>
      <c r="G85" s="35"/>
      <c r="H85" s="35"/>
      <c r="I85" s="35"/>
    </row>
    <row r="86" spans="1:9">
      <c r="A86" s="40" t="s">
        <v>177</v>
      </c>
      <c r="B86" s="11" t="s">
        <v>178</v>
      </c>
      <c r="C86" s="95">
        <v>21690</v>
      </c>
      <c r="D86" s="92">
        <v>-5.8184976100000001E-2</v>
      </c>
      <c r="E86" s="93">
        <v>102191.04896992999</v>
      </c>
      <c r="F86" s="35"/>
      <c r="G86" s="35"/>
      <c r="H86" s="35"/>
      <c r="I86" s="35"/>
    </row>
    <row r="87" spans="1:9">
      <c r="A87" s="40" t="s">
        <v>225</v>
      </c>
      <c r="B87" s="11" t="s">
        <v>226</v>
      </c>
      <c r="C87" s="95">
        <v>210</v>
      </c>
      <c r="D87" s="92">
        <v>-5.82959641E-2</v>
      </c>
      <c r="E87" s="93">
        <v>13359506.11988187</v>
      </c>
      <c r="F87" s="35"/>
      <c r="G87" s="35"/>
      <c r="H87" s="35"/>
      <c r="I87" s="35"/>
    </row>
    <row r="88" spans="1:9">
      <c r="A88" s="40" t="s">
        <v>125</v>
      </c>
      <c r="B88" s="11" t="s">
        <v>126</v>
      </c>
      <c r="C88" s="95">
        <v>24.4</v>
      </c>
      <c r="D88" s="92">
        <v>-6.1538461500000002E-2</v>
      </c>
      <c r="E88" s="93">
        <v>123267327.2555742</v>
      </c>
      <c r="F88" s="35"/>
      <c r="G88" s="35"/>
      <c r="H88" s="35"/>
      <c r="I88" s="35"/>
    </row>
    <row r="89" spans="1:9">
      <c r="A89" s="40" t="s">
        <v>173</v>
      </c>
      <c r="B89" s="11" t="s">
        <v>174</v>
      </c>
      <c r="C89" s="95">
        <v>122</v>
      </c>
      <c r="D89" s="92">
        <v>-6.1538461500000002E-2</v>
      </c>
      <c r="E89" s="93">
        <v>165737859.54426</v>
      </c>
      <c r="F89" s="35"/>
      <c r="G89" s="35"/>
      <c r="H89" s="35"/>
      <c r="I89" s="35"/>
    </row>
    <row r="90" spans="1:9">
      <c r="A90" s="40" t="s">
        <v>261</v>
      </c>
      <c r="B90" s="11" t="s">
        <v>262</v>
      </c>
      <c r="C90" s="95">
        <v>471</v>
      </c>
      <c r="D90" s="92">
        <v>-6.1752988000000002E-2</v>
      </c>
      <c r="E90" s="93">
        <v>4501589.3271689201</v>
      </c>
      <c r="F90" s="35"/>
      <c r="G90" s="35"/>
      <c r="H90" s="35"/>
      <c r="I90" s="35"/>
    </row>
    <row r="91" spans="1:9">
      <c r="A91" s="40" t="s">
        <v>66</v>
      </c>
      <c r="B91" s="11" t="s">
        <v>67</v>
      </c>
      <c r="C91" s="95">
        <v>3645</v>
      </c>
      <c r="D91" s="92">
        <v>-6.1776061799999997E-2</v>
      </c>
      <c r="E91" s="93">
        <v>2691050.8705801098</v>
      </c>
      <c r="F91" s="35"/>
      <c r="G91" s="35"/>
      <c r="H91" s="35"/>
      <c r="I91" s="35"/>
    </row>
    <row r="92" spans="1:9">
      <c r="A92" s="40" t="s">
        <v>219</v>
      </c>
      <c r="B92" s="11" t="s">
        <v>220</v>
      </c>
      <c r="C92" s="95">
        <v>9.56</v>
      </c>
      <c r="D92" s="92">
        <v>-6.2745097999999999E-2</v>
      </c>
      <c r="E92" s="93">
        <v>338757142.32559967</v>
      </c>
      <c r="F92" s="35"/>
      <c r="G92" s="35"/>
      <c r="H92" s="35"/>
      <c r="I92" s="35"/>
    </row>
    <row r="93" spans="1:9">
      <c r="A93" s="40" t="s">
        <v>283</v>
      </c>
      <c r="B93" s="11" t="s">
        <v>284</v>
      </c>
      <c r="C93" s="95">
        <v>194</v>
      </c>
      <c r="D93" s="92">
        <v>-6.2801932399999996E-2</v>
      </c>
      <c r="E93" s="93">
        <v>8093047.5737750903</v>
      </c>
      <c r="F93" s="35"/>
      <c r="G93" s="35"/>
      <c r="H93" s="35"/>
      <c r="I93" s="35"/>
    </row>
    <row r="94" spans="1:9">
      <c r="A94" s="40" t="s">
        <v>223</v>
      </c>
      <c r="B94" s="11" t="s">
        <v>224</v>
      </c>
      <c r="C94" s="95">
        <v>1115</v>
      </c>
      <c r="D94" s="92">
        <v>-6.3025210100000006E-2</v>
      </c>
      <c r="E94" s="93">
        <v>12172709.032421609</v>
      </c>
      <c r="F94" s="35"/>
      <c r="G94" s="35"/>
      <c r="H94" s="35"/>
      <c r="I94" s="35"/>
    </row>
    <row r="95" spans="1:9">
      <c r="A95" s="40" t="s">
        <v>263</v>
      </c>
      <c r="B95" s="11" t="s">
        <v>264</v>
      </c>
      <c r="C95" s="95">
        <v>71.099999999999994</v>
      </c>
      <c r="D95" s="92">
        <v>-6.3241106699999994E-2</v>
      </c>
      <c r="E95" s="93">
        <v>42071191.683762006</v>
      </c>
      <c r="F95" s="35"/>
      <c r="G95" s="35"/>
      <c r="H95" s="35"/>
      <c r="I95" s="35"/>
    </row>
    <row r="96" spans="1:9">
      <c r="A96" s="40" t="s">
        <v>193</v>
      </c>
      <c r="B96" s="11" t="s">
        <v>194</v>
      </c>
      <c r="C96" s="95">
        <v>6515</v>
      </c>
      <c r="D96" s="92">
        <v>-6.5279770400000006E-2</v>
      </c>
      <c r="E96" s="93">
        <v>904439.25661404</v>
      </c>
      <c r="F96" s="35"/>
      <c r="G96" s="35"/>
      <c r="H96" s="35"/>
      <c r="I96" s="35"/>
    </row>
    <row r="97" spans="1:9">
      <c r="A97" s="40" t="s">
        <v>185</v>
      </c>
      <c r="B97" s="11" t="s">
        <v>186</v>
      </c>
      <c r="C97" s="95">
        <v>14.3</v>
      </c>
      <c r="D97" s="92">
        <v>-6.5359477099999994E-2</v>
      </c>
      <c r="E97" s="93">
        <v>526951928.12938404</v>
      </c>
      <c r="F97" s="35"/>
      <c r="G97" s="35"/>
      <c r="H97" s="35"/>
      <c r="I97" s="35"/>
    </row>
    <row r="98" spans="1:9">
      <c r="A98" s="40" t="s">
        <v>221</v>
      </c>
      <c r="B98" s="11" t="s">
        <v>222</v>
      </c>
      <c r="C98" s="95">
        <v>8.49</v>
      </c>
      <c r="D98" s="92">
        <v>-6.7032966999999999E-2</v>
      </c>
      <c r="E98" s="93">
        <v>401818314.41871303</v>
      </c>
      <c r="F98" s="35"/>
      <c r="G98" s="35"/>
      <c r="H98" s="35"/>
      <c r="I98" s="35"/>
    </row>
    <row r="99" spans="1:9">
      <c r="A99" s="40" t="s">
        <v>201</v>
      </c>
      <c r="B99" s="11" t="s">
        <v>202</v>
      </c>
      <c r="C99" s="95">
        <v>87.8</v>
      </c>
      <c r="D99" s="92">
        <v>-6.7940552000000001E-2</v>
      </c>
      <c r="E99" s="93">
        <v>84526939.452911913</v>
      </c>
      <c r="F99" s="35"/>
      <c r="G99" s="35"/>
      <c r="H99" s="35"/>
      <c r="I99" s="35"/>
    </row>
    <row r="100" spans="1:9">
      <c r="A100" s="40" t="s">
        <v>265</v>
      </c>
      <c r="B100" s="11" t="s">
        <v>266</v>
      </c>
      <c r="C100" s="95">
        <v>53.2</v>
      </c>
      <c r="D100" s="92">
        <v>-6.8301225899999998E-2</v>
      </c>
      <c r="E100" s="93">
        <v>124979328.91107576</v>
      </c>
      <c r="F100" s="35"/>
      <c r="G100" s="35"/>
      <c r="H100" s="35"/>
      <c r="I100" s="35"/>
    </row>
    <row r="101" spans="1:9">
      <c r="A101" s="40" t="s">
        <v>211</v>
      </c>
      <c r="B101" s="11" t="s">
        <v>212</v>
      </c>
      <c r="C101" s="95">
        <v>54.8</v>
      </c>
      <c r="D101" s="92">
        <v>-7.1186440700000006E-2</v>
      </c>
      <c r="E101" s="93">
        <v>186438446.76060143</v>
      </c>
      <c r="F101" s="35"/>
      <c r="G101" s="35"/>
      <c r="H101" s="35"/>
      <c r="I101" s="35"/>
    </row>
    <row r="102" spans="1:9">
      <c r="A102" s="40" t="s">
        <v>213</v>
      </c>
      <c r="B102" s="11" t="s">
        <v>214</v>
      </c>
      <c r="C102" s="95">
        <v>9.56</v>
      </c>
      <c r="D102" s="92">
        <v>-7.1844660199999993E-2</v>
      </c>
      <c r="E102" s="93">
        <v>817273335.50967932</v>
      </c>
      <c r="F102" s="35"/>
      <c r="G102" s="35"/>
      <c r="H102" s="35"/>
      <c r="I102" s="35"/>
    </row>
    <row r="103" spans="1:9">
      <c r="A103" s="40" t="s">
        <v>109</v>
      </c>
      <c r="B103" s="11" t="s">
        <v>110</v>
      </c>
      <c r="C103" s="95">
        <v>1185</v>
      </c>
      <c r="D103" s="92">
        <v>-7.7821011699999998E-2</v>
      </c>
      <c r="E103" s="93">
        <v>2723757.2591882101</v>
      </c>
      <c r="F103" s="35"/>
      <c r="G103" s="35"/>
      <c r="H103" s="35"/>
      <c r="I103" s="35"/>
    </row>
    <row r="104" spans="1:9">
      <c r="A104" s="40" t="s">
        <v>81</v>
      </c>
      <c r="B104" s="11" t="s">
        <v>82</v>
      </c>
      <c r="C104" s="95">
        <v>789</v>
      </c>
      <c r="D104" s="92">
        <v>-0.1281767956</v>
      </c>
      <c r="E104" s="93">
        <v>2479562.9575470402</v>
      </c>
      <c r="F104" s="35"/>
      <c r="G104" s="35"/>
      <c r="H104" s="35"/>
      <c r="I104" s="35"/>
    </row>
    <row r="105" spans="1:9">
      <c r="A105" s="40" t="s">
        <v>237</v>
      </c>
      <c r="B105" s="11" t="s">
        <v>238</v>
      </c>
      <c r="C105" s="95">
        <v>87.8</v>
      </c>
      <c r="D105" s="92">
        <v>-0.13069306929999999</v>
      </c>
      <c r="E105" s="93">
        <v>26482306.830114309</v>
      </c>
      <c r="F105" s="35"/>
      <c r="G105" s="35"/>
      <c r="H105" s="35"/>
      <c r="I105" s="35"/>
    </row>
    <row r="106" spans="1:9">
      <c r="A106" s="40" t="s">
        <v>247</v>
      </c>
      <c r="B106" s="11" t="s">
        <v>248</v>
      </c>
      <c r="C106" s="95">
        <v>1225</v>
      </c>
      <c r="D106" s="92">
        <v>-0.13120567380000001</v>
      </c>
      <c r="E106" s="93">
        <v>2670925.50797043</v>
      </c>
      <c r="F106" s="35"/>
      <c r="G106" s="35"/>
      <c r="H106" s="35"/>
      <c r="I106" s="35"/>
    </row>
    <row r="107" spans="1:9">
      <c r="A107" s="40" t="s">
        <v>161</v>
      </c>
      <c r="B107" s="11" t="s">
        <v>162</v>
      </c>
      <c r="C107" s="95">
        <v>733</v>
      </c>
      <c r="D107" s="92">
        <v>-0.13663133099999999</v>
      </c>
      <c r="E107" s="93">
        <v>105889146.27079575</v>
      </c>
      <c r="F107" s="35"/>
      <c r="G107" s="35"/>
      <c r="H107" s="35"/>
      <c r="I107" s="35"/>
    </row>
    <row r="108" spans="1:9">
      <c r="A108" s="40" t="s">
        <v>121</v>
      </c>
      <c r="B108" s="11" t="s">
        <v>122</v>
      </c>
      <c r="C108" s="95">
        <v>23.8</v>
      </c>
      <c r="D108" s="92">
        <v>-0.15</v>
      </c>
      <c r="E108" s="93">
        <v>222991212.08902317</v>
      </c>
      <c r="F108" s="35"/>
      <c r="G108" s="35"/>
      <c r="H108" s="35"/>
      <c r="I108" s="35"/>
    </row>
    <row r="109" spans="1:9">
      <c r="A109" s="40" t="s">
        <v>207</v>
      </c>
      <c r="B109" s="11" t="s">
        <v>208</v>
      </c>
      <c r="C109" s="95">
        <v>88.9</v>
      </c>
      <c r="D109" s="92">
        <v>-0.18440366969999999</v>
      </c>
      <c r="E109" s="41">
        <v>123104099.17406885</v>
      </c>
    </row>
    <row r="110" spans="1:9">
      <c r="A110" s="40" t="s">
        <v>267</v>
      </c>
      <c r="B110" s="11" t="s">
        <v>268</v>
      </c>
      <c r="C110" s="95">
        <v>26.4</v>
      </c>
      <c r="D110" s="92">
        <v>-0.18518518519999999</v>
      </c>
      <c r="E110" s="41">
        <v>159778012.81956238</v>
      </c>
    </row>
    <row r="111" spans="1:9">
      <c r="A111" s="40" t="s">
        <v>171</v>
      </c>
      <c r="B111" s="11" t="s">
        <v>172</v>
      </c>
      <c r="C111" s="95">
        <v>4.7300000000000004</v>
      </c>
      <c r="D111" s="92">
        <v>-0.18588640279999999</v>
      </c>
      <c r="E111" s="41">
        <v>1703910420.1838396</v>
      </c>
    </row>
    <row r="112" spans="1:9">
      <c r="A112" s="40" t="s">
        <v>253</v>
      </c>
      <c r="B112" s="11" t="s">
        <v>254</v>
      </c>
      <c r="C112" s="95">
        <v>19.600000000000001</v>
      </c>
      <c r="D112" s="92">
        <v>-0.19008264459999999</v>
      </c>
      <c r="E112" s="41">
        <v>253377870.37290585</v>
      </c>
    </row>
    <row r="113" spans="1:5">
      <c r="A113" s="40" t="s">
        <v>235</v>
      </c>
      <c r="B113" s="11" t="s">
        <v>236</v>
      </c>
      <c r="C113" s="95">
        <v>17.5</v>
      </c>
      <c r="D113" s="92">
        <v>-0.20091324199999999</v>
      </c>
      <c r="E113" s="41">
        <v>339808539.09258568</v>
      </c>
    </row>
    <row r="114" spans="1:5">
      <c r="A114" s="40" t="s">
        <v>217</v>
      </c>
      <c r="B114" s="11" t="s">
        <v>218</v>
      </c>
      <c r="C114" s="95">
        <v>5.46</v>
      </c>
      <c r="D114" s="92">
        <v>-0.20408163269999999</v>
      </c>
      <c r="E114" s="41">
        <v>986886398.35607469</v>
      </c>
    </row>
    <row r="115" spans="1:5">
      <c r="A115" s="40" t="s">
        <v>281</v>
      </c>
      <c r="B115" s="11" t="s">
        <v>282</v>
      </c>
      <c r="C115" s="95">
        <v>54.3</v>
      </c>
      <c r="D115" s="92">
        <v>-0.20960698689999999</v>
      </c>
      <c r="E115" s="41">
        <v>85666052.47430554</v>
      </c>
    </row>
    <row r="116" spans="1:5">
      <c r="A116" s="40" t="s">
        <v>251</v>
      </c>
      <c r="B116" s="11" t="s">
        <v>252</v>
      </c>
      <c r="C116" s="95">
        <v>98.4</v>
      </c>
      <c r="D116" s="92">
        <v>-0.21279999999999999</v>
      </c>
      <c r="E116" s="41">
        <v>38263767.564725444</v>
      </c>
    </row>
    <row r="117" spans="1:5">
      <c r="A117" s="40" t="s">
        <v>233</v>
      </c>
      <c r="B117" s="11" t="s">
        <v>234</v>
      </c>
      <c r="C117" s="95">
        <v>304</v>
      </c>
      <c r="D117" s="92">
        <v>-0.2164948454</v>
      </c>
      <c r="E117" s="41">
        <v>19405957.85959287</v>
      </c>
    </row>
    <row r="118" spans="1:5">
      <c r="A118" s="40" t="s">
        <v>249</v>
      </c>
      <c r="B118" s="11" t="s">
        <v>250</v>
      </c>
      <c r="C118" s="95">
        <v>59.7</v>
      </c>
      <c r="D118" s="92">
        <v>-0.22164276399999999</v>
      </c>
      <c r="E118" s="41">
        <v>308421255.24230123</v>
      </c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287</v>
      </c>
      <c r="B1" s="69" t="s">
        <v>39</v>
      </c>
      <c r="C1" s="68" t="s">
        <v>37</v>
      </c>
      <c r="D1" s="70" t="s">
        <v>38</v>
      </c>
      <c r="E1" s="91" t="s">
        <v>294</v>
      </c>
    </row>
    <row r="2" spans="1:18" ht="17.25" thickBot="1">
      <c r="A2" s="40" t="s">
        <v>231</v>
      </c>
      <c r="B2" s="11" t="s">
        <v>232</v>
      </c>
      <c r="C2" s="95">
        <v>103</v>
      </c>
      <c r="D2" s="92">
        <v>8.3070452200000006E-2</v>
      </c>
      <c r="E2" s="93">
        <v>958380331.39126635</v>
      </c>
      <c r="F2" s="35"/>
      <c r="G2" s="54"/>
      <c r="H2" s="35"/>
      <c r="I2" s="35"/>
    </row>
    <row r="3" spans="1:18" ht="17.25" thickBot="1">
      <c r="A3" s="40" t="s">
        <v>117</v>
      </c>
      <c r="B3" s="11" t="s">
        <v>118</v>
      </c>
      <c r="C3" s="95">
        <v>4935</v>
      </c>
      <c r="D3" s="92">
        <v>5.3361792999999998E-2</v>
      </c>
      <c r="E3" s="93">
        <v>7312613.7629184602</v>
      </c>
      <c r="F3" s="35"/>
      <c r="G3" s="290" t="s">
        <v>290</v>
      </c>
      <c r="H3" s="302" t="s">
        <v>365</v>
      </c>
      <c r="I3" s="302"/>
      <c r="K3" s="246" t="s">
        <v>34</v>
      </c>
      <c r="L3" s="247"/>
      <c r="M3" s="247"/>
      <c r="N3" s="248"/>
      <c r="O3" s="246" t="s">
        <v>291</v>
      </c>
      <c r="P3" s="247"/>
      <c r="Q3" s="247"/>
      <c r="R3" s="248"/>
    </row>
    <row r="4" spans="1:18" ht="17.25" thickBot="1">
      <c r="A4" s="40" t="s">
        <v>149</v>
      </c>
      <c r="B4" s="11" t="s">
        <v>150</v>
      </c>
      <c r="C4" s="95">
        <v>2630</v>
      </c>
      <c r="D4" s="92">
        <v>3.9525691699999997E-2</v>
      </c>
      <c r="E4" s="93">
        <v>7158550.7848444702</v>
      </c>
      <c r="F4" s="35"/>
      <c r="G4" s="291"/>
      <c r="H4" s="303"/>
      <c r="I4" s="303"/>
      <c r="K4" s="283" t="s">
        <v>55</v>
      </c>
      <c r="L4" s="299">
        <f ca="1">NOW()</f>
        <v>44363.886320254627</v>
      </c>
      <c r="M4" s="300"/>
      <c r="N4" s="301"/>
      <c r="O4" s="298" t="s">
        <v>55</v>
      </c>
      <c r="P4" s="299">
        <f ca="1">NOW()</f>
        <v>44363.886320254627</v>
      </c>
      <c r="Q4" s="300"/>
      <c r="R4" s="301"/>
    </row>
    <row r="5" spans="1:18" ht="17.25" thickBot="1">
      <c r="A5" s="40" t="s">
        <v>87</v>
      </c>
      <c r="B5" s="11" t="s">
        <v>88</v>
      </c>
      <c r="C5" s="95">
        <v>394</v>
      </c>
      <c r="D5" s="92">
        <v>3.4120734899999998E-2</v>
      </c>
      <c r="E5" s="93">
        <v>586858868.92043281</v>
      </c>
      <c r="F5" s="35"/>
      <c r="K5" s="291"/>
      <c r="L5" s="51" t="s">
        <v>58</v>
      </c>
      <c r="M5" s="73" t="s">
        <v>59</v>
      </c>
      <c r="N5" s="69" t="s">
        <v>294</v>
      </c>
      <c r="O5" s="269"/>
      <c r="P5" s="51" t="s">
        <v>58</v>
      </c>
      <c r="Q5" s="73" t="s">
        <v>59</v>
      </c>
      <c r="R5" s="91" t="s">
        <v>294</v>
      </c>
    </row>
    <row r="6" spans="1:18" ht="17.25" thickBot="1">
      <c r="A6" s="40" t="s">
        <v>175</v>
      </c>
      <c r="B6" s="11" t="s">
        <v>176</v>
      </c>
      <c r="C6" s="95">
        <v>1055</v>
      </c>
      <c r="D6" s="92">
        <v>2.92682927E-2</v>
      </c>
      <c r="E6" s="93">
        <v>47740892.876944073</v>
      </c>
      <c r="F6" s="35"/>
      <c r="G6" s="246" t="s">
        <v>52</v>
      </c>
      <c r="H6" s="247"/>
      <c r="I6" s="248"/>
      <c r="K6" s="55" t="str">
        <f ca="1">IFERROR(OFFSET(INDIRECT($H$3 &amp; "!A17"), 0, 0), "")</f>
        <v>오브스</v>
      </c>
      <c r="L6" s="38">
        <f t="shared" ref="L6:L25" ca="1" si="0">_xlfn.IFNA(VLOOKUP(K6, $B$2:$D$200, 2, FALSE), "")</f>
        <v>77.900000000000006</v>
      </c>
      <c r="M6" s="76">
        <f t="shared" ref="M6:M25" ca="1" si="1">_xlfn.IFNA(VLOOKUP(K6, $B$2:$D$200, 3, FALSE), "")</f>
        <v>-4.6511627899999998E-2</v>
      </c>
      <c r="N6" s="85">
        <f ca="1">_xlfn.IFNA(VLOOKUP(K6, $B$2:$E$200, 4, FALSE), "")</f>
        <v>44029136.411715008</v>
      </c>
      <c r="O6" s="72" t="s">
        <v>232</v>
      </c>
      <c r="P6" s="38">
        <f t="shared" ref="P6:P25" si="2">_xlfn.IFNA(VLOOKUP(O6, $B$2:$D$200, 2, FALSE), "")</f>
        <v>103</v>
      </c>
      <c r="Q6" s="76">
        <f t="shared" ref="Q6:Q25" si="3">_xlfn.IFNA(VLOOKUP(O6, $B$2:$D$200, 3, FALSE), "")</f>
        <v>8.3070452200000006E-2</v>
      </c>
      <c r="R6" s="85">
        <f>_xlfn.IFNA(VLOOKUP(O6, $B$2:$E$200, 4, FALSE), "")</f>
        <v>958380331.39126635</v>
      </c>
    </row>
    <row r="7" spans="1:18">
      <c r="A7" s="40" t="s">
        <v>159</v>
      </c>
      <c r="B7" s="11" t="s">
        <v>160</v>
      </c>
      <c r="C7" s="95">
        <v>1655</v>
      </c>
      <c r="D7" s="92">
        <v>1.8461538499999999E-2</v>
      </c>
      <c r="E7" s="93">
        <v>9934667.2848957796</v>
      </c>
      <c r="F7" s="35"/>
      <c r="G7" s="274" t="s">
        <v>36</v>
      </c>
      <c r="H7" s="275"/>
      <c r="I7" s="276"/>
      <c r="K7" s="56" t="str">
        <f ca="1">IFERROR(OFFSET(INDIRECT($H$3 &amp; "!A17"), 1, 0), "")</f>
        <v>메디블록</v>
      </c>
      <c r="L7" s="39">
        <f t="shared" ca="1" si="0"/>
        <v>54.8</v>
      </c>
      <c r="M7" s="77">
        <f t="shared" ca="1" si="1"/>
        <v>-7.1186440700000006E-2</v>
      </c>
      <c r="N7" s="86">
        <f t="shared" ref="N7:N25" ca="1" si="4">_xlfn.IFNA(VLOOKUP(K7, $B$2:$E$200, 4, FALSE), "")</f>
        <v>186438446.76060143</v>
      </c>
      <c r="O7" s="88" t="s">
        <v>118</v>
      </c>
      <c r="P7" s="39">
        <f t="shared" si="2"/>
        <v>4935</v>
      </c>
      <c r="Q7" s="77">
        <f t="shared" si="3"/>
        <v>5.3361792999999998E-2</v>
      </c>
      <c r="R7" s="86">
        <f t="shared" ref="R7:R25" si="5">_xlfn.IFNA(VLOOKUP(O7, $B$2:$E$200, 4, FALSE), "")</f>
        <v>7312613.7629184602</v>
      </c>
    </row>
    <row r="8" spans="1:18" ht="17.25" thickBot="1">
      <c r="A8" s="40" t="s">
        <v>119</v>
      </c>
      <c r="B8" s="11" t="s">
        <v>120</v>
      </c>
      <c r="C8" s="95">
        <v>137</v>
      </c>
      <c r="D8" s="92">
        <v>1.4814814799999999E-2</v>
      </c>
      <c r="E8" s="93">
        <v>39312544.293046698</v>
      </c>
      <c r="F8" s="35"/>
      <c r="G8" s="267"/>
      <c r="H8" s="268"/>
      <c r="I8" s="269"/>
      <c r="K8" s="56" t="str">
        <f ca="1">IFERROR(OFFSET(INDIRECT($H$3 &amp; "!A17"), 2, 0), "")</f>
        <v>메타디움</v>
      </c>
      <c r="L8" s="39">
        <f t="shared" ca="1" si="0"/>
        <v>87.8</v>
      </c>
      <c r="M8" s="77">
        <f t="shared" ca="1" si="1"/>
        <v>-6.7940552000000001E-2</v>
      </c>
      <c r="N8" s="86">
        <f t="shared" ca="1" si="4"/>
        <v>84526939.452911913</v>
      </c>
      <c r="O8" s="88" t="s">
        <v>150</v>
      </c>
      <c r="P8" s="39">
        <f t="shared" si="2"/>
        <v>2630</v>
      </c>
      <c r="Q8" s="77">
        <f t="shared" si="3"/>
        <v>3.9525691699999997E-2</v>
      </c>
      <c r="R8" s="86">
        <f t="shared" si="5"/>
        <v>7158550.7848444702</v>
      </c>
    </row>
    <row r="9" spans="1:18" ht="17.25" thickBot="1">
      <c r="A9" s="40" t="s">
        <v>197</v>
      </c>
      <c r="B9" s="11" t="s">
        <v>198</v>
      </c>
      <c r="C9" s="95">
        <v>15</v>
      </c>
      <c r="D9" s="92">
        <v>1.3513513499999999E-2</v>
      </c>
      <c r="E9" s="93">
        <v>4919262894.4380054</v>
      </c>
      <c r="F9" s="35"/>
      <c r="G9" s="50" t="s">
        <v>38</v>
      </c>
      <c r="H9" s="247" t="s">
        <v>37</v>
      </c>
      <c r="I9" s="248"/>
      <c r="K9" s="56" t="str">
        <f ca="1">IFERROR(OFFSET(INDIRECT($H$3 &amp; "!A17"), 3, 0), "")</f>
        <v>헌트</v>
      </c>
      <c r="L9" s="39">
        <f t="shared" ca="1" si="0"/>
        <v>250</v>
      </c>
      <c r="M9" s="77">
        <f t="shared" ca="1" si="1"/>
        <v>-4.9429657799999999E-2</v>
      </c>
      <c r="N9" s="86">
        <f t="shared" ca="1" si="4"/>
        <v>18424549.210683171</v>
      </c>
      <c r="O9" s="88" t="s">
        <v>88</v>
      </c>
      <c r="P9" s="39">
        <f t="shared" si="2"/>
        <v>394</v>
      </c>
      <c r="Q9" s="77">
        <f t="shared" si="3"/>
        <v>3.4120734899999998E-2</v>
      </c>
      <c r="R9" s="86">
        <f t="shared" si="5"/>
        <v>586858868.92043281</v>
      </c>
    </row>
    <row r="10" spans="1:18">
      <c r="A10" s="40" t="s">
        <v>199</v>
      </c>
      <c r="B10" s="11" t="s">
        <v>200</v>
      </c>
      <c r="C10" s="95">
        <v>170</v>
      </c>
      <c r="D10" s="92">
        <v>1.19047619E-2</v>
      </c>
      <c r="E10" s="93">
        <v>87835585.324890509</v>
      </c>
      <c r="F10" s="35"/>
      <c r="G10" s="292">
        <f>_xlfn.IFNA(VLOOKUP(G7, $B$2:$D$200, 3, FALSE), "-")</f>
        <v>-2.27209037E-2</v>
      </c>
      <c r="H10" s="294">
        <f>_xlfn.IFNA(VLOOKUP(G7, $B$2:$D$200, 2, FALSE), "-")</f>
        <v>45335000</v>
      </c>
      <c r="I10" s="295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176</v>
      </c>
      <c r="P10" s="39">
        <f t="shared" si="2"/>
        <v>1055</v>
      </c>
      <c r="Q10" s="77">
        <f t="shared" si="3"/>
        <v>2.92682927E-2</v>
      </c>
      <c r="R10" s="90">
        <f t="shared" si="5"/>
        <v>47740892.876944073</v>
      </c>
    </row>
    <row r="11" spans="1:18" ht="17.25" thickBot="1">
      <c r="A11" s="40" t="s">
        <v>135</v>
      </c>
      <c r="B11" s="11" t="s">
        <v>136</v>
      </c>
      <c r="C11" s="95">
        <v>123</v>
      </c>
      <c r="D11" s="92">
        <v>-8.0645161000000003E-3</v>
      </c>
      <c r="E11" s="93">
        <v>40047951.58945179</v>
      </c>
      <c r="F11" s="35"/>
      <c r="G11" s="293"/>
      <c r="H11" s="296"/>
      <c r="I11" s="297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160</v>
      </c>
      <c r="P11" s="45">
        <f t="shared" si="2"/>
        <v>1655</v>
      </c>
      <c r="Q11" s="80">
        <f t="shared" si="3"/>
        <v>1.8461538499999999E-2</v>
      </c>
      <c r="R11" s="99">
        <f t="shared" si="5"/>
        <v>9934667.2848957796</v>
      </c>
    </row>
    <row r="12" spans="1:18" ht="17.25" thickBot="1">
      <c r="A12" s="40" t="s">
        <v>105</v>
      </c>
      <c r="B12" s="11" t="s">
        <v>106</v>
      </c>
      <c r="C12" s="95">
        <v>1025</v>
      </c>
      <c r="D12" s="92">
        <v>-9.6618356999999995E-3</v>
      </c>
      <c r="E12" s="93">
        <v>2269969.2957033101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120</v>
      </c>
      <c r="P12" s="39">
        <f t="shared" si="2"/>
        <v>137</v>
      </c>
      <c r="Q12" s="77">
        <f t="shared" si="3"/>
        <v>1.4814814799999999E-2</v>
      </c>
      <c r="R12" s="86">
        <f t="shared" si="5"/>
        <v>39312544.293046698</v>
      </c>
    </row>
    <row r="13" spans="1:18" ht="17.25" thickBot="1">
      <c r="A13" s="40" t="s">
        <v>243</v>
      </c>
      <c r="B13" s="11" t="s">
        <v>244</v>
      </c>
      <c r="C13" s="95">
        <v>1485</v>
      </c>
      <c r="D13" s="92">
        <v>-1.32890365E-2</v>
      </c>
      <c r="E13" s="93">
        <v>10807835.33964717</v>
      </c>
      <c r="F13" s="35"/>
      <c r="G13" s="246" t="s">
        <v>70</v>
      </c>
      <c r="H13" s="247"/>
      <c r="I13" s="248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198</v>
      </c>
      <c r="P13" s="39">
        <f t="shared" si="2"/>
        <v>15</v>
      </c>
      <c r="Q13" s="77">
        <f t="shared" si="3"/>
        <v>1.3513513499999999E-2</v>
      </c>
      <c r="R13" s="86">
        <f t="shared" si="5"/>
        <v>4919262894.4380054</v>
      </c>
    </row>
    <row r="14" spans="1:18">
      <c r="A14" s="40" t="s">
        <v>163</v>
      </c>
      <c r="B14" s="11" t="s">
        <v>164</v>
      </c>
      <c r="C14" s="95">
        <v>18870</v>
      </c>
      <c r="D14" s="92">
        <v>-1.5649452300000002E-2</v>
      </c>
      <c r="E14" s="93">
        <v>811594.92478308</v>
      </c>
      <c r="F14" s="35"/>
      <c r="G14" s="274" t="s">
        <v>36</v>
      </c>
      <c r="H14" s="275"/>
      <c r="I14" s="276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200</v>
      </c>
      <c r="P14" s="39">
        <f t="shared" si="2"/>
        <v>170</v>
      </c>
      <c r="Q14" s="77">
        <f t="shared" si="3"/>
        <v>1.19047619E-2</v>
      </c>
      <c r="R14" s="86">
        <f t="shared" si="5"/>
        <v>87835585.324890509</v>
      </c>
    </row>
    <row r="15" spans="1:18" ht="17.25" thickBot="1">
      <c r="A15" s="40" t="s">
        <v>60</v>
      </c>
      <c r="B15" s="11" t="s">
        <v>61</v>
      </c>
      <c r="C15" s="95">
        <v>807</v>
      </c>
      <c r="D15" s="92">
        <v>-1.8248175200000001E-2</v>
      </c>
      <c r="E15" s="93">
        <v>28064698.298678119</v>
      </c>
      <c r="F15" s="35"/>
      <c r="G15" s="267"/>
      <c r="H15" s="268"/>
      <c r="I15" s="269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136</v>
      </c>
      <c r="P15" s="37">
        <f t="shared" si="2"/>
        <v>123</v>
      </c>
      <c r="Q15" s="79">
        <f t="shared" si="3"/>
        <v>-8.0645161000000003E-3</v>
      </c>
      <c r="R15" s="87">
        <f t="shared" si="5"/>
        <v>40047951.58945179</v>
      </c>
    </row>
    <row r="16" spans="1:18" ht="17.25" thickBot="1">
      <c r="A16" s="40" t="s">
        <v>189</v>
      </c>
      <c r="B16" s="11" t="s">
        <v>190</v>
      </c>
      <c r="C16" s="95">
        <v>51440</v>
      </c>
      <c r="D16" s="92">
        <v>-2.00038102E-2</v>
      </c>
      <c r="E16" s="93">
        <v>1341746.31967745</v>
      </c>
      <c r="F16" s="35"/>
      <c r="G16" s="50" t="s">
        <v>38</v>
      </c>
      <c r="H16" s="247" t="s">
        <v>37</v>
      </c>
      <c r="I16" s="248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106</v>
      </c>
      <c r="P16" s="38">
        <f t="shared" si="2"/>
        <v>1025</v>
      </c>
      <c r="Q16" s="76">
        <f t="shared" si="3"/>
        <v>-9.6618356999999995E-3</v>
      </c>
      <c r="R16" s="85">
        <f t="shared" si="5"/>
        <v>2269969.2957033101</v>
      </c>
    </row>
    <row r="17" spans="1:18">
      <c r="A17" s="40" t="s">
        <v>50</v>
      </c>
      <c r="B17" s="11" t="s">
        <v>51</v>
      </c>
      <c r="C17" s="95">
        <v>378</v>
      </c>
      <c r="D17" s="92">
        <v>-2.0725388599999998E-2</v>
      </c>
      <c r="E17" s="93">
        <v>49828594.165088691</v>
      </c>
      <c r="F17" s="35"/>
      <c r="G17" s="292">
        <f>_xlfn.IFNA(VLOOKUP(G14, $B$2:$D$200, 3, FALSE), "-")</f>
        <v>-2.27209037E-2</v>
      </c>
      <c r="H17" s="294">
        <f>_xlfn.IFNA(VLOOKUP(G14, $B$2:$D$200, 2, FALSE), "-")</f>
        <v>45335000</v>
      </c>
      <c r="I17" s="295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244</v>
      </c>
      <c r="P17" s="39">
        <f t="shared" si="2"/>
        <v>1485</v>
      </c>
      <c r="Q17" s="77">
        <f t="shared" si="3"/>
        <v>-1.32890365E-2</v>
      </c>
      <c r="R17" s="86">
        <f t="shared" si="5"/>
        <v>10807835.33964717</v>
      </c>
    </row>
    <row r="18" spans="1:18" ht="17.25" thickBot="1">
      <c r="A18" s="40" t="s">
        <v>155</v>
      </c>
      <c r="B18" s="11" t="s">
        <v>156</v>
      </c>
      <c r="C18" s="95">
        <v>81.2</v>
      </c>
      <c r="D18" s="92">
        <v>-2.1686746999999999E-2</v>
      </c>
      <c r="E18" s="93">
        <v>91928993.761296406</v>
      </c>
      <c r="F18" s="35"/>
      <c r="G18" s="293"/>
      <c r="H18" s="296"/>
      <c r="I18" s="297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164</v>
      </c>
      <c r="P18" s="39">
        <f t="shared" si="2"/>
        <v>18870</v>
      </c>
      <c r="Q18" s="77">
        <f t="shared" si="3"/>
        <v>-1.5649452300000002E-2</v>
      </c>
      <c r="R18" s="86">
        <f t="shared" si="5"/>
        <v>811594.92478308</v>
      </c>
    </row>
    <row r="19" spans="1:18" ht="17.25" thickBot="1">
      <c r="A19" s="40" t="s">
        <v>83</v>
      </c>
      <c r="B19" s="11" t="s">
        <v>84</v>
      </c>
      <c r="C19" s="95">
        <v>1760</v>
      </c>
      <c r="D19" s="92">
        <v>-2.2222222199999999E-2</v>
      </c>
      <c r="E19" s="93">
        <v>14582587.90275836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61</v>
      </c>
      <c r="P19" s="39">
        <f t="shared" si="2"/>
        <v>807</v>
      </c>
      <c r="Q19" s="77">
        <f t="shared" si="3"/>
        <v>-1.8248175200000001E-2</v>
      </c>
      <c r="R19" s="86">
        <f t="shared" si="5"/>
        <v>28064698.298678119</v>
      </c>
    </row>
    <row r="20" spans="1:18" ht="17.25" thickBot="1">
      <c r="A20" s="40" t="s">
        <v>209</v>
      </c>
      <c r="B20" s="11" t="s">
        <v>210</v>
      </c>
      <c r="C20" s="95">
        <v>88</v>
      </c>
      <c r="D20" s="92">
        <v>-2.2222222199999999E-2</v>
      </c>
      <c r="E20" s="93">
        <v>274360993.06719381</v>
      </c>
      <c r="F20" s="35"/>
      <c r="G20" s="246" t="s">
        <v>286</v>
      </c>
      <c r="H20" s="247"/>
      <c r="I20" s="248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190</v>
      </c>
      <c r="P20" s="39">
        <f t="shared" si="2"/>
        <v>51440</v>
      </c>
      <c r="Q20" s="77">
        <f t="shared" si="3"/>
        <v>-2.00038102E-2</v>
      </c>
      <c r="R20" s="90">
        <f t="shared" si="5"/>
        <v>1341746.31967745</v>
      </c>
    </row>
    <row r="21" spans="1:18">
      <c r="A21" s="40" t="s">
        <v>277</v>
      </c>
      <c r="B21" s="11" t="s">
        <v>278</v>
      </c>
      <c r="C21" s="95">
        <v>69.900000000000006</v>
      </c>
      <c r="D21" s="92">
        <v>-2.2377622400000002E-2</v>
      </c>
      <c r="E21" s="93">
        <v>13790700.367384341</v>
      </c>
      <c r="F21" s="35"/>
      <c r="G21" s="274" t="s">
        <v>36</v>
      </c>
      <c r="H21" s="275"/>
      <c r="I21" s="276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51</v>
      </c>
      <c r="P21" s="45">
        <f t="shared" si="2"/>
        <v>378</v>
      </c>
      <c r="Q21" s="80">
        <f t="shared" si="3"/>
        <v>-2.0725388599999998E-2</v>
      </c>
      <c r="R21" s="99">
        <f t="shared" si="5"/>
        <v>49828594.165088691</v>
      </c>
    </row>
    <row r="22" spans="1:18" ht="17.25" thickBot="1">
      <c r="A22" s="40" t="s">
        <v>48</v>
      </c>
      <c r="B22" s="11" t="s">
        <v>49</v>
      </c>
      <c r="C22" s="95">
        <v>45335000</v>
      </c>
      <c r="D22" s="92">
        <v>-2.27209037E-2</v>
      </c>
      <c r="E22" s="93">
        <v>5299.9254492700002</v>
      </c>
      <c r="F22" s="35"/>
      <c r="G22" s="267"/>
      <c r="H22" s="268"/>
      <c r="I22" s="269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156</v>
      </c>
      <c r="P22" s="39">
        <f t="shared" si="2"/>
        <v>81.2</v>
      </c>
      <c r="Q22" s="77">
        <f t="shared" si="3"/>
        <v>-2.1686746999999999E-2</v>
      </c>
      <c r="R22" s="86">
        <f t="shared" si="5"/>
        <v>91928993.761296406</v>
      </c>
    </row>
    <row r="23" spans="1:18" ht="17.25" thickBot="1">
      <c r="A23" s="40" t="s">
        <v>89</v>
      </c>
      <c r="B23" s="11" t="s">
        <v>90</v>
      </c>
      <c r="C23" s="95">
        <v>191400</v>
      </c>
      <c r="D23" s="92">
        <v>-2.3469387800000002E-2</v>
      </c>
      <c r="E23" s="93">
        <v>11613.532752319999</v>
      </c>
      <c r="F23" s="35"/>
      <c r="G23" s="50" t="s">
        <v>38</v>
      </c>
      <c r="H23" s="247" t="s">
        <v>37</v>
      </c>
      <c r="I23" s="248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84</v>
      </c>
      <c r="P23" s="39">
        <f t="shared" si="2"/>
        <v>1760</v>
      </c>
      <c r="Q23" s="77">
        <f t="shared" si="3"/>
        <v>-2.2222222199999999E-2</v>
      </c>
      <c r="R23" s="86">
        <f t="shared" si="5"/>
        <v>14582587.90275836</v>
      </c>
    </row>
    <row r="24" spans="1:18">
      <c r="A24" s="40" t="s">
        <v>295</v>
      </c>
      <c r="B24" s="11" t="s">
        <v>296</v>
      </c>
      <c r="C24" s="95">
        <v>360</v>
      </c>
      <c r="D24" s="92">
        <v>-2.4390243900000001E-2</v>
      </c>
      <c r="E24" s="93">
        <v>237132598.57343888</v>
      </c>
      <c r="F24" s="35"/>
      <c r="G24" s="292">
        <f>_xlfn.IFNA(VLOOKUP(G21, $B$2:$D$200, 3, FALSE), "-")</f>
        <v>-2.27209037E-2</v>
      </c>
      <c r="H24" s="294">
        <f>_xlfn.IFNA(VLOOKUP(G21, $B$2:$D$200, 2, FALSE), "-")</f>
        <v>45335000</v>
      </c>
      <c r="I24" s="295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210</v>
      </c>
      <c r="P24" s="39">
        <f t="shared" si="2"/>
        <v>88</v>
      </c>
      <c r="Q24" s="77">
        <f t="shared" si="3"/>
        <v>-2.2222222199999999E-2</v>
      </c>
      <c r="R24" s="86">
        <f t="shared" si="5"/>
        <v>274360993.06719381</v>
      </c>
    </row>
    <row r="25" spans="1:18" ht="17.25" thickBot="1">
      <c r="A25" s="40" t="s">
        <v>167</v>
      </c>
      <c r="B25" s="11" t="s">
        <v>168</v>
      </c>
      <c r="C25" s="95">
        <v>82.6</v>
      </c>
      <c r="D25" s="92">
        <v>-2.59433962E-2</v>
      </c>
      <c r="E25" s="93">
        <v>33958781.11859145</v>
      </c>
      <c r="F25" s="35"/>
      <c r="G25" s="293"/>
      <c r="H25" s="296"/>
      <c r="I25" s="297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278</v>
      </c>
      <c r="P25" s="37">
        <f t="shared" si="2"/>
        <v>69.900000000000006</v>
      </c>
      <c r="Q25" s="79">
        <f t="shared" si="3"/>
        <v>-2.2377622400000002E-2</v>
      </c>
      <c r="R25" s="87">
        <f t="shared" si="5"/>
        <v>13790700.367384341</v>
      </c>
    </row>
    <row r="26" spans="1:18">
      <c r="A26" s="40" t="s">
        <v>143</v>
      </c>
      <c r="B26" s="11" t="s">
        <v>144</v>
      </c>
      <c r="C26" s="95">
        <v>5845</v>
      </c>
      <c r="D26" s="92">
        <v>-2.6644462899999999E-2</v>
      </c>
      <c r="E26" s="93">
        <v>969488.02352166001</v>
      </c>
      <c r="F26" s="35"/>
    </row>
    <row r="27" spans="1:18" ht="17.25" thickBot="1">
      <c r="A27" s="40" t="s">
        <v>113</v>
      </c>
      <c r="B27" s="11" t="s">
        <v>114</v>
      </c>
      <c r="C27" s="95">
        <v>9955</v>
      </c>
      <c r="D27" s="92">
        <v>-2.783203125E-2</v>
      </c>
      <c r="E27" s="93">
        <v>734982.42263061996</v>
      </c>
      <c r="F27" s="35"/>
    </row>
    <row r="28" spans="1:18" ht="17.25" thickBot="1">
      <c r="A28" s="40" t="s">
        <v>73</v>
      </c>
      <c r="B28" s="11" t="s">
        <v>74</v>
      </c>
      <c r="C28" s="95">
        <v>14550</v>
      </c>
      <c r="D28" s="92">
        <v>-2.80561122E-2</v>
      </c>
      <c r="E28" s="93">
        <v>121211.69980846001</v>
      </c>
      <c r="F28" s="35"/>
      <c r="G28" s="246" t="s">
        <v>46</v>
      </c>
      <c r="H28" s="247"/>
      <c r="I28" s="247"/>
      <c r="J28" s="248"/>
      <c r="K28" s="246" t="s">
        <v>44</v>
      </c>
      <c r="L28" s="247"/>
      <c r="M28" s="247"/>
      <c r="N28" s="248"/>
      <c r="O28" s="246" t="s">
        <v>45</v>
      </c>
      <c r="P28" s="247"/>
      <c r="Q28" s="247"/>
      <c r="R28" s="248"/>
    </row>
    <row r="29" spans="1:18" ht="17.25" thickBot="1">
      <c r="A29" s="40" t="s">
        <v>239</v>
      </c>
      <c r="B29" s="11" t="s">
        <v>240</v>
      </c>
      <c r="C29" s="95">
        <v>88.2</v>
      </c>
      <c r="D29" s="92">
        <v>-2.86343612E-2</v>
      </c>
      <c r="E29" s="93">
        <v>243958792.27612266</v>
      </c>
      <c r="F29" s="35"/>
      <c r="G29" s="283" t="s">
        <v>55</v>
      </c>
      <c r="H29" s="299">
        <f ca="1">NOW()</f>
        <v>44363.886320254627</v>
      </c>
      <c r="I29" s="300"/>
      <c r="J29" s="301"/>
      <c r="K29" s="298" t="s">
        <v>55</v>
      </c>
      <c r="L29" s="299">
        <f ca="1">NOW()</f>
        <v>44363.886320254627</v>
      </c>
      <c r="M29" s="300"/>
      <c r="N29" s="301"/>
      <c r="O29" s="298" t="s">
        <v>55</v>
      </c>
      <c r="P29" s="299">
        <f ca="1">NOW()</f>
        <v>44363.886320254627</v>
      </c>
      <c r="Q29" s="300"/>
      <c r="R29" s="301"/>
    </row>
    <row r="30" spans="1:18" ht="17.25" thickBot="1">
      <c r="A30" s="40" t="s">
        <v>157</v>
      </c>
      <c r="B30" s="11" t="s">
        <v>158</v>
      </c>
      <c r="C30" s="95">
        <v>5050</v>
      </c>
      <c r="D30" s="92">
        <v>-2.88461538E-2</v>
      </c>
      <c r="E30" s="93">
        <v>2976183.6115929699</v>
      </c>
      <c r="F30" s="35"/>
      <c r="G30" s="291"/>
      <c r="H30" s="51" t="s">
        <v>58</v>
      </c>
      <c r="I30" s="73" t="s">
        <v>59</v>
      </c>
      <c r="J30" s="69" t="s">
        <v>294</v>
      </c>
      <c r="K30" s="269"/>
      <c r="L30" s="51" t="s">
        <v>58</v>
      </c>
      <c r="M30" s="73" t="s">
        <v>59</v>
      </c>
      <c r="N30" s="91" t="s">
        <v>294</v>
      </c>
      <c r="O30" s="269"/>
      <c r="P30" s="51" t="s">
        <v>58</v>
      </c>
      <c r="Q30" s="73" t="s">
        <v>59</v>
      </c>
      <c r="R30" s="91" t="s">
        <v>294</v>
      </c>
    </row>
    <row r="31" spans="1:18">
      <c r="A31" s="40" t="s">
        <v>91</v>
      </c>
      <c r="B31" s="11" t="s">
        <v>92</v>
      </c>
      <c r="C31" s="95">
        <v>976</v>
      </c>
      <c r="D31" s="92">
        <v>-2.8855721399999999E-2</v>
      </c>
      <c r="E31" s="93">
        <v>170024540.58456266</v>
      </c>
      <c r="F31" s="35"/>
      <c r="G31" s="52" t="s">
        <v>232</v>
      </c>
      <c r="H31" s="38">
        <f t="shared" ref="H31:H50" si="6">_xlfn.IFNA(VLOOKUP(G31, $B$2:$D$200, 2, FALSE), "")</f>
        <v>103</v>
      </c>
      <c r="I31" s="76">
        <f t="shared" ref="I31:I50" si="7">_xlfn.IFNA(VLOOKUP(G31, $B$2:$D$200, 3, FALSE), "")</f>
        <v>8.3070452200000006E-2</v>
      </c>
      <c r="J31" s="85">
        <f>_xlfn.IFNA(VLOOKUP(G31, $B$2:$E$200, 4, FALSE), "")</f>
        <v>958380331.39126635</v>
      </c>
      <c r="K31" s="81" t="s">
        <v>198</v>
      </c>
      <c r="L31" s="38">
        <f t="shared" ref="L31:L50" si="8">_xlfn.IFNA(VLOOKUP(K31, $B$2:$D$200, 2, FALSE), "")</f>
        <v>15</v>
      </c>
      <c r="M31" s="76">
        <f t="shared" ref="M31:M50" si="9">_xlfn.IFNA(VLOOKUP(K31, $B$2:$D$200, 3, FALSE), "")</f>
        <v>1.3513513499999999E-2</v>
      </c>
      <c r="N31" s="85">
        <f>_xlfn.IFNA(VLOOKUP(K31, $B$2:$E$200, 4, FALSE), "")</f>
        <v>4919262894.4380054</v>
      </c>
      <c r="O31" s="81" t="s">
        <v>232</v>
      </c>
      <c r="P31" s="38">
        <f t="shared" ref="P31:P50" si="10">_xlfn.IFNA(VLOOKUP(O31, $B$2:$D$200, 2, FALSE), "")</f>
        <v>103</v>
      </c>
      <c r="Q31" s="76">
        <f t="shared" ref="Q31:Q50" si="11">_xlfn.IFNA(VLOOKUP(O31, $B$2:$D$200, 3, FALSE), "")</f>
        <v>8.3070452200000006E-2</v>
      </c>
      <c r="R31" s="85">
        <f>_xlfn.IFNA(VLOOKUP(O31, $B$2:$E$200, 4, FALSE), "")</f>
        <v>958380331.39126635</v>
      </c>
    </row>
    <row r="32" spans="1:18">
      <c r="A32" s="40" t="s">
        <v>99</v>
      </c>
      <c r="B32" s="11" t="s">
        <v>100</v>
      </c>
      <c r="C32" s="95">
        <v>3.9</v>
      </c>
      <c r="D32" s="92">
        <v>-2.9850746300000001E-2</v>
      </c>
      <c r="E32" s="93">
        <v>5858865688.1369638</v>
      </c>
      <c r="F32" s="35"/>
      <c r="G32" s="47" t="s">
        <v>118</v>
      </c>
      <c r="H32" s="39">
        <f t="shared" si="6"/>
        <v>4935</v>
      </c>
      <c r="I32" s="77">
        <f t="shared" si="7"/>
        <v>5.3361792999999998E-2</v>
      </c>
      <c r="J32" s="86">
        <f t="shared" ref="J32:J50" si="12">_xlfn.IFNA(VLOOKUP(G32, $B$2:$E$200, 4, FALSE), "")</f>
        <v>7312613.7629184602</v>
      </c>
      <c r="K32" s="82" t="s">
        <v>156</v>
      </c>
      <c r="L32" s="39">
        <f t="shared" si="8"/>
        <v>81.2</v>
      </c>
      <c r="M32" s="77">
        <f t="shared" si="9"/>
        <v>-2.1686746999999999E-2</v>
      </c>
      <c r="N32" s="86">
        <f t="shared" ref="N32:N50" si="13">_xlfn.IFNA(VLOOKUP(K32, $B$2:$E$200, 4, FALSE), "")</f>
        <v>91928993.761296406</v>
      </c>
      <c r="O32" s="82" t="s">
        <v>88</v>
      </c>
      <c r="P32" s="39">
        <f t="shared" si="10"/>
        <v>394</v>
      </c>
      <c r="Q32" s="77">
        <f t="shared" si="11"/>
        <v>3.4120734899999998E-2</v>
      </c>
      <c r="R32" s="86">
        <f t="shared" ref="R32:R50" si="14">_xlfn.IFNA(VLOOKUP(O32, $B$2:$E$200, 4, FALSE), "")</f>
        <v>586858868.92043281</v>
      </c>
    </row>
    <row r="33" spans="1:18">
      <c r="A33" s="40" t="s">
        <v>229</v>
      </c>
      <c r="B33" s="11" t="s">
        <v>230</v>
      </c>
      <c r="C33" s="95">
        <v>90.7</v>
      </c>
      <c r="D33" s="92">
        <v>-2.99465241E-2</v>
      </c>
      <c r="E33" s="93">
        <v>244115635.12598738</v>
      </c>
      <c r="F33" s="35"/>
      <c r="G33" s="47" t="s">
        <v>150</v>
      </c>
      <c r="H33" s="39">
        <f t="shared" si="6"/>
        <v>2630</v>
      </c>
      <c r="I33" s="77">
        <f t="shared" si="7"/>
        <v>3.9525691699999997E-2</v>
      </c>
      <c r="J33" s="86">
        <f t="shared" si="12"/>
        <v>7158550.7848444702</v>
      </c>
      <c r="K33" s="82" t="s">
        <v>210</v>
      </c>
      <c r="L33" s="39">
        <f t="shared" si="8"/>
        <v>88</v>
      </c>
      <c r="M33" s="77">
        <f t="shared" si="9"/>
        <v>-2.2222222199999999E-2</v>
      </c>
      <c r="N33" s="86">
        <f t="shared" si="13"/>
        <v>274360993.06719381</v>
      </c>
      <c r="O33" s="82" t="s">
        <v>120</v>
      </c>
      <c r="P33" s="39">
        <f t="shared" si="10"/>
        <v>137</v>
      </c>
      <c r="Q33" s="77">
        <f t="shared" si="11"/>
        <v>1.4814814799999999E-2</v>
      </c>
      <c r="R33" s="86">
        <f t="shared" si="14"/>
        <v>39312544.293046698</v>
      </c>
    </row>
    <row r="34" spans="1:18">
      <c r="A34" s="40" t="s">
        <v>95</v>
      </c>
      <c r="B34" s="11" t="s">
        <v>96</v>
      </c>
      <c r="C34" s="95">
        <v>2851000</v>
      </c>
      <c r="D34" s="92">
        <v>-3.0272108799999999E-2</v>
      </c>
      <c r="E34" s="93">
        <v>54568.028141850002</v>
      </c>
      <c r="F34" s="35"/>
      <c r="G34" s="47" t="s">
        <v>88</v>
      </c>
      <c r="H34" s="39">
        <f t="shared" si="6"/>
        <v>394</v>
      </c>
      <c r="I34" s="77">
        <f t="shared" si="7"/>
        <v>3.4120734899999998E-2</v>
      </c>
      <c r="J34" s="86">
        <f t="shared" si="12"/>
        <v>586858868.92043281</v>
      </c>
      <c r="K34" s="82" t="s">
        <v>278</v>
      </c>
      <c r="L34" s="39">
        <f t="shared" si="8"/>
        <v>69.900000000000006</v>
      </c>
      <c r="M34" s="77">
        <f t="shared" si="9"/>
        <v>-2.2377622400000002E-2</v>
      </c>
      <c r="N34" s="86">
        <f t="shared" si="13"/>
        <v>13790700.367384341</v>
      </c>
      <c r="O34" s="82" t="s">
        <v>200</v>
      </c>
      <c r="P34" s="39">
        <f t="shared" si="10"/>
        <v>170</v>
      </c>
      <c r="Q34" s="77">
        <f t="shared" si="11"/>
        <v>1.19047619E-2</v>
      </c>
      <c r="R34" s="86">
        <f t="shared" si="14"/>
        <v>87835585.324890509</v>
      </c>
    </row>
    <row r="35" spans="1:18">
      <c r="A35" s="40" t="s">
        <v>97</v>
      </c>
      <c r="B35" s="11" t="s">
        <v>98</v>
      </c>
      <c r="C35" s="95">
        <v>3675</v>
      </c>
      <c r="D35" s="92">
        <v>-3.03430079E-2</v>
      </c>
      <c r="E35" s="93">
        <v>951979.99727220996</v>
      </c>
      <c r="F35" s="35"/>
      <c r="G35" s="47" t="s">
        <v>176</v>
      </c>
      <c r="H35" s="44">
        <f t="shared" si="6"/>
        <v>1055</v>
      </c>
      <c r="I35" s="78">
        <f t="shared" si="7"/>
        <v>2.92682927E-2</v>
      </c>
      <c r="J35" s="90">
        <f t="shared" si="12"/>
        <v>47740892.876944073</v>
      </c>
      <c r="K35" s="83" t="s">
        <v>168</v>
      </c>
      <c r="L35" s="44">
        <f t="shared" si="8"/>
        <v>82.6</v>
      </c>
      <c r="M35" s="78">
        <f t="shared" si="9"/>
        <v>-2.59433962E-2</v>
      </c>
      <c r="N35" s="90">
        <f t="shared" si="13"/>
        <v>33958781.11859145</v>
      </c>
      <c r="O35" s="83" t="s">
        <v>136</v>
      </c>
      <c r="P35" s="44">
        <f t="shared" si="10"/>
        <v>123</v>
      </c>
      <c r="Q35" s="78">
        <f t="shared" si="11"/>
        <v>-8.0645161000000003E-3</v>
      </c>
      <c r="R35" s="90">
        <f t="shared" si="14"/>
        <v>40047951.58945179</v>
      </c>
    </row>
    <row r="36" spans="1:18">
      <c r="A36" s="40" t="s">
        <v>131</v>
      </c>
      <c r="B36" s="11" t="s">
        <v>132</v>
      </c>
      <c r="C36" s="95">
        <v>125</v>
      </c>
      <c r="D36" s="92">
        <v>-3.1007751900000002E-2</v>
      </c>
      <c r="E36" s="93">
        <v>266866996.23858052</v>
      </c>
      <c r="F36" s="35"/>
      <c r="G36" s="49" t="s">
        <v>160</v>
      </c>
      <c r="H36" s="39">
        <f t="shared" si="6"/>
        <v>1655</v>
      </c>
      <c r="I36" s="77">
        <f t="shared" si="7"/>
        <v>1.8461538499999999E-2</v>
      </c>
      <c r="J36" s="99">
        <f t="shared" si="12"/>
        <v>9934667.2848957796</v>
      </c>
      <c r="K36" s="82" t="s">
        <v>240</v>
      </c>
      <c r="L36" s="39">
        <f t="shared" si="8"/>
        <v>88.2</v>
      </c>
      <c r="M36" s="77">
        <f t="shared" si="9"/>
        <v>-2.86343612E-2</v>
      </c>
      <c r="N36" s="99">
        <f t="shared" si="13"/>
        <v>243958792.27612266</v>
      </c>
      <c r="O36" s="82" t="s">
        <v>61</v>
      </c>
      <c r="P36" s="39">
        <f t="shared" si="10"/>
        <v>807</v>
      </c>
      <c r="Q36" s="77">
        <f t="shared" si="11"/>
        <v>-1.8248175200000001E-2</v>
      </c>
      <c r="R36" s="99">
        <f t="shared" si="14"/>
        <v>28064698.298678119</v>
      </c>
    </row>
    <row r="37" spans="1:18">
      <c r="A37" s="40" t="s">
        <v>129</v>
      </c>
      <c r="B37" s="11" t="s">
        <v>130</v>
      </c>
      <c r="C37" s="95">
        <v>196000</v>
      </c>
      <c r="D37" s="92">
        <v>-3.1381270099999997E-2</v>
      </c>
      <c r="E37" s="93">
        <v>44345.91030068</v>
      </c>
      <c r="F37" s="35"/>
      <c r="G37" s="47" t="s">
        <v>120</v>
      </c>
      <c r="H37" s="39">
        <f t="shared" si="6"/>
        <v>137</v>
      </c>
      <c r="I37" s="77">
        <f t="shared" si="7"/>
        <v>1.4814814799999999E-2</v>
      </c>
      <c r="J37" s="86">
        <f t="shared" si="12"/>
        <v>39312544.293046698</v>
      </c>
      <c r="K37" s="82" t="s">
        <v>100</v>
      </c>
      <c r="L37" s="39">
        <f t="shared" si="8"/>
        <v>3.9</v>
      </c>
      <c r="M37" s="77">
        <f t="shared" si="9"/>
        <v>-2.9850746300000001E-2</v>
      </c>
      <c r="N37" s="86">
        <f t="shared" si="13"/>
        <v>5858865688.1369638</v>
      </c>
      <c r="O37" s="82" t="s">
        <v>51</v>
      </c>
      <c r="P37" s="39">
        <f t="shared" si="10"/>
        <v>378</v>
      </c>
      <c r="Q37" s="77">
        <f t="shared" si="11"/>
        <v>-2.0725388599999998E-2</v>
      </c>
      <c r="R37" s="86">
        <f t="shared" si="14"/>
        <v>49828594.165088691</v>
      </c>
    </row>
    <row r="38" spans="1:18">
      <c r="A38" s="40" t="s">
        <v>205</v>
      </c>
      <c r="B38" s="11" t="s">
        <v>206</v>
      </c>
      <c r="C38" s="95">
        <v>13810</v>
      </c>
      <c r="D38" s="92">
        <v>-3.2235459000000001E-2</v>
      </c>
      <c r="E38" s="93">
        <v>457248.12896350003</v>
      </c>
      <c r="F38" s="35"/>
      <c r="G38" s="47" t="s">
        <v>198</v>
      </c>
      <c r="H38" s="39">
        <f t="shared" si="6"/>
        <v>15</v>
      </c>
      <c r="I38" s="77">
        <f t="shared" si="7"/>
        <v>1.3513513499999999E-2</v>
      </c>
      <c r="J38" s="86">
        <f t="shared" si="12"/>
        <v>4919262894.4380054</v>
      </c>
      <c r="K38" s="82" t="s">
        <v>230</v>
      </c>
      <c r="L38" s="39">
        <f t="shared" si="8"/>
        <v>90.7</v>
      </c>
      <c r="M38" s="77">
        <f t="shared" si="9"/>
        <v>-2.99465241E-2</v>
      </c>
      <c r="N38" s="86">
        <f t="shared" si="13"/>
        <v>244115635.12598738</v>
      </c>
      <c r="O38" s="82" t="s">
        <v>296</v>
      </c>
      <c r="P38" s="39">
        <f t="shared" si="10"/>
        <v>360</v>
      </c>
      <c r="Q38" s="77">
        <f t="shared" si="11"/>
        <v>-2.4390243900000001E-2</v>
      </c>
      <c r="R38" s="86">
        <f t="shared" si="14"/>
        <v>237132598.57343888</v>
      </c>
    </row>
    <row r="39" spans="1:18">
      <c r="A39" s="40" t="s">
        <v>79</v>
      </c>
      <c r="B39" s="11" t="s">
        <v>80</v>
      </c>
      <c r="C39" s="95">
        <v>770</v>
      </c>
      <c r="D39" s="92">
        <v>-3.2663316599999999E-2</v>
      </c>
      <c r="E39" s="93">
        <v>2339508.7167112101</v>
      </c>
      <c r="F39" s="35"/>
      <c r="G39" s="47" t="s">
        <v>200</v>
      </c>
      <c r="H39" s="39">
        <f t="shared" si="6"/>
        <v>170</v>
      </c>
      <c r="I39" s="77">
        <f t="shared" si="7"/>
        <v>1.19047619E-2</v>
      </c>
      <c r="J39" s="86">
        <f t="shared" si="12"/>
        <v>87835585.324890509</v>
      </c>
      <c r="K39" s="82" t="s">
        <v>65</v>
      </c>
      <c r="L39" s="39">
        <f t="shared" si="8"/>
        <v>32.200000000000003</v>
      </c>
      <c r="M39" s="77">
        <f t="shared" si="9"/>
        <v>-4.16666667E-2</v>
      </c>
      <c r="N39" s="86">
        <f t="shared" si="13"/>
        <v>68805240.309093013</v>
      </c>
      <c r="O39" s="82" t="s">
        <v>92</v>
      </c>
      <c r="P39" s="39">
        <f t="shared" si="10"/>
        <v>976</v>
      </c>
      <c r="Q39" s="77">
        <f t="shared" si="11"/>
        <v>-2.8855721399999999E-2</v>
      </c>
      <c r="R39" s="86">
        <f t="shared" si="14"/>
        <v>170024540.58456266</v>
      </c>
    </row>
    <row r="40" spans="1:18" ht="17.25" thickBot="1">
      <c r="A40" s="40" t="s">
        <v>68</v>
      </c>
      <c r="B40" s="11" t="s">
        <v>69</v>
      </c>
      <c r="C40" s="95">
        <v>4860</v>
      </c>
      <c r="D40" s="92">
        <v>-3.28358209E-2</v>
      </c>
      <c r="E40" s="93">
        <v>1969483.23795676</v>
      </c>
      <c r="F40" s="35"/>
      <c r="G40" s="53" t="s">
        <v>136</v>
      </c>
      <c r="H40" s="37">
        <f t="shared" si="6"/>
        <v>123</v>
      </c>
      <c r="I40" s="79">
        <f t="shared" si="7"/>
        <v>-8.0645161000000003E-3</v>
      </c>
      <c r="J40" s="87">
        <f t="shared" si="12"/>
        <v>40047951.58945179</v>
      </c>
      <c r="K40" s="84" t="s">
        <v>196</v>
      </c>
      <c r="L40" s="37">
        <f t="shared" si="8"/>
        <v>8.69</v>
      </c>
      <c r="M40" s="79">
        <f t="shared" si="9"/>
        <v>-4.4004400399999997E-2</v>
      </c>
      <c r="N40" s="87">
        <f t="shared" si="13"/>
        <v>1210465113.7851038</v>
      </c>
      <c r="O40" s="84" t="s">
        <v>132</v>
      </c>
      <c r="P40" s="37">
        <f t="shared" si="10"/>
        <v>125</v>
      </c>
      <c r="Q40" s="79">
        <f t="shared" si="11"/>
        <v>-3.1007751900000002E-2</v>
      </c>
      <c r="R40" s="87">
        <f t="shared" si="14"/>
        <v>266866996.23858052</v>
      </c>
    </row>
    <row r="41" spans="1:18">
      <c r="A41" s="40" t="s">
        <v>115</v>
      </c>
      <c r="B41" s="11" t="s">
        <v>116</v>
      </c>
      <c r="C41" s="95">
        <v>320</v>
      </c>
      <c r="D41" s="92">
        <v>-3.3232628399999999E-2</v>
      </c>
      <c r="E41" s="93">
        <v>25631083.486139901</v>
      </c>
      <c r="F41" s="35"/>
      <c r="G41" s="52" t="s">
        <v>106</v>
      </c>
      <c r="H41" s="38">
        <f t="shared" si="6"/>
        <v>1025</v>
      </c>
      <c r="I41" s="76">
        <f t="shared" si="7"/>
        <v>-9.6618356999999995E-3</v>
      </c>
      <c r="J41" s="85">
        <f t="shared" si="12"/>
        <v>2269969.2957033101</v>
      </c>
      <c r="K41" s="81" t="s">
        <v>72</v>
      </c>
      <c r="L41" s="38">
        <f t="shared" si="8"/>
        <v>18.7</v>
      </c>
      <c r="M41" s="76">
        <f t="shared" si="9"/>
        <v>-4.5918367299999999E-2</v>
      </c>
      <c r="N41" s="85">
        <f t="shared" si="13"/>
        <v>256712984.40249464</v>
      </c>
      <c r="O41" s="81" t="s">
        <v>80</v>
      </c>
      <c r="P41" s="38">
        <f t="shared" si="10"/>
        <v>770</v>
      </c>
      <c r="Q41" s="76">
        <f t="shared" si="11"/>
        <v>-3.2663316599999999E-2</v>
      </c>
      <c r="R41" s="85">
        <f t="shared" si="14"/>
        <v>2339508.7167112101</v>
      </c>
    </row>
    <row r="42" spans="1:18">
      <c r="A42" s="40" t="s">
        <v>77</v>
      </c>
      <c r="B42" s="11" t="s">
        <v>78</v>
      </c>
      <c r="C42" s="95">
        <v>701100</v>
      </c>
      <c r="D42" s="92">
        <v>-3.3365503900000003E-2</v>
      </c>
      <c r="E42" s="93">
        <v>15586.134573310001</v>
      </c>
      <c r="F42" s="35"/>
      <c r="G42" s="47" t="s">
        <v>244</v>
      </c>
      <c r="H42" s="39">
        <f t="shared" si="6"/>
        <v>1485</v>
      </c>
      <c r="I42" s="77">
        <f t="shared" si="7"/>
        <v>-1.32890365E-2</v>
      </c>
      <c r="J42" s="86">
        <f t="shared" si="12"/>
        <v>10807835.33964717</v>
      </c>
      <c r="K42" s="82" t="s">
        <v>134</v>
      </c>
      <c r="L42" s="39">
        <f t="shared" si="8"/>
        <v>77.900000000000006</v>
      </c>
      <c r="M42" s="77">
        <f t="shared" si="9"/>
        <v>-4.6511627899999998E-2</v>
      </c>
      <c r="N42" s="86">
        <f t="shared" si="13"/>
        <v>44029136.411715008</v>
      </c>
      <c r="O42" s="82" t="s">
        <v>116</v>
      </c>
      <c r="P42" s="39">
        <f t="shared" si="10"/>
        <v>320</v>
      </c>
      <c r="Q42" s="77">
        <f t="shared" si="11"/>
        <v>-3.3232628399999999E-2</v>
      </c>
      <c r="R42" s="86">
        <f t="shared" si="14"/>
        <v>25631083.486139901</v>
      </c>
    </row>
    <row r="43" spans="1:18">
      <c r="A43" s="40" t="s">
        <v>75</v>
      </c>
      <c r="B43" s="11" t="s">
        <v>76</v>
      </c>
      <c r="C43" s="95">
        <v>27340</v>
      </c>
      <c r="D43" s="92">
        <v>-3.3580770599999997E-2</v>
      </c>
      <c r="E43" s="93">
        <v>572313.57733350003</v>
      </c>
      <c r="F43" s="35"/>
      <c r="G43" s="47" t="s">
        <v>164</v>
      </c>
      <c r="H43" s="39">
        <f t="shared" si="6"/>
        <v>18870</v>
      </c>
      <c r="I43" s="77">
        <f t="shared" si="7"/>
        <v>-1.5649452300000002E-2</v>
      </c>
      <c r="J43" s="86">
        <f t="shared" si="12"/>
        <v>811594.92478308</v>
      </c>
      <c r="K43" s="82" t="s">
        <v>228</v>
      </c>
      <c r="L43" s="39">
        <f t="shared" si="8"/>
        <v>8.19</v>
      </c>
      <c r="M43" s="77">
        <f t="shared" si="9"/>
        <v>-4.65657742E-2</v>
      </c>
      <c r="N43" s="86">
        <f t="shared" si="13"/>
        <v>2299902317.8079996</v>
      </c>
      <c r="O43" s="82" t="s">
        <v>270</v>
      </c>
      <c r="P43" s="39">
        <f t="shared" si="10"/>
        <v>329</v>
      </c>
      <c r="Q43" s="77">
        <f t="shared" si="11"/>
        <v>-4.08163265E-2</v>
      </c>
      <c r="R43" s="86">
        <f t="shared" si="14"/>
        <v>1161126.1705569299</v>
      </c>
    </row>
    <row r="44" spans="1:18">
      <c r="A44" s="40" t="s">
        <v>85</v>
      </c>
      <c r="B44" s="11" t="s">
        <v>86</v>
      </c>
      <c r="C44" s="95">
        <v>5780</v>
      </c>
      <c r="D44" s="92">
        <v>-3.4252297399999999E-2</v>
      </c>
      <c r="E44" s="93">
        <v>4843691.1915423898</v>
      </c>
      <c r="F44" s="35"/>
      <c r="G44" s="47" t="s">
        <v>61</v>
      </c>
      <c r="H44" s="39">
        <f t="shared" si="6"/>
        <v>807</v>
      </c>
      <c r="I44" s="77">
        <f t="shared" si="7"/>
        <v>-1.8248175200000001E-2</v>
      </c>
      <c r="J44" s="86">
        <f t="shared" si="12"/>
        <v>28064698.298678119</v>
      </c>
      <c r="K44" s="82" t="s">
        <v>152</v>
      </c>
      <c r="L44" s="39">
        <f t="shared" si="8"/>
        <v>17.7</v>
      </c>
      <c r="M44" s="77">
        <f t="shared" si="9"/>
        <v>-4.8387096800000001E-2</v>
      </c>
      <c r="N44" s="86">
        <f t="shared" si="13"/>
        <v>126978064.66528949</v>
      </c>
      <c r="O44" s="82" t="s">
        <v>57</v>
      </c>
      <c r="P44" s="39">
        <f t="shared" si="10"/>
        <v>194</v>
      </c>
      <c r="Q44" s="77">
        <f t="shared" si="11"/>
        <v>-4.4334975399999997E-2</v>
      </c>
      <c r="R44" s="86">
        <f t="shared" si="14"/>
        <v>33690224.69887922</v>
      </c>
    </row>
    <row r="45" spans="1:18">
      <c r="A45" s="40" t="s">
        <v>62</v>
      </c>
      <c r="B45" s="11" t="s">
        <v>63</v>
      </c>
      <c r="C45" s="95">
        <v>55940</v>
      </c>
      <c r="D45" s="92">
        <v>-3.4351803899999998E-2</v>
      </c>
      <c r="E45" s="93">
        <v>172156.98602565</v>
      </c>
      <c r="F45" s="35"/>
      <c r="G45" s="47" t="s">
        <v>190</v>
      </c>
      <c r="H45" s="44">
        <f t="shared" si="6"/>
        <v>51440</v>
      </c>
      <c r="I45" s="78">
        <f t="shared" si="7"/>
        <v>-2.00038102E-2</v>
      </c>
      <c r="J45" s="90">
        <f t="shared" si="12"/>
        <v>1341746.31967745</v>
      </c>
      <c r="K45" s="83" t="s">
        <v>148</v>
      </c>
      <c r="L45" s="44">
        <f t="shared" si="8"/>
        <v>93.9</v>
      </c>
      <c r="M45" s="78">
        <f t="shared" si="9"/>
        <v>-5.1515151500000002E-2</v>
      </c>
      <c r="N45" s="90">
        <f t="shared" si="13"/>
        <v>54888152.650036611</v>
      </c>
      <c r="O45" s="83" t="s">
        <v>216</v>
      </c>
      <c r="P45" s="44">
        <f t="shared" si="10"/>
        <v>237</v>
      </c>
      <c r="Q45" s="78">
        <f t="shared" si="11"/>
        <v>-4.4354838700000003E-2</v>
      </c>
      <c r="R45" s="90">
        <f t="shared" si="14"/>
        <v>10206210.205984071</v>
      </c>
    </row>
    <row r="46" spans="1:18">
      <c r="A46" s="40" t="s">
        <v>107</v>
      </c>
      <c r="B46" s="11" t="s">
        <v>108</v>
      </c>
      <c r="C46" s="95">
        <v>28960</v>
      </c>
      <c r="D46" s="92">
        <v>-3.4666666700000001E-2</v>
      </c>
      <c r="E46" s="93">
        <v>135462.74993761</v>
      </c>
      <c r="F46" s="35"/>
      <c r="G46" s="49" t="s">
        <v>51</v>
      </c>
      <c r="H46" s="39">
        <f t="shared" si="6"/>
        <v>378</v>
      </c>
      <c r="I46" s="77">
        <f t="shared" si="7"/>
        <v>-2.0725388599999998E-2</v>
      </c>
      <c r="J46" s="99">
        <f t="shared" si="12"/>
        <v>49828594.165088691</v>
      </c>
      <c r="K46" s="82" t="s">
        <v>260</v>
      </c>
      <c r="L46" s="39">
        <f t="shared" si="8"/>
        <v>57.3</v>
      </c>
      <c r="M46" s="77">
        <f t="shared" si="9"/>
        <v>-5.6013179599999997E-2</v>
      </c>
      <c r="N46" s="99">
        <f t="shared" si="13"/>
        <v>127600818.36981086</v>
      </c>
      <c r="O46" s="82" t="s">
        <v>256</v>
      </c>
      <c r="P46" s="39">
        <f t="shared" si="10"/>
        <v>143</v>
      </c>
      <c r="Q46" s="77">
        <f t="shared" si="11"/>
        <v>-4.6666666699999998E-2</v>
      </c>
      <c r="R46" s="99">
        <f t="shared" si="14"/>
        <v>9151930.9615261108</v>
      </c>
    </row>
    <row r="47" spans="1:18">
      <c r="A47" s="40" t="s">
        <v>101</v>
      </c>
      <c r="B47" s="11" t="s">
        <v>102</v>
      </c>
      <c r="C47" s="95">
        <v>64870</v>
      </c>
      <c r="D47" s="92">
        <v>-3.4672619000000002E-2</v>
      </c>
      <c r="E47" s="93">
        <v>1041220.68468701</v>
      </c>
      <c r="F47" s="35"/>
      <c r="G47" s="47" t="s">
        <v>156</v>
      </c>
      <c r="H47" s="39">
        <f t="shared" si="6"/>
        <v>81.2</v>
      </c>
      <c r="I47" s="77">
        <f t="shared" si="7"/>
        <v>-2.1686746999999999E-2</v>
      </c>
      <c r="J47" s="86">
        <f t="shared" si="12"/>
        <v>91928993.761296406</v>
      </c>
      <c r="K47" s="82" t="s">
        <v>154</v>
      </c>
      <c r="L47" s="39">
        <f t="shared" si="8"/>
        <v>8.6199999999999992</v>
      </c>
      <c r="M47" s="77">
        <f t="shared" si="9"/>
        <v>-5.6892778999999997E-2</v>
      </c>
      <c r="N47" s="86">
        <f t="shared" si="13"/>
        <v>1076018044.8153782</v>
      </c>
      <c r="O47" s="82" t="s">
        <v>280</v>
      </c>
      <c r="P47" s="39">
        <f t="shared" si="10"/>
        <v>806</v>
      </c>
      <c r="Q47" s="77">
        <f t="shared" si="11"/>
        <v>-4.7281323899999998E-2</v>
      </c>
      <c r="R47" s="86">
        <f t="shared" si="14"/>
        <v>2852396.7711118599</v>
      </c>
    </row>
    <row r="48" spans="1:18">
      <c r="A48" s="40" t="s">
        <v>203</v>
      </c>
      <c r="B48" s="11" t="s">
        <v>204</v>
      </c>
      <c r="C48" s="95">
        <v>2975</v>
      </c>
      <c r="D48" s="92">
        <v>-3.5656401900000002E-2</v>
      </c>
      <c r="E48" s="93">
        <v>8079115.2864871798</v>
      </c>
      <c r="F48" s="35"/>
      <c r="G48" s="47" t="s">
        <v>84</v>
      </c>
      <c r="H48" s="39">
        <f t="shared" si="6"/>
        <v>1760</v>
      </c>
      <c r="I48" s="77">
        <f t="shared" si="7"/>
        <v>-2.2222222199999999E-2</v>
      </c>
      <c r="J48" s="86">
        <f t="shared" si="12"/>
        <v>14582587.90275836</v>
      </c>
      <c r="K48" s="82" t="s">
        <v>126</v>
      </c>
      <c r="L48" s="39">
        <f t="shared" si="8"/>
        <v>24.4</v>
      </c>
      <c r="M48" s="77">
        <f t="shared" si="9"/>
        <v>-6.1538461500000002E-2</v>
      </c>
      <c r="N48" s="86">
        <f t="shared" si="13"/>
        <v>123267327.2555742</v>
      </c>
      <c r="O48" s="82" t="s">
        <v>170</v>
      </c>
      <c r="P48" s="39">
        <f t="shared" si="10"/>
        <v>241</v>
      </c>
      <c r="Q48" s="77">
        <f t="shared" si="11"/>
        <v>-4.743083E-2</v>
      </c>
      <c r="R48" s="86">
        <f t="shared" si="14"/>
        <v>20069224.687385269</v>
      </c>
    </row>
    <row r="49" spans="1:18">
      <c r="A49" s="40" t="s">
        <v>137</v>
      </c>
      <c r="B49" s="11" t="s">
        <v>138</v>
      </c>
      <c r="C49" s="95">
        <v>26670</v>
      </c>
      <c r="D49" s="92">
        <v>-3.7531577000000003E-2</v>
      </c>
      <c r="E49" s="93">
        <v>1350120.40679028</v>
      </c>
      <c r="F49" s="35"/>
      <c r="G49" s="47" t="s">
        <v>210</v>
      </c>
      <c r="H49" s="39">
        <f t="shared" si="6"/>
        <v>88</v>
      </c>
      <c r="I49" s="77">
        <f t="shared" si="7"/>
        <v>-2.2222222199999999E-2</v>
      </c>
      <c r="J49" s="86">
        <f t="shared" si="12"/>
        <v>274360993.06719381</v>
      </c>
      <c r="K49" s="82" t="s">
        <v>220</v>
      </c>
      <c r="L49" s="39">
        <f t="shared" si="8"/>
        <v>9.56</v>
      </c>
      <c r="M49" s="77">
        <f t="shared" si="9"/>
        <v>-6.2745097999999999E-2</v>
      </c>
      <c r="N49" s="86">
        <f t="shared" si="13"/>
        <v>338757142.32559967</v>
      </c>
      <c r="O49" s="82" t="s">
        <v>128</v>
      </c>
      <c r="P49" s="39">
        <f t="shared" si="10"/>
        <v>297</v>
      </c>
      <c r="Q49" s="77">
        <f t="shared" si="11"/>
        <v>-4.8076923100000002E-2</v>
      </c>
      <c r="R49" s="86">
        <f t="shared" si="14"/>
        <v>5171402.7197357304</v>
      </c>
    </row>
    <row r="50" spans="1:18" ht="17.25" thickBot="1">
      <c r="A50" s="40" t="s">
        <v>145</v>
      </c>
      <c r="B50" s="11" t="s">
        <v>146</v>
      </c>
      <c r="C50" s="95">
        <v>8910</v>
      </c>
      <c r="D50" s="92">
        <v>-3.9353099699999998E-2</v>
      </c>
      <c r="E50" s="93">
        <v>377574.75845989998</v>
      </c>
      <c r="F50" s="35"/>
      <c r="G50" s="53" t="s">
        <v>278</v>
      </c>
      <c r="H50" s="37">
        <f t="shared" si="6"/>
        <v>69.900000000000006</v>
      </c>
      <c r="I50" s="79">
        <f t="shared" si="7"/>
        <v>-2.2377622400000002E-2</v>
      </c>
      <c r="J50" s="87">
        <f t="shared" si="12"/>
        <v>13790700.367384341</v>
      </c>
      <c r="K50" s="84" t="s">
        <v>264</v>
      </c>
      <c r="L50" s="37">
        <f t="shared" si="8"/>
        <v>71.099999999999994</v>
      </c>
      <c r="M50" s="79">
        <f t="shared" si="9"/>
        <v>-6.3241106699999994E-2</v>
      </c>
      <c r="N50" s="87">
        <f t="shared" si="13"/>
        <v>42071191.683762006</v>
      </c>
      <c r="O50" s="84" t="s">
        <v>246</v>
      </c>
      <c r="P50" s="37">
        <f t="shared" si="10"/>
        <v>250</v>
      </c>
      <c r="Q50" s="79">
        <f t="shared" si="11"/>
        <v>-4.9429657799999999E-2</v>
      </c>
      <c r="R50" s="87">
        <f t="shared" si="14"/>
        <v>18424549.210683171</v>
      </c>
    </row>
    <row r="51" spans="1:18">
      <c r="A51" s="40" t="s">
        <v>269</v>
      </c>
      <c r="B51" s="11" t="s">
        <v>270</v>
      </c>
      <c r="C51" s="95">
        <v>329</v>
      </c>
      <c r="D51" s="92">
        <v>-4.08163265E-2</v>
      </c>
      <c r="E51" s="93">
        <v>1161126.1705569299</v>
      </c>
      <c r="F51" s="35"/>
    </row>
    <row r="52" spans="1:18" ht="17.25" thickBot="1">
      <c r="A52" s="40" t="s">
        <v>64</v>
      </c>
      <c r="B52" s="11" t="s">
        <v>65</v>
      </c>
      <c r="C52" s="95">
        <v>32.200000000000003</v>
      </c>
      <c r="D52" s="92">
        <v>-4.16666667E-2</v>
      </c>
      <c r="E52" s="93">
        <v>68805240.309093013</v>
      </c>
      <c r="F52" s="35"/>
    </row>
    <row r="53" spans="1:18" ht="17.25" thickBot="1">
      <c r="A53" s="40" t="s">
        <v>271</v>
      </c>
      <c r="B53" s="11" t="s">
        <v>272</v>
      </c>
      <c r="C53" s="95">
        <v>1215</v>
      </c>
      <c r="D53" s="92">
        <v>-4.3307086600000003E-2</v>
      </c>
      <c r="E53" s="93">
        <v>1533997.03366166</v>
      </c>
      <c r="F53" s="35"/>
      <c r="G53" s="246" t="s">
        <v>285</v>
      </c>
      <c r="H53" s="247"/>
      <c r="I53" s="247"/>
      <c r="J53" s="248"/>
      <c r="K53" s="246" t="s">
        <v>288</v>
      </c>
      <c r="L53" s="247"/>
      <c r="M53" s="247"/>
      <c r="N53" s="248"/>
      <c r="O53" s="246" t="s">
        <v>289</v>
      </c>
      <c r="P53" s="247"/>
      <c r="Q53" s="247"/>
      <c r="R53" s="248"/>
    </row>
    <row r="54" spans="1:18" ht="17.25" thickBot="1">
      <c r="A54" s="40" t="s">
        <v>195</v>
      </c>
      <c r="B54" s="11" t="s">
        <v>196</v>
      </c>
      <c r="C54" s="95">
        <v>8.69</v>
      </c>
      <c r="D54" s="92">
        <v>-4.4004400399999997E-2</v>
      </c>
      <c r="E54" s="93">
        <v>1210465113.7851038</v>
      </c>
      <c r="F54" s="35"/>
      <c r="G54" s="283" t="s">
        <v>55</v>
      </c>
      <c r="H54" s="299">
        <f ca="1">NOW()</f>
        <v>44363.886320254627</v>
      </c>
      <c r="I54" s="300"/>
      <c r="J54" s="301"/>
      <c r="K54" s="298" t="s">
        <v>55</v>
      </c>
      <c r="L54" s="299">
        <f ca="1">NOW()</f>
        <v>44363.886320254627</v>
      </c>
      <c r="M54" s="300"/>
      <c r="N54" s="301"/>
      <c r="O54" s="298" t="s">
        <v>55</v>
      </c>
      <c r="P54" s="299">
        <f ca="1">NOW()</f>
        <v>44363.886320254627</v>
      </c>
      <c r="Q54" s="300"/>
      <c r="R54" s="301"/>
    </row>
    <row r="55" spans="1:18" ht="17.25" thickBot="1">
      <c r="A55" s="40" t="s">
        <v>139</v>
      </c>
      <c r="B55" s="11" t="s">
        <v>140</v>
      </c>
      <c r="C55" s="95">
        <v>2060</v>
      </c>
      <c r="D55" s="92">
        <v>-4.40835267E-2</v>
      </c>
      <c r="E55" s="93">
        <v>1301742.0924460499</v>
      </c>
      <c r="F55" s="35"/>
      <c r="G55" s="291"/>
      <c r="H55" s="51" t="s">
        <v>58</v>
      </c>
      <c r="I55" s="73" t="s">
        <v>59</v>
      </c>
      <c r="J55" s="69" t="s">
        <v>294</v>
      </c>
      <c r="K55" s="269"/>
      <c r="L55" s="51" t="s">
        <v>58</v>
      </c>
      <c r="M55" s="73" t="s">
        <v>59</v>
      </c>
      <c r="N55" s="69" t="s">
        <v>294</v>
      </c>
      <c r="O55" s="269"/>
      <c r="P55" s="51" t="s">
        <v>58</v>
      </c>
      <c r="Q55" s="73" t="s">
        <v>59</v>
      </c>
      <c r="R55" s="69" t="s">
        <v>294</v>
      </c>
    </row>
    <row r="56" spans="1:18">
      <c r="A56" s="40" t="s">
        <v>183</v>
      </c>
      <c r="B56" s="11" t="s">
        <v>184</v>
      </c>
      <c r="C56" s="95">
        <v>1295</v>
      </c>
      <c r="D56" s="92">
        <v>-4.42804428E-2</v>
      </c>
      <c r="E56" s="93">
        <v>827998.49233146</v>
      </c>
      <c r="F56" s="35"/>
      <c r="G56" s="55" t="s">
        <v>202</v>
      </c>
      <c r="H56" s="38">
        <f t="shared" ref="H56:H75" si="15">_xlfn.IFNA(VLOOKUP(G56, $B$2:$D$200, 2, FALSE), "")</f>
        <v>87.8</v>
      </c>
      <c r="I56" s="76">
        <f t="shared" ref="I56:I65" si="16">_xlfn.IFNA(VLOOKUP(G56, $B$2:$D$200, 3, FALSE), "")</f>
        <v>-6.7940552000000001E-2</v>
      </c>
      <c r="J56" s="85">
        <f>_xlfn.IFNA(VLOOKUP(G56, $B$2:$E$200, 4, FALSE), "")</f>
        <v>84526939.452911913</v>
      </c>
      <c r="K56" s="81" t="s">
        <v>126</v>
      </c>
      <c r="L56" s="38">
        <f t="shared" ref="L56:L75" si="17">_xlfn.IFNA(VLOOKUP(K56, $B$2:$D$200, 2, FALSE), "")</f>
        <v>24.4</v>
      </c>
      <c r="M56" s="76">
        <f t="shared" ref="M56:M75" si="18">_xlfn.IFNA(VLOOKUP(K56, $B$2:$D$200, 3, FALSE), "")</f>
        <v>-6.1538461500000002E-2</v>
      </c>
      <c r="N56" s="85">
        <f>_xlfn.IFNA(VLOOKUP(K56, $B$2:$E$200, 4, FALSE), "")</f>
        <v>123267327.2555742</v>
      </c>
      <c r="O56" s="81" t="s">
        <v>57</v>
      </c>
      <c r="P56" s="38">
        <f t="shared" ref="P56:P75" si="19">_xlfn.IFNA(VLOOKUP(O56, $B$2:$D$200, 2, FALSE), "")</f>
        <v>194</v>
      </c>
      <c r="Q56" s="76">
        <f t="shared" ref="Q56:Q75" si="20">_xlfn.IFNA(VLOOKUP(O56, $B$2:$D$200, 3, FALSE), "")</f>
        <v>-4.4334975399999997E-2</v>
      </c>
      <c r="R56" s="85">
        <f>_xlfn.IFNA(VLOOKUP(O56, $B$2:$E$200, 4, FALSE), "")</f>
        <v>33690224.69887922</v>
      </c>
    </row>
    <row r="57" spans="1:18">
      <c r="A57" s="40" t="s">
        <v>56</v>
      </c>
      <c r="B57" s="11" t="s">
        <v>57</v>
      </c>
      <c r="C57" s="95">
        <v>194</v>
      </c>
      <c r="D57" s="92">
        <v>-4.4334975399999997E-2</v>
      </c>
      <c r="E57" s="93">
        <v>33690224.69887922</v>
      </c>
      <c r="F57" s="35"/>
      <c r="G57" s="56" t="s">
        <v>266</v>
      </c>
      <c r="H57" s="39">
        <f t="shared" si="15"/>
        <v>53.2</v>
      </c>
      <c r="I57" s="77">
        <f t="shared" si="16"/>
        <v>-6.8301225899999998E-2</v>
      </c>
      <c r="J57" s="86">
        <f t="shared" ref="J57:J75" si="21">_xlfn.IFNA(VLOOKUP(G57, $B$2:$E$200, 4, FALSE), "")</f>
        <v>124979328.91107576</v>
      </c>
      <c r="K57" s="82" t="s">
        <v>220</v>
      </c>
      <c r="L57" s="39">
        <f t="shared" si="17"/>
        <v>9.56</v>
      </c>
      <c r="M57" s="77">
        <f t="shared" si="18"/>
        <v>-6.2745097999999999E-2</v>
      </c>
      <c r="N57" s="86">
        <f t="shared" ref="N57:N75" si="22">_xlfn.IFNA(VLOOKUP(K57, $B$2:$E$200, 4, FALSE), "")</f>
        <v>338757142.32559967</v>
      </c>
      <c r="O57" s="82" t="s">
        <v>216</v>
      </c>
      <c r="P57" s="39">
        <f t="shared" si="19"/>
        <v>237</v>
      </c>
      <c r="Q57" s="77">
        <f t="shared" si="20"/>
        <v>-4.4354838700000003E-2</v>
      </c>
      <c r="R57" s="86">
        <f t="shared" ref="R57:R75" si="23">_xlfn.IFNA(VLOOKUP(O57, $B$2:$E$200, 4, FALSE), "")</f>
        <v>10206210.205984071</v>
      </c>
    </row>
    <row r="58" spans="1:18">
      <c r="A58" s="40" t="s">
        <v>215</v>
      </c>
      <c r="B58" s="11" t="s">
        <v>216</v>
      </c>
      <c r="C58" s="95">
        <v>237</v>
      </c>
      <c r="D58" s="92">
        <v>-4.4354838700000003E-2</v>
      </c>
      <c r="E58" s="93">
        <v>10206210.205984071</v>
      </c>
      <c r="F58" s="35"/>
      <c r="G58" s="56" t="s">
        <v>212</v>
      </c>
      <c r="H58" s="39">
        <f t="shared" si="15"/>
        <v>54.8</v>
      </c>
      <c r="I58" s="77">
        <f t="shared" si="16"/>
        <v>-7.1186440700000006E-2</v>
      </c>
      <c r="J58" s="86">
        <f t="shared" si="21"/>
        <v>186438446.76060143</v>
      </c>
      <c r="K58" s="82" t="s">
        <v>264</v>
      </c>
      <c r="L58" s="39">
        <f t="shared" si="17"/>
        <v>71.099999999999994</v>
      </c>
      <c r="M58" s="77">
        <f t="shared" si="18"/>
        <v>-6.3241106699999994E-2</v>
      </c>
      <c r="N58" s="86">
        <f t="shared" si="22"/>
        <v>42071191.683762006</v>
      </c>
      <c r="O58" s="82" t="s">
        <v>256</v>
      </c>
      <c r="P58" s="39">
        <f t="shared" si="19"/>
        <v>143</v>
      </c>
      <c r="Q58" s="77">
        <f t="shared" si="20"/>
        <v>-4.6666666699999998E-2</v>
      </c>
      <c r="R58" s="86">
        <f t="shared" si="23"/>
        <v>9151930.9615261108</v>
      </c>
    </row>
    <row r="59" spans="1:18">
      <c r="A59" s="40" t="s">
        <v>275</v>
      </c>
      <c r="B59" s="11" t="s">
        <v>276</v>
      </c>
      <c r="C59" s="95">
        <v>2430</v>
      </c>
      <c r="D59" s="92">
        <v>-4.51866405E-2</v>
      </c>
      <c r="E59" s="93">
        <v>2840597.1195313698</v>
      </c>
      <c r="F59" s="35"/>
      <c r="G59" s="56" t="s">
        <v>214</v>
      </c>
      <c r="H59" s="39">
        <f t="shared" si="15"/>
        <v>9.56</v>
      </c>
      <c r="I59" s="77">
        <f t="shared" si="16"/>
        <v>-7.1844660199999993E-2</v>
      </c>
      <c r="J59" s="86">
        <f t="shared" si="21"/>
        <v>817273335.50967932</v>
      </c>
      <c r="K59" s="82" t="s">
        <v>186</v>
      </c>
      <c r="L59" s="39">
        <f t="shared" si="17"/>
        <v>14.3</v>
      </c>
      <c r="M59" s="77">
        <f t="shared" si="18"/>
        <v>-6.5359477099999994E-2</v>
      </c>
      <c r="N59" s="86">
        <f t="shared" si="22"/>
        <v>526951928.12938404</v>
      </c>
      <c r="O59" s="82" t="s">
        <v>280</v>
      </c>
      <c r="P59" s="39">
        <f t="shared" si="19"/>
        <v>806</v>
      </c>
      <c r="Q59" s="77">
        <f t="shared" si="20"/>
        <v>-4.7281323899999998E-2</v>
      </c>
      <c r="R59" s="86">
        <f t="shared" si="23"/>
        <v>2852396.7711118599</v>
      </c>
    </row>
    <row r="60" spans="1:18">
      <c r="A60" s="40" t="s">
        <v>179</v>
      </c>
      <c r="B60" s="11" t="s">
        <v>180</v>
      </c>
      <c r="C60" s="95">
        <v>2410</v>
      </c>
      <c r="D60" s="92">
        <v>-4.5544554500000001E-2</v>
      </c>
      <c r="E60" s="93">
        <v>2046837.02058181</v>
      </c>
      <c r="F60" s="35"/>
      <c r="G60" s="56" t="s">
        <v>110</v>
      </c>
      <c r="H60" s="39">
        <f t="shared" si="15"/>
        <v>1185</v>
      </c>
      <c r="I60" s="77">
        <f t="shared" si="16"/>
        <v>-7.7821011699999998E-2</v>
      </c>
      <c r="J60" s="90">
        <f t="shared" si="21"/>
        <v>2723757.2591882101</v>
      </c>
      <c r="K60" s="83" t="s">
        <v>222</v>
      </c>
      <c r="L60" s="44">
        <f t="shared" si="17"/>
        <v>8.49</v>
      </c>
      <c r="M60" s="78">
        <f t="shared" si="18"/>
        <v>-6.7032966999999999E-2</v>
      </c>
      <c r="N60" s="90">
        <f t="shared" si="22"/>
        <v>401818314.41871303</v>
      </c>
      <c r="O60" s="83" t="s">
        <v>170</v>
      </c>
      <c r="P60" s="44">
        <f t="shared" si="19"/>
        <v>241</v>
      </c>
      <c r="Q60" s="78">
        <f t="shared" si="20"/>
        <v>-4.743083E-2</v>
      </c>
      <c r="R60" s="90">
        <f t="shared" si="23"/>
        <v>20069224.687385269</v>
      </c>
    </row>
    <row r="61" spans="1:18">
      <c r="A61" s="40" t="s">
        <v>241</v>
      </c>
      <c r="B61" s="11" t="s">
        <v>242</v>
      </c>
      <c r="C61" s="95">
        <v>3345</v>
      </c>
      <c r="D61" s="92">
        <v>-4.5649072800000003E-2</v>
      </c>
      <c r="E61" s="93">
        <v>2580798.1050680298</v>
      </c>
      <c r="F61" s="35"/>
      <c r="G61" s="60" t="s">
        <v>82</v>
      </c>
      <c r="H61" s="45">
        <f t="shared" si="15"/>
        <v>789</v>
      </c>
      <c r="I61" s="80">
        <f t="shared" si="16"/>
        <v>-0.1281767956</v>
      </c>
      <c r="J61" s="99">
        <f t="shared" si="21"/>
        <v>2479562.9575470402</v>
      </c>
      <c r="K61" s="82" t="s">
        <v>202</v>
      </c>
      <c r="L61" s="39">
        <f t="shared" si="17"/>
        <v>87.8</v>
      </c>
      <c r="M61" s="77">
        <f t="shared" si="18"/>
        <v>-6.7940552000000001E-2</v>
      </c>
      <c r="N61" s="99">
        <f t="shared" si="22"/>
        <v>84526939.452911913</v>
      </c>
      <c r="O61" s="82" t="s">
        <v>128</v>
      </c>
      <c r="P61" s="39">
        <f t="shared" si="19"/>
        <v>297</v>
      </c>
      <c r="Q61" s="77">
        <f t="shared" si="20"/>
        <v>-4.8076923100000002E-2</v>
      </c>
      <c r="R61" s="99">
        <f t="shared" si="23"/>
        <v>5171402.7197357304</v>
      </c>
    </row>
    <row r="62" spans="1:18">
      <c r="A62" s="40" t="s">
        <v>71</v>
      </c>
      <c r="B62" s="11" t="s">
        <v>72</v>
      </c>
      <c r="C62" s="95">
        <v>18.7</v>
      </c>
      <c r="D62" s="92">
        <v>-4.5918367299999999E-2</v>
      </c>
      <c r="E62" s="93">
        <v>256712984.40249464</v>
      </c>
      <c r="F62" s="35"/>
      <c r="G62" s="56" t="s">
        <v>238</v>
      </c>
      <c r="H62" s="39">
        <f t="shared" si="15"/>
        <v>87.8</v>
      </c>
      <c r="I62" s="77">
        <f t="shared" si="16"/>
        <v>-0.13069306929999999</v>
      </c>
      <c r="J62" s="86">
        <f t="shared" si="21"/>
        <v>26482306.830114309</v>
      </c>
      <c r="K62" s="82" t="s">
        <v>266</v>
      </c>
      <c r="L62" s="39">
        <f t="shared" si="17"/>
        <v>53.2</v>
      </c>
      <c r="M62" s="77">
        <f t="shared" si="18"/>
        <v>-6.8301225899999998E-2</v>
      </c>
      <c r="N62" s="86">
        <f t="shared" si="22"/>
        <v>124979328.91107576</v>
      </c>
      <c r="O62" s="82" t="s">
        <v>246</v>
      </c>
      <c r="P62" s="39">
        <f t="shared" si="19"/>
        <v>250</v>
      </c>
      <c r="Q62" s="77">
        <f t="shared" si="20"/>
        <v>-4.9429657799999999E-2</v>
      </c>
      <c r="R62" s="86">
        <f t="shared" si="23"/>
        <v>18424549.210683171</v>
      </c>
    </row>
    <row r="63" spans="1:18">
      <c r="A63" s="40" t="s">
        <v>133</v>
      </c>
      <c r="B63" s="11" t="s">
        <v>134</v>
      </c>
      <c r="C63" s="95">
        <v>77.900000000000006</v>
      </c>
      <c r="D63" s="92">
        <v>-4.6511627899999998E-2</v>
      </c>
      <c r="E63" s="93">
        <v>44029136.411715008</v>
      </c>
      <c r="F63" s="35"/>
      <c r="G63" s="56" t="s">
        <v>248</v>
      </c>
      <c r="H63" s="39">
        <f t="shared" si="15"/>
        <v>1225</v>
      </c>
      <c r="I63" s="77">
        <f t="shared" si="16"/>
        <v>-0.13120567380000001</v>
      </c>
      <c r="J63" s="86">
        <f t="shared" si="21"/>
        <v>2670925.50797043</v>
      </c>
      <c r="K63" s="82" t="s">
        <v>212</v>
      </c>
      <c r="L63" s="39">
        <f t="shared" si="17"/>
        <v>54.8</v>
      </c>
      <c r="M63" s="77">
        <f t="shared" si="18"/>
        <v>-7.1186440700000006E-2</v>
      </c>
      <c r="N63" s="86">
        <f t="shared" si="22"/>
        <v>186438446.76060143</v>
      </c>
      <c r="O63" s="82" t="s">
        <v>258</v>
      </c>
      <c r="P63" s="39">
        <f t="shared" si="19"/>
        <v>399</v>
      </c>
      <c r="Q63" s="77">
        <f t="shared" si="20"/>
        <v>-0.05</v>
      </c>
      <c r="R63" s="86">
        <f t="shared" si="23"/>
        <v>2904262.1594113801</v>
      </c>
    </row>
    <row r="64" spans="1:18">
      <c r="A64" s="40" t="s">
        <v>227</v>
      </c>
      <c r="B64" s="11" t="s">
        <v>228</v>
      </c>
      <c r="C64" s="95">
        <v>8.19</v>
      </c>
      <c r="D64" s="92">
        <v>-4.65657742E-2</v>
      </c>
      <c r="E64" s="93">
        <v>2299902317.8079996</v>
      </c>
      <c r="F64" s="35"/>
      <c r="G64" s="56" t="s">
        <v>162</v>
      </c>
      <c r="H64" s="39">
        <f t="shared" si="15"/>
        <v>733</v>
      </c>
      <c r="I64" s="77">
        <f t="shared" si="16"/>
        <v>-0.13663133099999999</v>
      </c>
      <c r="J64" s="86">
        <f t="shared" si="21"/>
        <v>105889146.27079575</v>
      </c>
      <c r="K64" s="82" t="s">
        <v>214</v>
      </c>
      <c r="L64" s="39">
        <f t="shared" si="17"/>
        <v>9.56</v>
      </c>
      <c r="M64" s="77">
        <f t="shared" si="18"/>
        <v>-7.1844660199999993E-2</v>
      </c>
      <c r="N64" s="86">
        <f t="shared" si="22"/>
        <v>817273335.50967932</v>
      </c>
      <c r="O64" s="82" t="s">
        <v>192</v>
      </c>
      <c r="P64" s="39">
        <f t="shared" si="19"/>
        <v>949</v>
      </c>
      <c r="Q64" s="77">
        <f t="shared" si="20"/>
        <v>-5.0999999999999997E-2</v>
      </c>
      <c r="R64" s="86">
        <f t="shared" si="23"/>
        <v>8268143.6880276501</v>
      </c>
    </row>
    <row r="65" spans="1:18" ht="17.25" thickBot="1">
      <c r="A65" s="40" t="s">
        <v>255</v>
      </c>
      <c r="B65" s="11" t="s">
        <v>256</v>
      </c>
      <c r="C65" s="95">
        <v>143</v>
      </c>
      <c r="D65" s="92">
        <v>-4.6666666699999998E-2</v>
      </c>
      <c r="E65" s="93">
        <v>9151930.9615261108</v>
      </c>
      <c r="F65" s="35"/>
      <c r="G65" s="57" t="s">
        <v>122</v>
      </c>
      <c r="H65" s="37">
        <f t="shared" si="15"/>
        <v>23.8</v>
      </c>
      <c r="I65" s="79">
        <f t="shared" si="16"/>
        <v>-0.15</v>
      </c>
      <c r="J65" s="87">
        <f t="shared" si="21"/>
        <v>222991212.08902317</v>
      </c>
      <c r="K65" s="84" t="s">
        <v>238</v>
      </c>
      <c r="L65" s="37">
        <f t="shared" si="17"/>
        <v>87.8</v>
      </c>
      <c r="M65" s="79">
        <f t="shared" si="18"/>
        <v>-0.13069306929999999</v>
      </c>
      <c r="N65" s="87">
        <f t="shared" si="22"/>
        <v>26482306.830114309</v>
      </c>
      <c r="O65" s="84" t="s">
        <v>182</v>
      </c>
      <c r="P65" s="37">
        <f t="shared" si="19"/>
        <v>227</v>
      </c>
      <c r="Q65" s="79">
        <f t="shared" si="20"/>
        <v>-5.4166666699999998E-2</v>
      </c>
      <c r="R65" s="87">
        <f t="shared" si="23"/>
        <v>5212931.8253209302</v>
      </c>
    </row>
    <row r="66" spans="1:18">
      <c r="A66" s="40" t="s">
        <v>279</v>
      </c>
      <c r="B66" s="11" t="s">
        <v>280</v>
      </c>
      <c r="C66" s="95">
        <v>806</v>
      </c>
      <c r="D66" s="92">
        <v>-4.7281323899999998E-2</v>
      </c>
      <c r="E66" s="93">
        <v>2852396.7711118599</v>
      </c>
      <c r="F66" s="35"/>
      <c r="G66" s="56" t="s">
        <v>208</v>
      </c>
      <c r="H66" s="38">
        <f t="shared" si="15"/>
        <v>88.9</v>
      </c>
      <c r="I66" s="76">
        <f t="shared" ref="I66:I75" si="24">_xlfn.IFNA(VLOOKUP(G66, $B$2:$D$200, 3, FALSE), "")</f>
        <v>-0.18440366969999999</v>
      </c>
      <c r="J66" s="85">
        <f t="shared" si="21"/>
        <v>123104099.17406885</v>
      </c>
      <c r="K66" s="81" t="s">
        <v>122</v>
      </c>
      <c r="L66" s="38">
        <f t="shared" si="17"/>
        <v>23.8</v>
      </c>
      <c r="M66" s="76">
        <f t="shared" si="18"/>
        <v>-0.15</v>
      </c>
      <c r="N66" s="85">
        <f t="shared" si="22"/>
        <v>222991212.08902317</v>
      </c>
      <c r="O66" s="81" t="s">
        <v>142</v>
      </c>
      <c r="P66" s="38">
        <f t="shared" si="19"/>
        <v>571</v>
      </c>
      <c r="Q66" s="76">
        <f t="shared" si="20"/>
        <v>-5.6198347099999997E-2</v>
      </c>
      <c r="R66" s="85">
        <f t="shared" si="23"/>
        <v>103263506.65319262</v>
      </c>
    </row>
    <row r="67" spans="1:18">
      <c r="A67" s="40" t="s">
        <v>169</v>
      </c>
      <c r="B67" s="11" t="s">
        <v>170</v>
      </c>
      <c r="C67" s="95">
        <v>241</v>
      </c>
      <c r="D67" s="92">
        <v>-4.743083E-2</v>
      </c>
      <c r="E67" s="93">
        <v>20069224.687385269</v>
      </c>
      <c r="F67" s="35"/>
      <c r="G67" s="56" t="s">
        <v>268</v>
      </c>
      <c r="H67" s="39">
        <f t="shared" si="15"/>
        <v>26.4</v>
      </c>
      <c r="I67" s="77">
        <f t="shared" si="24"/>
        <v>-0.18518518519999999</v>
      </c>
      <c r="J67" s="86">
        <f t="shared" si="21"/>
        <v>159778012.81956238</v>
      </c>
      <c r="K67" s="82" t="s">
        <v>208</v>
      </c>
      <c r="L67" s="39">
        <f t="shared" si="17"/>
        <v>88.9</v>
      </c>
      <c r="M67" s="77">
        <f t="shared" si="18"/>
        <v>-0.18440366969999999</v>
      </c>
      <c r="N67" s="86">
        <f t="shared" si="22"/>
        <v>123104099.17406885</v>
      </c>
      <c r="O67" s="82" t="s">
        <v>54</v>
      </c>
      <c r="P67" s="39">
        <f t="shared" si="19"/>
        <v>231</v>
      </c>
      <c r="Q67" s="77">
        <f t="shared" si="20"/>
        <v>-5.71428571E-2</v>
      </c>
      <c r="R67" s="86">
        <f t="shared" si="23"/>
        <v>19569561.713297289</v>
      </c>
    </row>
    <row r="68" spans="1:18">
      <c r="A68" s="40" t="s">
        <v>123</v>
      </c>
      <c r="B68" s="11" t="s">
        <v>124</v>
      </c>
      <c r="C68" s="95">
        <v>2400</v>
      </c>
      <c r="D68" s="92">
        <v>-4.7619047599999999E-2</v>
      </c>
      <c r="E68" s="93">
        <v>3132933.7216657498</v>
      </c>
      <c r="F68" s="35"/>
      <c r="G68" s="56" t="s">
        <v>172</v>
      </c>
      <c r="H68" s="39">
        <f t="shared" si="15"/>
        <v>4.7300000000000004</v>
      </c>
      <c r="I68" s="77">
        <f t="shared" si="24"/>
        <v>-0.18588640279999999</v>
      </c>
      <c r="J68" s="86">
        <f t="shared" si="21"/>
        <v>1703910420.1838396</v>
      </c>
      <c r="K68" s="82" t="s">
        <v>268</v>
      </c>
      <c r="L68" s="39">
        <f t="shared" si="17"/>
        <v>26.4</v>
      </c>
      <c r="M68" s="77">
        <f t="shared" si="18"/>
        <v>-0.18518518519999999</v>
      </c>
      <c r="N68" s="86">
        <f t="shared" si="22"/>
        <v>159778012.81956238</v>
      </c>
      <c r="O68" s="82" t="s">
        <v>112</v>
      </c>
      <c r="P68" s="39">
        <f t="shared" si="19"/>
        <v>131</v>
      </c>
      <c r="Q68" s="77">
        <f t="shared" si="20"/>
        <v>-5.75539568E-2</v>
      </c>
      <c r="R68" s="86">
        <f t="shared" si="23"/>
        <v>484356217.22101432</v>
      </c>
    </row>
    <row r="69" spans="1:18">
      <c r="A69" s="40" t="s">
        <v>127</v>
      </c>
      <c r="B69" s="11" t="s">
        <v>128</v>
      </c>
      <c r="C69" s="95">
        <v>297</v>
      </c>
      <c r="D69" s="92">
        <v>-4.8076923100000002E-2</v>
      </c>
      <c r="E69" s="93">
        <v>5171402.7197357304</v>
      </c>
      <c r="F69" s="35"/>
      <c r="G69" s="56" t="s">
        <v>254</v>
      </c>
      <c r="H69" s="39">
        <f t="shared" si="15"/>
        <v>19.600000000000001</v>
      </c>
      <c r="I69" s="77">
        <f t="shared" si="24"/>
        <v>-0.19008264459999999</v>
      </c>
      <c r="J69" s="86">
        <f t="shared" si="21"/>
        <v>253377870.37290585</v>
      </c>
      <c r="K69" s="82" t="s">
        <v>172</v>
      </c>
      <c r="L69" s="39">
        <f t="shared" si="17"/>
        <v>4.7300000000000004</v>
      </c>
      <c r="M69" s="77">
        <f t="shared" si="18"/>
        <v>-0.18588640279999999</v>
      </c>
      <c r="N69" s="86">
        <f t="shared" si="22"/>
        <v>1703910420.1838396</v>
      </c>
      <c r="O69" s="82" t="s">
        <v>226</v>
      </c>
      <c r="P69" s="39">
        <f t="shared" si="19"/>
        <v>210</v>
      </c>
      <c r="Q69" s="77">
        <f t="shared" si="20"/>
        <v>-5.82959641E-2</v>
      </c>
      <c r="R69" s="86">
        <f t="shared" si="23"/>
        <v>13359506.11988187</v>
      </c>
    </row>
    <row r="70" spans="1:18">
      <c r="A70" s="40" t="s">
        <v>151</v>
      </c>
      <c r="B70" s="11" t="s">
        <v>152</v>
      </c>
      <c r="C70" s="95">
        <v>17.7</v>
      </c>
      <c r="D70" s="92">
        <v>-4.8387096800000001E-2</v>
      </c>
      <c r="E70" s="93">
        <v>126978064.66528949</v>
      </c>
      <c r="F70" s="35"/>
      <c r="G70" s="56" t="s">
        <v>236</v>
      </c>
      <c r="H70" s="39">
        <f t="shared" si="15"/>
        <v>17.5</v>
      </c>
      <c r="I70" s="77">
        <f t="shared" si="24"/>
        <v>-0.20091324199999999</v>
      </c>
      <c r="J70" s="90">
        <f t="shared" si="21"/>
        <v>339808539.09258568</v>
      </c>
      <c r="K70" s="83" t="s">
        <v>254</v>
      </c>
      <c r="L70" s="44">
        <f t="shared" si="17"/>
        <v>19.600000000000001</v>
      </c>
      <c r="M70" s="78">
        <f t="shared" si="18"/>
        <v>-0.19008264459999999</v>
      </c>
      <c r="N70" s="90">
        <f t="shared" si="22"/>
        <v>253377870.37290585</v>
      </c>
      <c r="O70" s="83" t="s">
        <v>174</v>
      </c>
      <c r="P70" s="44">
        <f t="shared" si="19"/>
        <v>122</v>
      </c>
      <c r="Q70" s="78">
        <f t="shared" si="20"/>
        <v>-6.1538461500000002E-2</v>
      </c>
      <c r="R70" s="90">
        <f t="shared" si="23"/>
        <v>165737859.54426</v>
      </c>
    </row>
    <row r="71" spans="1:18">
      <c r="A71" s="40" t="s">
        <v>93</v>
      </c>
      <c r="B71" s="11" t="s">
        <v>94</v>
      </c>
      <c r="C71" s="95">
        <v>64320</v>
      </c>
      <c r="D71" s="92">
        <v>-4.8520710100000003E-2</v>
      </c>
      <c r="E71" s="93">
        <v>198014.58414444001</v>
      </c>
      <c r="F71" s="35"/>
      <c r="G71" s="60" t="s">
        <v>218</v>
      </c>
      <c r="H71" s="45">
        <f t="shared" si="15"/>
        <v>5.46</v>
      </c>
      <c r="I71" s="80">
        <f t="shared" si="24"/>
        <v>-0.20408163269999999</v>
      </c>
      <c r="J71" s="99">
        <f t="shared" si="21"/>
        <v>986886398.35607469</v>
      </c>
      <c r="K71" s="82" t="s">
        <v>236</v>
      </c>
      <c r="L71" s="39">
        <f t="shared" si="17"/>
        <v>17.5</v>
      </c>
      <c r="M71" s="77">
        <f t="shared" si="18"/>
        <v>-0.20091324199999999</v>
      </c>
      <c r="N71" s="99">
        <f t="shared" si="22"/>
        <v>339808539.09258568</v>
      </c>
      <c r="O71" s="82" t="s">
        <v>262</v>
      </c>
      <c r="P71" s="39">
        <f t="shared" si="19"/>
        <v>471</v>
      </c>
      <c r="Q71" s="77">
        <f t="shared" si="20"/>
        <v>-6.1752988000000002E-2</v>
      </c>
      <c r="R71" s="99">
        <f t="shared" si="23"/>
        <v>4501589.3271689201</v>
      </c>
    </row>
    <row r="72" spans="1:18">
      <c r="A72" s="40" t="s">
        <v>165</v>
      </c>
      <c r="B72" s="11" t="s">
        <v>166</v>
      </c>
      <c r="C72" s="95">
        <v>1065</v>
      </c>
      <c r="D72" s="92">
        <v>-4.9107142899999998E-2</v>
      </c>
      <c r="E72" s="93">
        <v>1000838.7393104</v>
      </c>
      <c r="F72" s="35"/>
      <c r="G72" s="56" t="s">
        <v>282</v>
      </c>
      <c r="H72" s="39">
        <f t="shared" si="15"/>
        <v>54.3</v>
      </c>
      <c r="I72" s="77">
        <f t="shared" si="24"/>
        <v>-0.20960698689999999</v>
      </c>
      <c r="J72" s="86">
        <f t="shared" si="21"/>
        <v>85666052.47430554</v>
      </c>
      <c r="K72" s="82" t="s">
        <v>218</v>
      </c>
      <c r="L72" s="39">
        <f t="shared" si="17"/>
        <v>5.46</v>
      </c>
      <c r="M72" s="77">
        <f t="shared" si="18"/>
        <v>-0.20408163269999999</v>
      </c>
      <c r="N72" s="86">
        <f t="shared" si="22"/>
        <v>986886398.35607469</v>
      </c>
      <c r="O72" s="82" t="s">
        <v>284</v>
      </c>
      <c r="P72" s="39">
        <f t="shared" si="19"/>
        <v>194</v>
      </c>
      <c r="Q72" s="77">
        <f t="shared" si="20"/>
        <v>-6.2801932399999996E-2</v>
      </c>
      <c r="R72" s="86">
        <f t="shared" si="23"/>
        <v>8093047.5737750903</v>
      </c>
    </row>
    <row r="73" spans="1:18">
      <c r="A73" s="40" t="s">
        <v>245</v>
      </c>
      <c r="B73" s="11" t="s">
        <v>246</v>
      </c>
      <c r="C73" s="95">
        <v>250</v>
      </c>
      <c r="D73" s="92">
        <v>-4.9429657799999999E-2</v>
      </c>
      <c r="E73" s="93">
        <v>18424549.210683171</v>
      </c>
      <c r="F73" s="35"/>
      <c r="G73" s="56" t="s">
        <v>252</v>
      </c>
      <c r="H73" s="39">
        <f t="shared" si="15"/>
        <v>98.4</v>
      </c>
      <c r="I73" s="77">
        <f t="shared" si="24"/>
        <v>-0.21279999999999999</v>
      </c>
      <c r="J73" s="86">
        <f t="shared" si="21"/>
        <v>38263767.564725444</v>
      </c>
      <c r="K73" s="82" t="s">
        <v>282</v>
      </c>
      <c r="L73" s="39">
        <f t="shared" si="17"/>
        <v>54.3</v>
      </c>
      <c r="M73" s="77">
        <f t="shared" si="18"/>
        <v>-0.20960698689999999</v>
      </c>
      <c r="N73" s="86">
        <f t="shared" si="22"/>
        <v>85666052.47430554</v>
      </c>
      <c r="O73" s="82" t="s">
        <v>82</v>
      </c>
      <c r="P73" s="39">
        <f t="shared" si="19"/>
        <v>789</v>
      </c>
      <c r="Q73" s="77">
        <f t="shared" si="20"/>
        <v>-0.1281767956</v>
      </c>
      <c r="R73" s="86">
        <f t="shared" si="23"/>
        <v>2479562.9575470402</v>
      </c>
    </row>
    <row r="74" spans="1:18">
      <c r="A74" s="40" t="s">
        <v>257</v>
      </c>
      <c r="B74" s="11" t="s">
        <v>258</v>
      </c>
      <c r="C74" s="95">
        <v>399</v>
      </c>
      <c r="D74" s="92">
        <v>-0.05</v>
      </c>
      <c r="E74" s="93">
        <v>2904262.1594113801</v>
      </c>
      <c r="F74" s="35"/>
      <c r="G74" s="56" t="s">
        <v>234</v>
      </c>
      <c r="H74" s="39">
        <f t="shared" si="15"/>
        <v>304</v>
      </c>
      <c r="I74" s="77">
        <f t="shared" si="24"/>
        <v>-0.2164948454</v>
      </c>
      <c r="J74" s="86">
        <f t="shared" si="21"/>
        <v>19405957.85959287</v>
      </c>
      <c r="K74" s="82" t="s">
        <v>252</v>
      </c>
      <c r="L74" s="39">
        <f t="shared" si="17"/>
        <v>98.4</v>
      </c>
      <c r="M74" s="77">
        <f t="shared" si="18"/>
        <v>-0.21279999999999999</v>
      </c>
      <c r="N74" s="86">
        <f t="shared" si="22"/>
        <v>38263767.564725444</v>
      </c>
      <c r="O74" s="82" t="s">
        <v>162</v>
      </c>
      <c r="P74" s="39">
        <f t="shared" si="19"/>
        <v>733</v>
      </c>
      <c r="Q74" s="77">
        <f t="shared" si="20"/>
        <v>-0.13663133099999999</v>
      </c>
      <c r="R74" s="86">
        <f t="shared" si="23"/>
        <v>105889146.27079575</v>
      </c>
    </row>
    <row r="75" spans="1:18" ht="17.25" thickBot="1">
      <c r="A75" s="40" t="s">
        <v>191</v>
      </c>
      <c r="B75" s="11" t="s">
        <v>192</v>
      </c>
      <c r="C75" s="95">
        <v>949</v>
      </c>
      <c r="D75" s="92">
        <v>-5.0999999999999997E-2</v>
      </c>
      <c r="E75" s="93">
        <v>8268143.6880276501</v>
      </c>
      <c r="F75" s="35"/>
      <c r="G75" s="57" t="s">
        <v>250</v>
      </c>
      <c r="H75" s="37">
        <f t="shared" si="15"/>
        <v>59.7</v>
      </c>
      <c r="I75" s="79">
        <f t="shared" si="24"/>
        <v>-0.22164276399999999</v>
      </c>
      <c r="J75" s="87">
        <f t="shared" si="21"/>
        <v>308421255.24230123</v>
      </c>
      <c r="K75" s="84" t="s">
        <v>250</v>
      </c>
      <c r="L75" s="37">
        <f t="shared" si="17"/>
        <v>59.7</v>
      </c>
      <c r="M75" s="79">
        <f t="shared" si="18"/>
        <v>-0.22164276399999999</v>
      </c>
      <c r="N75" s="87">
        <f t="shared" si="22"/>
        <v>308421255.24230123</v>
      </c>
      <c r="O75" s="84" t="s">
        <v>234</v>
      </c>
      <c r="P75" s="37">
        <f t="shared" si="19"/>
        <v>304</v>
      </c>
      <c r="Q75" s="79">
        <f t="shared" si="20"/>
        <v>-0.2164948454</v>
      </c>
      <c r="R75" s="87">
        <f t="shared" si="23"/>
        <v>19405957.85959287</v>
      </c>
    </row>
    <row r="76" spans="1:18">
      <c r="A76" s="40" t="s">
        <v>147</v>
      </c>
      <c r="B76" s="11" t="s">
        <v>148</v>
      </c>
      <c r="C76" s="95">
        <v>93.9</v>
      </c>
      <c r="D76" s="92">
        <v>-5.1515151500000002E-2</v>
      </c>
      <c r="E76" s="93">
        <v>54888152.650036611</v>
      </c>
      <c r="F76" s="35"/>
      <c r="G76" s="35"/>
      <c r="H76" s="35"/>
      <c r="I76" s="35"/>
    </row>
    <row r="77" spans="1:18">
      <c r="A77" s="40" t="s">
        <v>187</v>
      </c>
      <c r="B77" s="11" t="s">
        <v>188</v>
      </c>
      <c r="C77" s="95">
        <v>10120</v>
      </c>
      <c r="D77" s="92">
        <v>-5.3320860599999999E-2</v>
      </c>
      <c r="E77" s="93">
        <v>877155.48728760995</v>
      </c>
      <c r="F77" s="35"/>
      <c r="G77" s="35"/>
      <c r="H77" s="35"/>
      <c r="I77" s="35"/>
    </row>
    <row r="78" spans="1:18">
      <c r="A78" s="40" t="s">
        <v>103</v>
      </c>
      <c r="B78" s="11" t="s">
        <v>104</v>
      </c>
      <c r="C78" s="95">
        <v>1060</v>
      </c>
      <c r="D78" s="92">
        <v>-5.3571428599999998E-2</v>
      </c>
      <c r="E78" s="93">
        <v>2479633.91083065</v>
      </c>
      <c r="F78" s="35"/>
      <c r="G78" s="35"/>
      <c r="H78" s="35"/>
      <c r="I78" s="35"/>
    </row>
    <row r="79" spans="1:18">
      <c r="A79" s="40" t="s">
        <v>181</v>
      </c>
      <c r="B79" s="11" t="s">
        <v>182</v>
      </c>
      <c r="C79" s="95">
        <v>227</v>
      </c>
      <c r="D79" s="92">
        <v>-5.4166666699999998E-2</v>
      </c>
      <c r="E79" s="93">
        <v>5212931.8253209302</v>
      </c>
      <c r="F79" s="35"/>
      <c r="G79" s="35"/>
      <c r="H79" s="35"/>
      <c r="I79" s="35"/>
    </row>
    <row r="80" spans="1:18">
      <c r="A80" s="40" t="s">
        <v>259</v>
      </c>
      <c r="B80" s="11" t="s">
        <v>260</v>
      </c>
      <c r="C80" s="95">
        <v>57.3</v>
      </c>
      <c r="D80" s="92">
        <v>-5.6013179599999997E-2</v>
      </c>
      <c r="E80" s="93">
        <v>127600818.36981086</v>
      </c>
      <c r="F80" s="35"/>
      <c r="G80" s="35"/>
      <c r="H80" s="35"/>
      <c r="I80" s="35"/>
    </row>
    <row r="81" spans="1:9">
      <c r="A81" s="40" t="s">
        <v>141</v>
      </c>
      <c r="B81" s="11" t="s">
        <v>142</v>
      </c>
      <c r="C81" s="95">
        <v>571</v>
      </c>
      <c r="D81" s="92">
        <v>-5.6198347099999997E-2</v>
      </c>
      <c r="E81" s="93">
        <v>103263506.65319262</v>
      </c>
      <c r="F81" s="35"/>
      <c r="G81" s="35"/>
      <c r="H81" s="35"/>
      <c r="I81" s="35"/>
    </row>
    <row r="82" spans="1:9">
      <c r="A82" s="40" t="s">
        <v>153</v>
      </c>
      <c r="B82" s="11" t="s">
        <v>154</v>
      </c>
      <c r="C82" s="95">
        <v>8.6199999999999992</v>
      </c>
      <c r="D82" s="92">
        <v>-5.6892778999999997E-2</v>
      </c>
      <c r="E82" s="93">
        <v>1076018044.8153782</v>
      </c>
      <c r="F82" s="35"/>
      <c r="G82" s="35"/>
      <c r="H82" s="35"/>
      <c r="I82" s="35"/>
    </row>
    <row r="83" spans="1:9">
      <c r="A83" s="40" t="s">
        <v>53</v>
      </c>
      <c r="B83" s="11" t="s">
        <v>54</v>
      </c>
      <c r="C83" s="95">
        <v>231</v>
      </c>
      <c r="D83" s="92">
        <v>-5.71428571E-2</v>
      </c>
      <c r="E83" s="93">
        <v>19569561.713297289</v>
      </c>
      <c r="F83" s="35"/>
      <c r="G83" s="35"/>
      <c r="H83" s="35"/>
      <c r="I83" s="35"/>
    </row>
    <row r="84" spans="1:9">
      <c r="A84" s="40" t="s">
        <v>111</v>
      </c>
      <c r="B84" s="11" t="s">
        <v>112</v>
      </c>
      <c r="C84" s="95">
        <v>131</v>
      </c>
      <c r="D84" s="92">
        <v>-5.75539568E-2</v>
      </c>
      <c r="E84" s="93">
        <v>484356217.22101432</v>
      </c>
      <c r="F84" s="35"/>
      <c r="G84" s="35"/>
      <c r="H84" s="35"/>
      <c r="I84" s="35"/>
    </row>
    <row r="85" spans="1:9">
      <c r="A85" s="40" t="s">
        <v>273</v>
      </c>
      <c r="B85" s="11" t="s">
        <v>274</v>
      </c>
      <c r="C85" s="95">
        <v>7375</v>
      </c>
      <c r="D85" s="92">
        <v>-5.8109833999999999E-2</v>
      </c>
      <c r="E85" s="93">
        <v>1659123.81136999</v>
      </c>
      <c r="F85" s="35"/>
      <c r="G85" s="35"/>
      <c r="H85" s="35"/>
      <c r="I85" s="35"/>
    </row>
    <row r="86" spans="1:9">
      <c r="A86" s="40" t="s">
        <v>177</v>
      </c>
      <c r="B86" s="11" t="s">
        <v>178</v>
      </c>
      <c r="C86" s="95">
        <v>21690</v>
      </c>
      <c r="D86" s="92">
        <v>-5.8184976100000001E-2</v>
      </c>
      <c r="E86" s="93">
        <v>102191.04896992999</v>
      </c>
      <c r="F86" s="35"/>
      <c r="G86" s="35"/>
      <c r="H86" s="35"/>
      <c r="I86" s="35"/>
    </row>
    <row r="87" spans="1:9">
      <c r="A87" s="40" t="s">
        <v>225</v>
      </c>
      <c r="B87" s="11" t="s">
        <v>226</v>
      </c>
      <c r="C87" s="95">
        <v>210</v>
      </c>
      <c r="D87" s="92">
        <v>-5.82959641E-2</v>
      </c>
      <c r="E87" s="93">
        <v>13359506.11988187</v>
      </c>
      <c r="F87" s="35"/>
      <c r="G87" s="35"/>
      <c r="H87" s="35"/>
      <c r="I87" s="35"/>
    </row>
    <row r="88" spans="1:9">
      <c r="A88" s="40" t="s">
        <v>125</v>
      </c>
      <c r="B88" s="11" t="s">
        <v>126</v>
      </c>
      <c r="C88" s="95">
        <v>24.4</v>
      </c>
      <c r="D88" s="92">
        <v>-6.1538461500000002E-2</v>
      </c>
      <c r="E88" s="93">
        <v>123267327.2555742</v>
      </c>
      <c r="F88" s="35"/>
      <c r="G88" s="35"/>
      <c r="H88" s="35"/>
      <c r="I88" s="35"/>
    </row>
    <row r="89" spans="1:9">
      <c r="A89" s="40" t="s">
        <v>173</v>
      </c>
      <c r="B89" s="11" t="s">
        <v>174</v>
      </c>
      <c r="C89" s="95">
        <v>122</v>
      </c>
      <c r="D89" s="92">
        <v>-6.1538461500000002E-2</v>
      </c>
      <c r="E89" s="93">
        <v>165737859.54426</v>
      </c>
      <c r="F89" s="35"/>
      <c r="G89" s="35"/>
      <c r="H89" s="35"/>
      <c r="I89" s="35"/>
    </row>
    <row r="90" spans="1:9">
      <c r="A90" s="40" t="s">
        <v>261</v>
      </c>
      <c r="B90" s="11" t="s">
        <v>262</v>
      </c>
      <c r="C90" s="95">
        <v>471</v>
      </c>
      <c r="D90" s="92">
        <v>-6.1752988000000002E-2</v>
      </c>
      <c r="E90" s="93">
        <v>4501589.3271689201</v>
      </c>
      <c r="F90" s="35"/>
      <c r="G90" s="35"/>
      <c r="H90" s="35"/>
      <c r="I90" s="35"/>
    </row>
    <row r="91" spans="1:9">
      <c r="A91" s="40" t="s">
        <v>66</v>
      </c>
      <c r="B91" s="11" t="s">
        <v>67</v>
      </c>
      <c r="C91" s="95">
        <v>3645</v>
      </c>
      <c r="D91" s="92">
        <v>-6.1776061799999997E-2</v>
      </c>
      <c r="E91" s="93">
        <v>2691050.8705801098</v>
      </c>
      <c r="F91" s="35"/>
      <c r="G91" s="35"/>
      <c r="H91" s="35"/>
      <c r="I91" s="35"/>
    </row>
    <row r="92" spans="1:9">
      <c r="A92" s="40" t="s">
        <v>219</v>
      </c>
      <c r="B92" s="11" t="s">
        <v>220</v>
      </c>
      <c r="C92" s="95">
        <v>9.56</v>
      </c>
      <c r="D92" s="92">
        <v>-6.2745097999999999E-2</v>
      </c>
      <c r="E92" s="93">
        <v>338757142.32559967</v>
      </c>
      <c r="F92" s="35"/>
      <c r="G92" s="35"/>
      <c r="H92" s="35"/>
      <c r="I92" s="35"/>
    </row>
    <row r="93" spans="1:9">
      <c r="A93" s="40" t="s">
        <v>283</v>
      </c>
      <c r="B93" s="11" t="s">
        <v>284</v>
      </c>
      <c r="C93" s="95">
        <v>194</v>
      </c>
      <c r="D93" s="92">
        <v>-6.2801932399999996E-2</v>
      </c>
      <c r="E93" s="93">
        <v>8093047.5737750903</v>
      </c>
      <c r="F93" s="35"/>
      <c r="G93" s="35"/>
      <c r="H93" s="35"/>
      <c r="I93" s="35"/>
    </row>
    <row r="94" spans="1:9">
      <c r="A94" s="40" t="s">
        <v>223</v>
      </c>
      <c r="B94" s="11" t="s">
        <v>224</v>
      </c>
      <c r="C94" s="95">
        <v>1115</v>
      </c>
      <c r="D94" s="92">
        <v>-6.3025210100000006E-2</v>
      </c>
      <c r="E94" s="93">
        <v>12172709.032421609</v>
      </c>
      <c r="F94" s="35"/>
      <c r="G94" s="35"/>
      <c r="H94" s="35"/>
      <c r="I94" s="35"/>
    </row>
    <row r="95" spans="1:9">
      <c r="A95" s="40" t="s">
        <v>263</v>
      </c>
      <c r="B95" s="11" t="s">
        <v>264</v>
      </c>
      <c r="C95" s="95">
        <v>71.099999999999994</v>
      </c>
      <c r="D95" s="92">
        <v>-6.3241106699999994E-2</v>
      </c>
      <c r="E95" s="93">
        <v>42071191.683762006</v>
      </c>
      <c r="F95" s="35"/>
      <c r="G95" s="35"/>
      <c r="H95" s="35"/>
      <c r="I95" s="35"/>
    </row>
    <row r="96" spans="1:9">
      <c r="A96" s="40" t="s">
        <v>193</v>
      </c>
      <c r="B96" s="11" t="s">
        <v>194</v>
      </c>
      <c r="C96" s="95">
        <v>6515</v>
      </c>
      <c r="D96" s="92">
        <v>-6.5279770400000006E-2</v>
      </c>
      <c r="E96" s="93">
        <v>904439.25661404</v>
      </c>
      <c r="F96" s="35"/>
      <c r="G96" s="35"/>
      <c r="H96" s="35"/>
      <c r="I96" s="35"/>
    </row>
    <row r="97" spans="1:9">
      <c r="A97" s="40" t="s">
        <v>185</v>
      </c>
      <c r="B97" s="11" t="s">
        <v>186</v>
      </c>
      <c r="C97" s="95">
        <v>14.3</v>
      </c>
      <c r="D97" s="92">
        <v>-6.5359477099999994E-2</v>
      </c>
      <c r="E97" s="93">
        <v>526951928.12938404</v>
      </c>
      <c r="F97" s="35"/>
      <c r="G97" s="35"/>
      <c r="H97" s="35"/>
      <c r="I97" s="35"/>
    </row>
    <row r="98" spans="1:9">
      <c r="A98" s="40" t="s">
        <v>221</v>
      </c>
      <c r="B98" s="11" t="s">
        <v>222</v>
      </c>
      <c r="C98" s="95">
        <v>8.49</v>
      </c>
      <c r="D98" s="92">
        <v>-6.7032966999999999E-2</v>
      </c>
      <c r="E98" s="93">
        <v>401818314.41871303</v>
      </c>
      <c r="F98" s="35"/>
      <c r="G98" s="35"/>
      <c r="H98" s="35"/>
      <c r="I98" s="35"/>
    </row>
    <row r="99" spans="1:9">
      <c r="A99" s="40" t="s">
        <v>201</v>
      </c>
      <c r="B99" s="11" t="s">
        <v>202</v>
      </c>
      <c r="C99" s="95">
        <v>87.8</v>
      </c>
      <c r="D99" s="92">
        <v>-6.7940552000000001E-2</v>
      </c>
      <c r="E99" s="93">
        <v>84526939.452911913</v>
      </c>
      <c r="F99" s="35"/>
      <c r="G99" s="35"/>
      <c r="H99" s="35"/>
      <c r="I99" s="35"/>
    </row>
    <row r="100" spans="1:9">
      <c r="A100" s="40" t="s">
        <v>265</v>
      </c>
      <c r="B100" s="11" t="s">
        <v>266</v>
      </c>
      <c r="C100" s="95">
        <v>53.2</v>
      </c>
      <c r="D100" s="92">
        <v>-6.8301225899999998E-2</v>
      </c>
      <c r="E100" s="93">
        <v>124979328.91107576</v>
      </c>
      <c r="F100" s="35"/>
      <c r="G100" s="35"/>
      <c r="H100" s="35"/>
      <c r="I100" s="35"/>
    </row>
    <row r="101" spans="1:9">
      <c r="A101" s="40" t="s">
        <v>211</v>
      </c>
      <c r="B101" s="11" t="s">
        <v>212</v>
      </c>
      <c r="C101" s="95">
        <v>54.8</v>
      </c>
      <c r="D101" s="92">
        <v>-7.1186440700000006E-2</v>
      </c>
      <c r="E101" s="93">
        <v>186438446.76060143</v>
      </c>
      <c r="F101" s="35"/>
      <c r="G101" s="35"/>
      <c r="H101" s="35"/>
      <c r="I101" s="35"/>
    </row>
    <row r="102" spans="1:9">
      <c r="A102" s="40" t="s">
        <v>213</v>
      </c>
      <c r="B102" s="11" t="s">
        <v>214</v>
      </c>
      <c r="C102" s="95">
        <v>9.56</v>
      </c>
      <c r="D102" s="92">
        <v>-7.1844660199999993E-2</v>
      </c>
      <c r="E102" s="93">
        <v>817273335.50967932</v>
      </c>
      <c r="F102" s="35"/>
      <c r="G102" s="35"/>
      <c r="H102" s="35"/>
      <c r="I102" s="35"/>
    </row>
    <row r="103" spans="1:9">
      <c r="A103" s="40" t="s">
        <v>109</v>
      </c>
      <c r="B103" s="11" t="s">
        <v>110</v>
      </c>
      <c r="C103" s="95">
        <v>1185</v>
      </c>
      <c r="D103" s="92">
        <v>-7.7821011699999998E-2</v>
      </c>
      <c r="E103" s="93">
        <v>2723757.2591882101</v>
      </c>
      <c r="F103" s="35"/>
      <c r="G103" s="35"/>
      <c r="H103" s="35"/>
      <c r="I103" s="35"/>
    </row>
    <row r="104" spans="1:9">
      <c r="A104" s="40" t="s">
        <v>81</v>
      </c>
      <c r="B104" s="11" t="s">
        <v>82</v>
      </c>
      <c r="C104" s="95">
        <v>789</v>
      </c>
      <c r="D104" s="92">
        <v>-0.1281767956</v>
      </c>
      <c r="E104" s="93">
        <v>2479562.9575470402</v>
      </c>
      <c r="F104" s="35"/>
      <c r="G104" s="35"/>
      <c r="H104" s="35"/>
      <c r="I104" s="35"/>
    </row>
    <row r="105" spans="1:9">
      <c r="A105" s="40" t="s">
        <v>237</v>
      </c>
      <c r="B105" s="11" t="s">
        <v>238</v>
      </c>
      <c r="C105" s="95">
        <v>87.8</v>
      </c>
      <c r="D105" s="92">
        <v>-0.13069306929999999</v>
      </c>
      <c r="E105" s="93">
        <v>26482306.830114309</v>
      </c>
      <c r="F105" s="35"/>
      <c r="G105" s="35"/>
      <c r="H105" s="35"/>
      <c r="I105" s="35"/>
    </row>
    <row r="106" spans="1:9">
      <c r="A106" s="40" t="s">
        <v>247</v>
      </c>
      <c r="B106" s="11" t="s">
        <v>248</v>
      </c>
      <c r="C106" s="95">
        <v>1225</v>
      </c>
      <c r="D106" s="92">
        <v>-0.13120567380000001</v>
      </c>
      <c r="E106" s="93">
        <v>2670925.50797043</v>
      </c>
      <c r="F106" s="35"/>
      <c r="G106" s="35"/>
      <c r="H106" s="35"/>
      <c r="I106" s="35"/>
    </row>
    <row r="107" spans="1:9">
      <c r="A107" s="40" t="s">
        <v>161</v>
      </c>
      <c r="B107" s="11" t="s">
        <v>162</v>
      </c>
      <c r="C107" s="95">
        <v>733</v>
      </c>
      <c r="D107" s="92">
        <v>-0.13663133099999999</v>
      </c>
      <c r="E107" s="93">
        <v>105889146.27079575</v>
      </c>
      <c r="F107" s="35"/>
      <c r="G107" s="35"/>
      <c r="H107" s="35"/>
      <c r="I107" s="35"/>
    </row>
    <row r="108" spans="1:9">
      <c r="A108" s="40" t="s">
        <v>121</v>
      </c>
      <c r="B108" s="11" t="s">
        <v>122</v>
      </c>
      <c r="C108" s="95">
        <v>23.8</v>
      </c>
      <c r="D108" s="92">
        <v>-0.15</v>
      </c>
      <c r="E108" s="93">
        <v>222991212.08902317</v>
      </c>
      <c r="F108" s="35"/>
      <c r="G108" s="35"/>
      <c r="H108" s="35"/>
      <c r="I108" s="35"/>
    </row>
    <row r="109" spans="1:9">
      <c r="A109" s="40" t="s">
        <v>207</v>
      </c>
      <c r="B109" s="11" t="s">
        <v>208</v>
      </c>
      <c r="C109" s="95">
        <v>88.9</v>
      </c>
      <c r="D109" s="92">
        <v>-0.18440366969999999</v>
      </c>
      <c r="E109" s="41">
        <v>123104099.17406885</v>
      </c>
    </row>
    <row r="110" spans="1:9">
      <c r="A110" s="40" t="s">
        <v>267</v>
      </c>
      <c r="B110" s="11" t="s">
        <v>268</v>
      </c>
      <c r="C110" s="95">
        <v>26.4</v>
      </c>
      <c r="D110" s="92">
        <v>-0.18518518519999999</v>
      </c>
      <c r="E110" s="41">
        <v>159778012.81956238</v>
      </c>
    </row>
    <row r="111" spans="1:9">
      <c r="A111" s="40" t="s">
        <v>171</v>
      </c>
      <c r="B111" s="11" t="s">
        <v>172</v>
      </c>
      <c r="C111" s="95">
        <v>4.7300000000000004</v>
      </c>
      <c r="D111" s="92">
        <v>-0.18588640279999999</v>
      </c>
      <c r="E111" s="41">
        <v>1703910420.1838396</v>
      </c>
    </row>
    <row r="112" spans="1:9">
      <c r="A112" s="40" t="s">
        <v>253</v>
      </c>
      <c r="B112" s="11" t="s">
        <v>254</v>
      </c>
      <c r="C112" s="95">
        <v>19.600000000000001</v>
      </c>
      <c r="D112" s="92">
        <v>-0.19008264459999999</v>
      </c>
      <c r="E112" s="41">
        <v>253377870.37290585</v>
      </c>
    </row>
    <row r="113" spans="1:5">
      <c r="A113" s="40" t="s">
        <v>235</v>
      </c>
      <c r="B113" s="11" t="s">
        <v>236</v>
      </c>
      <c r="C113" s="95">
        <v>17.5</v>
      </c>
      <c r="D113" s="92">
        <v>-0.20091324199999999</v>
      </c>
      <c r="E113" s="41">
        <v>339808539.09258568</v>
      </c>
    </row>
    <row r="114" spans="1:5">
      <c r="A114" s="40" t="s">
        <v>217</v>
      </c>
      <c r="B114" s="11" t="s">
        <v>218</v>
      </c>
      <c r="C114" s="95">
        <v>5.46</v>
      </c>
      <c r="D114" s="92">
        <v>-0.20408163269999999</v>
      </c>
      <c r="E114" s="41">
        <v>986886398.35607469</v>
      </c>
    </row>
    <row r="115" spans="1:5">
      <c r="A115" s="40" t="s">
        <v>281</v>
      </c>
      <c r="B115" s="11" t="s">
        <v>282</v>
      </c>
      <c r="C115" s="95">
        <v>54.3</v>
      </c>
      <c r="D115" s="92">
        <v>-0.20960698689999999</v>
      </c>
      <c r="E115" s="41">
        <v>85666052.47430554</v>
      </c>
    </row>
    <row r="116" spans="1:5">
      <c r="A116" s="40" t="s">
        <v>251</v>
      </c>
      <c r="B116" s="11" t="s">
        <v>252</v>
      </c>
      <c r="C116" s="95">
        <v>98.4</v>
      </c>
      <c r="D116" s="92">
        <v>-0.21279999999999999</v>
      </c>
      <c r="E116" s="41">
        <v>38263767.564725444</v>
      </c>
    </row>
    <row r="117" spans="1:5">
      <c r="A117" s="40" t="s">
        <v>233</v>
      </c>
      <c r="B117" s="11" t="s">
        <v>234</v>
      </c>
      <c r="C117" s="95">
        <v>304</v>
      </c>
      <c r="D117" s="92">
        <v>-0.2164948454</v>
      </c>
      <c r="E117" s="41">
        <v>19405957.85959287</v>
      </c>
    </row>
    <row r="118" spans="1:5">
      <c r="A118" s="40" t="s">
        <v>249</v>
      </c>
      <c r="B118" s="11" t="s">
        <v>250</v>
      </c>
      <c r="C118" s="95">
        <v>59.7</v>
      </c>
      <c r="D118" s="92">
        <v>-0.22164276399999999</v>
      </c>
      <c r="E118" s="41">
        <v>308421255.24230123</v>
      </c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77" t="str">
        <f>TEXT(투자전략!$G$1, "[$-ko-KR]yyyy년 mm월") &amp; " 총결산"</f>
        <v>2021년 06월 총결산</v>
      </c>
      <c r="B1" s="278"/>
      <c r="C1" s="278"/>
      <c r="D1" s="278"/>
      <c r="E1" s="278"/>
      <c r="F1" s="278"/>
      <c r="G1" s="278"/>
      <c r="H1" s="278"/>
      <c r="I1" s="278"/>
      <c r="J1" s="278"/>
      <c r="K1" s="278"/>
      <c r="L1" s="278"/>
      <c r="M1" s="278"/>
      <c r="N1" s="278"/>
      <c r="O1" s="279"/>
    </row>
    <row r="2" spans="1:15" ht="16.5" customHeight="1" thickBot="1">
      <c r="A2" s="274" t="s">
        <v>319</v>
      </c>
      <c r="B2" s="275"/>
      <c r="C2" s="275"/>
      <c r="D2" s="247" t="s">
        <v>315</v>
      </c>
      <c r="E2" s="247"/>
      <c r="F2" s="248"/>
      <c r="G2" s="277" t="s">
        <v>316</v>
      </c>
      <c r="H2" s="278"/>
      <c r="I2" s="279"/>
      <c r="J2" s="246" t="s">
        <v>317</v>
      </c>
      <c r="K2" s="247"/>
      <c r="L2" s="247"/>
      <c r="M2" s="247" t="s">
        <v>318</v>
      </c>
      <c r="N2" s="247"/>
      <c r="O2" s="248"/>
    </row>
    <row r="3" spans="1:15" ht="16.5" customHeight="1">
      <c r="A3" s="304">
        <v>1</v>
      </c>
      <c r="B3" s="27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14:00] 엽전코인 Top20</v>
      </c>
      <c r="C3" s="276"/>
      <c r="D3" s="274" t="s">
        <v>320</v>
      </c>
      <c r="E3" s="275"/>
      <c r="F3" s="276"/>
      <c r="G3" s="274" t="s">
        <v>327</v>
      </c>
      <c r="H3" s="275"/>
      <c r="I3" s="276"/>
      <c r="J3" s="274" t="s">
        <v>334</v>
      </c>
      <c r="K3" s="275"/>
      <c r="L3" s="276"/>
      <c r="M3" s="274" t="s">
        <v>341</v>
      </c>
      <c r="N3" s="275"/>
      <c r="O3" s="276"/>
    </row>
    <row r="4" spans="1:15" ht="16.5" customHeight="1" thickBot="1">
      <c r="A4" s="305"/>
      <c r="B4" s="26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375,163 KRW (18.76%)</v>
      </c>
      <c r="C4" s="269"/>
      <c r="D4" s="267" t="str">
        <f ca="1" xml:space="preserve"> TEXT($F$92, "#,##0") &amp; " KRW (" &amp; TEXT($E$92, "0.00%)")</f>
        <v>375,163 KRW (18.76%)</v>
      </c>
      <c r="E4" s="268"/>
      <c r="F4" s="269"/>
      <c r="G4" s="267" t="str">
        <f ca="1" xml:space="preserve"> TEXT($I$92, "#,##0") &amp; " KRW (" &amp; TEXT($H$92, "0.00%)")</f>
        <v>1,175 KRW (0.06%)</v>
      </c>
      <c r="H4" s="268"/>
      <c r="I4" s="269"/>
      <c r="J4" s="267" t="str">
        <f ca="1" xml:space="preserve"> TEXT($L$92, "#,##0") &amp; " KRW (" &amp; TEXT($K$92, "0.00%)")</f>
        <v>-275,115 KRW (-13.76%)</v>
      </c>
      <c r="K4" s="268"/>
      <c r="L4" s="269"/>
      <c r="M4" s="267" t="str">
        <f ca="1" xml:space="preserve"> TEXT($O$92, "#,##0") &amp; " KRW (" &amp; TEXT($N$92, "0.00%)")</f>
        <v>-314,202 KRW (-15.71%)</v>
      </c>
      <c r="N4" s="268"/>
      <c r="O4" s="269"/>
    </row>
    <row r="5" spans="1:15" ht="16.5" customHeight="1">
      <c r="A5" s="304">
        <v>2</v>
      </c>
      <c r="B5" s="27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14:00] 전일대비 상승률 Top20</v>
      </c>
      <c r="C5" s="276"/>
      <c r="D5" s="274" t="s">
        <v>321</v>
      </c>
      <c r="E5" s="275"/>
      <c r="F5" s="276"/>
      <c r="G5" s="274" t="s">
        <v>328</v>
      </c>
      <c r="H5" s="275"/>
      <c r="I5" s="276"/>
      <c r="J5" s="274" t="s">
        <v>335</v>
      </c>
      <c r="K5" s="275"/>
      <c r="L5" s="276"/>
      <c r="M5" s="274" t="s">
        <v>342</v>
      </c>
      <c r="N5" s="275"/>
      <c r="O5" s="276"/>
    </row>
    <row r="6" spans="1:15" ht="16.5" customHeight="1" thickBot="1">
      <c r="A6" s="305"/>
      <c r="B6" s="26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263,216 KRW (13.16%)</v>
      </c>
      <c r="C6" s="269"/>
      <c r="D6" s="267" t="str">
        <f ca="1" xml:space="preserve"> TEXT($F$130, "#,##0") &amp; " KRW (" &amp; TEXT($E$130, "0.00%)")</f>
        <v>777 KRW (0.04%)</v>
      </c>
      <c r="E6" s="268"/>
      <c r="F6" s="269"/>
      <c r="G6" s="267" t="str">
        <f ca="1" xml:space="preserve"> TEXT($I$130, "#,##0") &amp; " KRW (" &amp; TEXT($H$130, "0.00%)")</f>
        <v>-341,658 KRW (-17.08%)</v>
      </c>
      <c r="H6" s="268"/>
      <c r="I6" s="269"/>
      <c r="J6" s="267" t="str">
        <f ca="1" xml:space="preserve"> TEXT($L$130, "#,##0") &amp; " KRW (" &amp; TEXT($K$130, "0.00%)")</f>
        <v>-451,064 KRW (-22.55%)</v>
      </c>
      <c r="K6" s="268"/>
      <c r="L6" s="269"/>
      <c r="M6" s="267" t="str">
        <f ca="1" xml:space="preserve"> TEXT($O$130, "#,##0") &amp; " KRW (" &amp; TEXT($N$130, "0.00%)")</f>
        <v>-454,610 KRW (-22.73%)</v>
      </c>
      <c r="N6" s="268"/>
      <c r="O6" s="269"/>
    </row>
    <row r="7" spans="1:15" ht="16.5" customHeight="1">
      <c r="A7" s="304">
        <v>3</v>
      </c>
      <c r="B7" s="27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14:00] 엽전코인 Bottom20</v>
      </c>
      <c r="C7" s="276"/>
      <c r="D7" s="274" t="s">
        <v>322</v>
      </c>
      <c r="E7" s="275"/>
      <c r="F7" s="276"/>
      <c r="G7" s="274" t="s">
        <v>329</v>
      </c>
      <c r="H7" s="275"/>
      <c r="I7" s="276"/>
      <c r="J7" s="274" t="s">
        <v>336</v>
      </c>
      <c r="K7" s="275"/>
      <c r="L7" s="276"/>
      <c r="M7" s="274" t="s">
        <v>343</v>
      </c>
      <c r="N7" s="275"/>
      <c r="O7" s="276"/>
    </row>
    <row r="8" spans="1:15" ht="16.5" customHeight="1" thickBot="1">
      <c r="A8" s="305"/>
      <c r="B8" s="26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142,746 KRW (7.14%)</v>
      </c>
      <c r="C8" s="269"/>
      <c r="D8" s="267" t="str">
        <f ca="1" xml:space="preserve"> TEXT($F$206, "#,##0") &amp; " KRW (" &amp; TEXT($E$206, "0.00%)")</f>
        <v>142,746 KRW (7.14%)</v>
      </c>
      <c r="E8" s="268"/>
      <c r="F8" s="269"/>
      <c r="G8" s="267" t="str">
        <f ca="1" xml:space="preserve"> TEXT($I$206, "#,##0") &amp; " KRW (" &amp; TEXT($H$206, "0.00%)")</f>
        <v>-16,012 KRW (-0.80%)</v>
      </c>
      <c r="H8" s="268"/>
      <c r="I8" s="269"/>
      <c r="J8" s="267" t="str">
        <f ca="1" xml:space="preserve"> TEXT($L$206, "#,##0") &amp; " KRW (" &amp; TEXT($K$206, "0.00%)")</f>
        <v>-319,939 KRW (-16.00%)</v>
      </c>
      <c r="K8" s="268"/>
      <c r="L8" s="269"/>
      <c r="M8" s="267" t="str">
        <f ca="1" xml:space="preserve"> TEXT($O$206, "#,##0") &amp; " KRW (" &amp; TEXT($N$206, "0.00%)")</f>
        <v>-514,648 KRW (-25.73%)</v>
      </c>
      <c r="N8" s="268"/>
      <c r="O8" s="269"/>
    </row>
    <row r="9" spans="1:15" ht="16.5" customHeight="1">
      <c r="A9" s="304">
        <v>4</v>
      </c>
      <c r="B9" s="27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19:00] 실거래종목</v>
      </c>
      <c r="C9" s="276"/>
      <c r="D9" s="274" t="s">
        <v>323</v>
      </c>
      <c r="E9" s="275"/>
      <c r="F9" s="276"/>
      <c r="G9" s="274" t="s">
        <v>330</v>
      </c>
      <c r="H9" s="275"/>
      <c r="I9" s="276"/>
      <c r="J9" s="274" t="s">
        <v>337</v>
      </c>
      <c r="K9" s="275"/>
      <c r="L9" s="276"/>
      <c r="M9" s="274" t="s">
        <v>344</v>
      </c>
      <c r="N9" s="275"/>
      <c r="O9" s="276"/>
    </row>
    <row r="10" spans="1:15" ht="16.5" customHeight="1" thickBot="1">
      <c r="A10" s="305"/>
      <c r="B10" s="26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130,037 KRW (15.76%)</v>
      </c>
      <c r="C10" s="269"/>
      <c r="D10" s="267" t="str">
        <f ca="1" xml:space="preserve"> TEXT($F$244, "#,##0") &amp; " KRW (" &amp; TEXT($E$244, "0.00%)")</f>
        <v>-54,535 KRW (-2.73%)</v>
      </c>
      <c r="E10" s="268"/>
      <c r="F10" s="269"/>
      <c r="G10" s="267" t="str">
        <f ca="1" xml:space="preserve"> TEXT($I$244, "#,##0") &amp; " KRW (" &amp; TEXT($H$244, "0.00%)")</f>
        <v>-46,018 KRW (-2.30%)</v>
      </c>
      <c r="H10" s="268"/>
      <c r="I10" s="269"/>
      <c r="J10" s="267" t="str">
        <f ca="1" xml:space="preserve"> TEXT($L$244, "#,##0") &amp; " KRW (" &amp; TEXT($K$244, "0.00%)")</f>
        <v>-202,380 KRW (-10.12%)</v>
      </c>
      <c r="K10" s="268"/>
      <c r="L10" s="269"/>
      <c r="M10" s="267" t="str">
        <f ca="1" xml:space="preserve"> TEXT($O$244, "#,##0") &amp; " KRW (" &amp; TEXT($N$244, "0.00%)")</f>
        <v>-266,355 KRW (-13.32%)</v>
      </c>
      <c r="N10" s="268"/>
      <c r="O10" s="269"/>
    </row>
    <row r="11" spans="1:15" ht="16.5" customHeight="1">
      <c r="A11" s="304">
        <v>5</v>
      </c>
      <c r="B11" s="27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14:00] 실거래종목</v>
      </c>
      <c r="C11" s="276"/>
      <c r="D11" s="274" t="s">
        <v>324</v>
      </c>
      <c r="E11" s="275"/>
      <c r="F11" s="276"/>
      <c r="G11" s="274" t="s">
        <v>331</v>
      </c>
      <c r="H11" s="275"/>
      <c r="I11" s="276"/>
      <c r="J11" s="274" t="s">
        <v>338</v>
      </c>
      <c r="K11" s="275"/>
      <c r="L11" s="276"/>
      <c r="M11" s="274" t="s">
        <v>345</v>
      </c>
      <c r="N11" s="275"/>
      <c r="O11" s="276"/>
    </row>
    <row r="12" spans="1:15" ht="16.5" customHeight="1" thickBot="1">
      <c r="A12" s="305"/>
      <c r="B12" s="26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112,807 KRW (13.67%)</v>
      </c>
      <c r="C12" s="269"/>
      <c r="D12" s="267" t="str">
        <f ca="1" xml:space="preserve"> TEXT($F$168, "#,##0") &amp; " KRW (" &amp; TEXT($E$168, "0.00%)")</f>
        <v>263,216 KRW (13.16%)</v>
      </c>
      <c r="E12" s="268"/>
      <c r="F12" s="269"/>
      <c r="G12" s="267" t="str">
        <f ca="1" xml:space="preserve"> TEXT($I$168, "#,##0") &amp; " KRW (" &amp; TEXT($H$168, "0.00%)")</f>
        <v>-279,110 KRW (-13.96%)</v>
      </c>
      <c r="H12" s="268"/>
      <c r="I12" s="269"/>
      <c r="J12" s="267" t="str">
        <f ca="1" xml:space="preserve"> TEXT($L$168, "#,##0") &amp; " KRW (" &amp; TEXT($K$168, "0.00%)")</f>
        <v>-535,018 KRW (-26.75%)</v>
      </c>
      <c r="K12" s="268"/>
      <c r="L12" s="269"/>
      <c r="M12" s="267" t="str">
        <f ca="1" xml:space="preserve"> TEXT($O$168, "#,##0") &amp; " KRW (" &amp; TEXT($N$168, "0.00%)")</f>
        <v>-470,785 KRW (-23.54%)</v>
      </c>
      <c r="N12" s="268"/>
      <c r="O12" s="269"/>
    </row>
    <row r="13" spans="1:15" ht="16.5" customHeight="1">
      <c r="A13" s="304">
        <v>6</v>
      </c>
      <c r="B13" s="27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21:00] 실거래종목</v>
      </c>
      <c r="C13" s="276"/>
      <c r="D13" s="274" t="s">
        <v>325</v>
      </c>
      <c r="E13" s="275"/>
      <c r="F13" s="276"/>
      <c r="G13" s="274" t="s">
        <v>332</v>
      </c>
      <c r="H13" s="275"/>
      <c r="I13" s="276"/>
      <c r="J13" s="274" t="s">
        <v>339</v>
      </c>
      <c r="K13" s="275"/>
      <c r="L13" s="276"/>
      <c r="M13" s="274" t="s">
        <v>346</v>
      </c>
      <c r="N13" s="275"/>
      <c r="O13" s="276"/>
    </row>
    <row r="14" spans="1:15" ht="16.5" customHeight="1" thickBot="1">
      <c r="A14" s="305"/>
      <c r="B14" s="26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79,806 KRW (9.67%)</v>
      </c>
      <c r="C14" s="269"/>
      <c r="D14" s="267" t="str">
        <f ca="1" xml:space="preserve"> TEXT($F$282, "#,##0") &amp; " KRW (" &amp; TEXT($E$282, "0.00%)")</f>
        <v>-258,117 KRW (-12.91%)</v>
      </c>
      <c r="E14" s="268"/>
      <c r="F14" s="269"/>
      <c r="G14" s="267" t="str">
        <f ca="1" xml:space="preserve"> TEXT($I$282, "#,##0") &amp; " KRW (" &amp; TEXT($H$282, "0.00%)")</f>
        <v>-211,561 KRW (-10.58%)</v>
      </c>
      <c r="H14" s="268"/>
      <c r="I14" s="269"/>
      <c r="J14" s="267" t="str">
        <f ca="1" xml:space="preserve"> TEXT($L$282, "#,##0") &amp; " KRW (" &amp; TEXT($K$282, "0.00%)")</f>
        <v>-518,767 KRW (-25.94%)</v>
      </c>
      <c r="K14" s="268"/>
      <c r="L14" s="269"/>
      <c r="M14" s="267" t="str">
        <f ca="1" xml:space="preserve"> TEXT($O$282, "#,##0") &amp; " KRW (" &amp; TEXT($N$282, "0.00%)")</f>
        <v>-619,377 KRW (-30.97%)</v>
      </c>
      <c r="N14" s="268"/>
      <c r="O14" s="269"/>
    </row>
    <row r="15" spans="1:15" ht="16.5" customHeight="1">
      <c r="A15" s="304">
        <v>7</v>
      </c>
      <c r="B15" s="27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[오전 00:00] 실거래종목</v>
      </c>
      <c r="C15" s="276"/>
      <c r="D15" s="274" t="s">
        <v>326</v>
      </c>
      <c r="E15" s="275"/>
      <c r="F15" s="276"/>
      <c r="G15" s="274" t="s">
        <v>333</v>
      </c>
      <c r="H15" s="275"/>
      <c r="I15" s="276"/>
      <c r="J15" s="274" t="s">
        <v>340</v>
      </c>
      <c r="K15" s="275"/>
      <c r="L15" s="276"/>
      <c r="M15" s="274" t="s">
        <v>347</v>
      </c>
      <c r="N15" s="275"/>
      <c r="O15" s="276"/>
    </row>
    <row r="16" spans="1:15" ht="16.5" customHeight="1" thickBot="1">
      <c r="A16" s="305"/>
      <c r="B16" s="26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74,922 KRW (9.08%)</v>
      </c>
      <c r="C16" s="269"/>
      <c r="D16" s="267" t="str">
        <f ca="1" xml:space="preserve"> TEXT($F$54, "#,##0") &amp; " KRW (" &amp; TEXT($E$54, "0.00%)")</f>
        <v>112,807 KRW (13.67%)</v>
      </c>
      <c r="E16" s="268"/>
      <c r="F16" s="269"/>
      <c r="G16" s="267" t="str">
        <f ca="1" xml:space="preserve"> TEXT($I$54, "#,##0") &amp; " KRW (" &amp; TEXT($H$54, "0.00%)")</f>
        <v>130,037 KRW (15.76%)</v>
      </c>
      <c r="H16" s="268"/>
      <c r="I16" s="269"/>
      <c r="J16" s="267" t="str">
        <f ca="1" xml:space="preserve"> TEXT($L$54, "#,##0") &amp; " KRW (" &amp; TEXT($K$54, "0.00%)")</f>
        <v>79,806 KRW (9.67%)</v>
      </c>
      <c r="K16" s="268"/>
      <c r="L16" s="269"/>
      <c r="M16" s="267" t="str">
        <f ca="1" xml:space="preserve"> TEXT($O$54, "#,##0") &amp; " KRW (" &amp; TEXT($N$54, "0.00%)")</f>
        <v>74,922 KRW (9.08%)</v>
      </c>
      <c r="N16" s="268"/>
      <c r="O16" s="269"/>
    </row>
    <row r="18" spans="1:15" ht="16.5" customHeight="1" thickBot="1"/>
    <row r="19" spans="1:15" ht="16.5" customHeight="1" thickBot="1">
      <c r="A19" s="246" t="str">
        <f>TEXT(투자전략!$G$1, "[$-ko-KR]yyyy년 mm월 ") &amp; "실거래 월말결산"</f>
        <v>2021년 06월 실거래 월말결산</v>
      </c>
      <c r="B19" s="247"/>
      <c r="C19" s="247"/>
      <c r="D19" s="247"/>
      <c r="E19" s="247"/>
      <c r="F19" s="247"/>
      <c r="G19" s="247"/>
      <c r="H19" s="247"/>
      <c r="I19" s="247"/>
      <c r="J19" s="247"/>
      <c r="K19" s="247"/>
      <c r="L19" s="247"/>
      <c r="M19" s="247"/>
      <c r="N19" s="247"/>
      <c r="O19" s="248"/>
    </row>
    <row r="20" spans="1:15" ht="16.5" customHeight="1" thickBot="1">
      <c r="A20" s="290" t="s">
        <v>314</v>
      </c>
      <c r="B20" s="267" t="s">
        <v>312</v>
      </c>
      <c r="C20" s="269"/>
      <c r="D20" s="267" t="s">
        <v>304</v>
      </c>
      <c r="E20" s="268"/>
      <c r="F20" s="269"/>
      <c r="G20" s="267" t="s">
        <v>305</v>
      </c>
      <c r="H20" s="268"/>
      <c r="I20" s="269"/>
      <c r="J20" s="267" t="s">
        <v>306</v>
      </c>
      <c r="K20" s="268"/>
      <c r="L20" s="269"/>
      <c r="M20" s="267" t="s">
        <v>307</v>
      </c>
      <c r="N20" s="268"/>
      <c r="O20" s="269"/>
    </row>
    <row r="21" spans="1:15" ht="16.5" customHeight="1" thickBot="1">
      <c r="A21" s="283"/>
      <c r="B21" s="146" t="s">
        <v>302</v>
      </c>
      <c r="C21" s="146" t="s">
        <v>42</v>
      </c>
      <c r="D21" s="121" t="s">
        <v>303</v>
      </c>
      <c r="E21" s="133" t="s">
        <v>40</v>
      </c>
      <c r="F21" s="149" t="s">
        <v>41</v>
      </c>
      <c r="G21" s="121" t="s">
        <v>303</v>
      </c>
      <c r="H21" s="133" t="s">
        <v>40</v>
      </c>
      <c r="I21" s="149" t="s">
        <v>41</v>
      </c>
      <c r="J21" s="121" t="s">
        <v>303</v>
      </c>
      <c r="K21" s="133" t="s">
        <v>40</v>
      </c>
      <c r="L21" s="149" t="s">
        <v>41</v>
      </c>
      <c r="M21" s="121" t="s">
        <v>303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2021.06.01</v>
      </c>
      <c r="C22" s="134">
        <f ca="1">IFERROR(COUNTA(INDIRECT($B22&amp;"!A17:A36")) * INDIRECT($B22&amp;"!B37"), "")</f>
        <v>600000</v>
      </c>
      <c r="D22" s="142">
        <f ca="1">IFERROR($C22 * (1 + E22), "")</f>
        <v>610321.79006487865</v>
      </c>
      <c r="E22" s="76">
        <f ca="1">IFERROR(INDIRECT($B22&amp;"!E37"), "")</f>
        <v>1.7202983441464374E-2</v>
      </c>
      <c r="F22" s="141">
        <f ca="1">IFERROR(INDIRECT($B22&amp;"!F37"), "")</f>
        <v>10321.790064878625</v>
      </c>
      <c r="G22" s="142">
        <f ca="1">IFERROR($C22 * (1 + H22), "")</f>
        <v>597652.88521245401</v>
      </c>
      <c r="H22" s="76">
        <f ca="1">IFERROR(INDIRECT($B22&amp;"!H37"), "")</f>
        <v>-3.9118579792433066E-3</v>
      </c>
      <c r="I22" s="141">
        <f ca="1">IFERROR(INDIRECT($B22&amp;"!I37"), "")</f>
        <v>-2347.1147875459851</v>
      </c>
      <c r="J22" s="142">
        <f ca="1">IFERROR($C22 * (1 + K22), "")</f>
        <v>602996.50048307108</v>
      </c>
      <c r="K22" s="76">
        <f ca="1">IFERROR(INDIRECT($B22&amp;"!K37"), "")</f>
        <v>4.9941674717849521E-3</v>
      </c>
      <c r="L22" s="141">
        <f ca="1">IFERROR(INDIRECT($B22&amp;"!L37"), "")</f>
        <v>2996.5004830709713</v>
      </c>
      <c r="M22" s="142">
        <f ca="1">IFERROR($C22 * (1 + N22), "")</f>
        <v>599337.76426034677</v>
      </c>
      <c r="N22" s="76">
        <f ca="1">IFERROR(INDIRECT($B22&amp;"!N37"), "")</f>
        <v>-1.1037262327553967E-3</v>
      </c>
      <c r="O22" s="141">
        <f ca="1">IFERROR(INDIRECT($B22&amp;"!O37"), "")</f>
        <v>-662.2357396532384</v>
      </c>
    </row>
    <row r="23" spans="1:15" ht="16.5" customHeight="1">
      <c r="A23" s="148">
        <v>2</v>
      </c>
      <c r="B23" s="148" t="str">
        <f>TEXT(투자전략!$G$1+1, "[$-ko-KR]yyyy.mm.dd")</f>
        <v>2021.06.02</v>
      </c>
      <c r="C23" s="135">
        <f t="shared" ref="C23:C52" ca="1" si="0">IFERROR(COUNTA(INDIRECT($B23&amp;"!A17:A36")) * INDIRECT($B23&amp;"!B37"), "")</f>
        <v>600000</v>
      </c>
      <c r="D23" s="139">
        <f t="shared" ref="D23:D52" ca="1" si="1">IFERROR($C23 * (1 + E23), "")</f>
        <v>603052.40803382639</v>
      </c>
      <c r="E23" s="77">
        <f t="shared" ref="E23:E52" ca="1" si="2">IFERROR(INDIRECT($B23&amp;"!E37"), "")</f>
        <v>5.0873467230438925E-3</v>
      </c>
      <c r="F23" s="137">
        <f t="shared" ref="F23:F52" ca="1" si="3">IFERROR(INDIRECT($B23&amp;"!F37"), "")</f>
        <v>3052.4080338263357</v>
      </c>
      <c r="G23" s="139">
        <f t="shared" ref="G23:G52" ca="1" si="4">IFERROR($C23 * (1 + H23), "")</f>
        <v>601065.02567578224</v>
      </c>
      <c r="H23" s="77">
        <f t="shared" ref="H23:H52" ca="1" si="5">IFERROR(INDIRECT($B23&amp;"!H37"), "")</f>
        <v>1.7750427929703102E-3</v>
      </c>
      <c r="I23" s="137">
        <f t="shared" ref="I23:I52" ca="1" si="6">IFERROR(INDIRECT($B23&amp;"!I37"), "")</f>
        <v>1065.0256757821862</v>
      </c>
      <c r="J23" s="139">
        <f t="shared" ref="J23:J52" ca="1" si="7">IFERROR($C23 * (1 + K23), "")</f>
        <v>602546.98465688538</v>
      </c>
      <c r="K23" s="77">
        <f t="shared" ref="K23:K52" ca="1" si="8">IFERROR(INDIRECT($B23&amp;"!K37"), "")</f>
        <v>4.2449744281422104E-3</v>
      </c>
      <c r="L23" s="137">
        <f t="shared" ref="L23:L52" ca="1" si="9">IFERROR(INDIRECT($B23&amp;"!L37"), "")</f>
        <v>2546.9846568853259</v>
      </c>
      <c r="M23" s="139">
        <f t="shared" ref="M23:M52" ca="1" si="10">IFERROR($C23 * (1 + N23), "")</f>
        <v>611073.24863343942</v>
      </c>
      <c r="N23" s="77">
        <f t="shared" ref="N23:N52" ca="1" si="11">IFERROR(INDIRECT($B23&amp;"!N37"), "")</f>
        <v>1.8455414389065585E-2</v>
      </c>
      <c r="O23" s="137">
        <f t="shared" ref="O23:O52" ca="1" si="12">IFERROR(INDIRECT($B23&amp;"!O37"), "")</f>
        <v>11073.248633439354</v>
      </c>
    </row>
    <row r="24" spans="1:15" ht="16.5" customHeight="1">
      <c r="A24" s="148">
        <v>3</v>
      </c>
      <c r="B24" s="148" t="str">
        <f>TEXT(투자전략!$G$1+2, "[$-ko-KR]yyyy.mm.dd")</f>
        <v>2021.06.03</v>
      </c>
      <c r="C24" s="135">
        <f t="shared" ca="1" si="0"/>
        <v>1600000</v>
      </c>
      <c r="D24" s="139">
        <f t="shared" ca="1" si="1"/>
        <v>1649457.6461067689</v>
      </c>
      <c r="E24" s="77">
        <f t="shared" ca="1" si="2"/>
        <v>3.0911028816730503E-2</v>
      </c>
      <c r="F24" s="137">
        <f t="shared" ca="1" si="3"/>
        <v>49457.6461067688</v>
      </c>
      <c r="G24" s="139">
        <f t="shared" ca="1" si="4"/>
        <v>1684650.6118505083</v>
      </c>
      <c r="H24" s="77">
        <f t="shared" ca="1" si="5"/>
        <v>5.290663240656765E-2</v>
      </c>
      <c r="I24" s="137">
        <f t="shared" ca="1" si="6"/>
        <v>84650.611850508256</v>
      </c>
      <c r="J24" s="139">
        <f t="shared" ca="1" si="7"/>
        <v>1659024.9835078502</v>
      </c>
      <c r="K24" s="77">
        <f t="shared" ca="1" si="8"/>
        <v>3.6890614692406357E-2</v>
      </c>
      <c r="L24" s="137">
        <f t="shared" ca="1" si="9"/>
        <v>59024.983507850171</v>
      </c>
      <c r="M24" s="139">
        <f t="shared" ca="1" si="10"/>
        <v>1664152.4805922934</v>
      </c>
      <c r="N24" s="77">
        <f t="shared" ca="1" si="11"/>
        <v>4.0095300370183273E-2</v>
      </c>
      <c r="O24" s="137">
        <f t="shared" ca="1" si="12"/>
        <v>64152.480592293243</v>
      </c>
    </row>
    <row r="25" spans="1:15" ht="16.5" customHeight="1">
      <c r="A25" s="148">
        <v>4</v>
      </c>
      <c r="B25" s="148" t="str">
        <f>TEXT(투자전략!$G$1+3, "[$-ko-KR]yyyy.mm.dd")</f>
        <v>2021.06.04</v>
      </c>
      <c r="C25" s="135">
        <f t="shared" ca="1" si="0"/>
        <v>500000</v>
      </c>
      <c r="D25" s="139">
        <f t="shared" ca="1" si="1"/>
        <v>505394.13955041236</v>
      </c>
      <c r="E25" s="77">
        <f t="shared" ca="1" si="2"/>
        <v>1.0788279100824675E-2</v>
      </c>
      <c r="F25" s="137">
        <f t="shared" ca="1" si="3"/>
        <v>5394.1395504123366</v>
      </c>
      <c r="G25" s="139">
        <f t="shared" ca="1" si="4"/>
        <v>489197.78936652967</v>
      </c>
      <c r="H25" s="77">
        <f t="shared" ca="1" si="5"/>
        <v>-2.1604421266940635E-2</v>
      </c>
      <c r="I25" s="137">
        <f t="shared" ca="1" si="6"/>
        <v>-10802.210633470317</v>
      </c>
      <c r="J25" s="139">
        <f t="shared" ca="1" si="7"/>
        <v>477235.30525759305</v>
      </c>
      <c r="K25" s="77">
        <f t="shared" ca="1" si="8"/>
        <v>-4.5529389484813942E-2</v>
      </c>
      <c r="L25" s="137">
        <f t="shared" ca="1" si="9"/>
        <v>-22764.694742406973</v>
      </c>
      <c r="M25" s="139">
        <f t="shared" ca="1" si="10"/>
        <v>485715.9754090659</v>
      </c>
      <c r="N25" s="77">
        <f t="shared" ca="1" si="11"/>
        <v>-2.8568049181868182E-2</v>
      </c>
      <c r="O25" s="137">
        <f t="shared" ca="1" si="12"/>
        <v>-14284.024590934094</v>
      </c>
    </row>
    <row r="26" spans="1:15" ht="16.5" customHeight="1">
      <c r="A26" s="148">
        <v>5</v>
      </c>
      <c r="B26" s="148" t="str">
        <f>TEXT(투자전략!$G$1+4, "[$-ko-KR]yyyy.mm.dd")</f>
        <v>2021.06.05</v>
      </c>
      <c r="C26" s="135">
        <f t="shared" ca="1" si="0"/>
        <v>500000</v>
      </c>
      <c r="D26" s="139">
        <f t="shared" ca="1" si="1"/>
        <v>508446.40931385779</v>
      </c>
      <c r="E26" s="77">
        <f t="shared" ca="1" si="2"/>
        <v>1.6892818627715599E-2</v>
      </c>
      <c r="F26" s="137">
        <f t="shared" ca="1" si="3"/>
        <v>8446.4093138577955</v>
      </c>
      <c r="G26" s="139">
        <f t="shared" ca="1" si="4"/>
        <v>510038.00624868675</v>
      </c>
      <c r="H26" s="77">
        <f t="shared" ca="1" si="5"/>
        <v>2.0076012497373601E-2</v>
      </c>
      <c r="I26" s="137">
        <f t="shared" ca="1" si="6"/>
        <v>10038.006248686799</v>
      </c>
      <c r="J26" s="139">
        <f t="shared" ca="1" si="7"/>
        <v>503333.55783101229</v>
      </c>
      <c r="K26" s="77">
        <f t="shared" ca="1" si="8"/>
        <v>6.6671156620246403E-3</v>
      </c>
      <c r="L26" s="137">
        <f t="shared" ca="1" si="9"/>
        <v>3333.5578310123215</v>
      </c>
      <c r="M26" s="139">
        <f t="shared" ca="1" si="10"/>
        <v>505428.75233765825</v>
      </c>
      <c r="N26" s="77">
        <f t="shared" ca="1" si="11"/>
        <v>1.0857504675316482E-2</v>
      </c>
      <c r="O26" s="137">
        <f t="shared" ca="1" si="12"/>
        <v>5428.7523376582412</v>
      </c>
    </row>
    <row r="27" spans="1:15" ht="16.5" customHeight="1">
      <c r="A27" s="148">
        <v>6</v>
      </c>
      <c r="B27" s="148" t="str">
        <f>TEXT(투자전략!$G$1+5, "[$-ko-KR]yyyy.mm.dd")</f>
        <v>2021.06.06</v>
      </c>
      <c r="C27" s="135">
        <f t="shared" ca="1" si="0"/>
        <v>500000</v>
      </c>
      <c r="D27" s="139">
        <f t="shared" ca="1" si="1"/>
        <v>498272.89942597802</v>
      </c>
      <c r="E27" s="77">
        <f t="shared" ca="1" si="2"/>
        <v>-3.4542011480439457E-3</v>
      </c>
      <c r="F27" s="137">
        <f t="shared" ca="1" si="3"/>
        <v>-1727.100574021973</v>
      </c>
      <c r="G27" s="139">
        <f t="shared" ca="1" si="4"/>
        <v>504800.94017391209</v>
      </c>
      <c r="H27" s="77">
        <f t="shared" ca="1" si="5"/>
        <v>9.6018803478241099E-3</v>
      </c>
      <c r="I27" s="137">
        <f t="shared" ca="1" si="6"/>
        <v>4800.940173912054</v>
      </c>
      <c r="J27" s="139">
        <f t="shared" ca="1" si="7"/>
        <v>506919.09947950178</v>
      </c>
      <c r="K27" s="77">
        <f t="shared" ca="1" si="8"/>
        <v>1.3838198959003517E-2</v>
      </c>
      <c r="L27" s="137">
        <f t="shared" ca="1" si="9"/>
        <v>6919.0994795017587</v>
      </c>
      <c r="M27" s="139">
        <f t="shared" ca="1" si="10"/>
        <v>507219.37989022414</v>
      </c>
      <c r="N27" s="77">
        <f t="shared" ca="1" si="11"/>
        <v>1.4438759780448221E-2</v>
      </c>
      <c r="O27" s="137">
        <f t="shared" ca="1" si="12"/>
        <v>7219.3798902241115</v>
      </c>
    </row>
    <row r="28" spans="1:15" ht="16.5" customHeight="1" thickBot="1">
      <c r="A28" s="147">
        <v>7</v>
      </c>
      <c r="B28" s="147" t="str">
        <f>TEXT(투자전략!$G$1+6, "[$-ko-KR]yyyy.mm.dd")</f>
        <v>2021.06.07</v>
      </c>
      <c r="C28" s="136">
        <f t="shared" ca="1" si="0"/>
        <v>1500000</v>
      </c>
      <c r="D28" s="140">
        <f t="shared" ca="1" si="1"/>
        <v>1530265.176032895</v>
      </c>
      <c r="E28" s="79">
        <f t="shared" ca="1" si="2"/>
        <v>2.0176784021930023E-2</v>
      </c>
      <c r="F28" s="138">
        <f t="shared" ca="1" si="3"/>
        <v>30265.176032895033</v>
      </c>
      <c r="G28" s="140">
        <f t="shared" ca="1" si="4"/>
        <v>1528934.6187827066</v>
      </c>
      <c r="H28" s="79">
        <f t="shared" ca="1" si="5"/>
        <v>1.9289745855137697E-2</v>
      </c>
      <c r="I28" s="138">
        <f t="shared" ca="1" si="6"/>
        <v>28934.618782706544</v>
      </c>
      <c r="J28" s="140">
        <f t="shared" ca="1" si="7"/>
        <v>1544474.7648176469</v>
      </c>
      <c r="K28" s="79">
        <f t="shared" ca="1" si="8"/>
        <v>2.9649843211764729E-2</v>
      </c>
      <c r="L28" s="138">
        <f t="shared" ca="1" si="9"/>
        <v>44474.76481764709</v>
      </c>
      <c r="M28" s="140">
        <f t="shared" ca="1" si="10"/>
        <v>1532856.66780963</v>
      </c>
      <c r="N28" s="79">
        <f t="shared" ca="1" si="11"/>
        <v>2.1904445206420018E-2</v>
      </c>
      <c r="O28" s="138">
        <f t="shared" ca="1" si="12"/>
        <v>32856.667809630024</v>
      </c>
    </row>
    <row r="29" spans="1:15" ht="16.5" customHeight="1">
      <c r="A29" s="146">
        <v>8</v>
      </c>
      <c r="B29" s="146" t="str">
        <f>TEXT(투자전략!$G$1+7, "[$-ko-KR]yyyy.mm.dd")</f>
        <v>2021.06.08</v>
      </c>
      <c r="C29" s="134">
        <f t="shared" ca="1" si="0"/>
        <v>500000</v>
      </c>
      <c r="D29" s="142">
        <f t="shared" ca="1" si="1"/>
        <v>431644.9985509133</v>
      </c>
      <c r="E29" s="76">
        <f t="shared" ca="1" si="2"/>
        <v>-0.13671000289817342</v>
      </c>
      <c r="F29" s="141">
        <f t="shared" ca="1" si="3"/>
        <v>-68355.001449086718</v>
      </c>
      <c r="G29" s="142">
        <f t="shared" ca="1" si="4"/>
        <v>431973.23193609988</v>
      </c>
      <c r="H29" s="76">
        <f t="shared" ca="1" si="5"/>
        <v>-0.13605353612780022</v>
      </c>
      <c r="I29" s="141">
        <f t="shared" ca="1" si="6"/>
        <v>-68026.768063900105</v>
      </c>
      <c r="J29" s="142">
        <f t="shared" ca="1" si="7"/>
        <v>433611.58654301101</v>
      </c>
      <c r="K29" s="76">
        <f t="shared" ca="1" si="8"/>
        <v>-0.13277682691397796</v>
      </c>
      <c r="L29" s="141">
        <f t="shared" ca="1" si="9"/>
        <v>-66388.413456988987</v>
      </c>
      <c r="M29" s="142">
        <f t="shared" ca="1" si="10"/>
        <v>407255.48938063846</v>
      </c>
      <c r="N29" s="76">
        <f t="shared" ca="1" si="11"/>
        <v>-0.18548902123872302</v>
      </c>
      <c r="O29" s="141">
        <f t="shared" ca="1" si="12"/>
        <v>-92744.510619361507</v>
      </c>
    </row>
    <row r="30" spans="1:15" ht="16.5" customHeight="1">
      <c r="A30" s="148">
        <v>9</v>
      </c>
      <c r="B30" s="148" t="str">
        <f>TEXT(투자전략!$G$1+8, "[$-ko-KR]yyyy.mm.dd")</f>
        <v>2021.06.09</v>
      </c>
      <c r="C30" s="135">
        <f t="shared" ca="1" si="0"/>
        <v>500000</v>
      </c>
      <c r="D30" s="139">
        <f t="shared" ca="1" si="1"/>
        <v>513587.07536071492</v>
      </c>
      <c r="E30" s="77">
        <f t="shared" ca="1" si="2"/>
        <v>2.7174150721429764E-2</v>
      </c>
      <c r="F30" s="137">
        <f t="shared" ca="1" si="3"/>
        <v>13587.075360714884</v>
      </c>
      <c r="G30" s="139">
        <f t="shared" ca="1" si="4"/>
        <v>514331.43887803925</v>
      </c>
      <c r="H30" s="77">
        <f t="shared" ca="1" si="5"/>
        <v>2.8662877756078498E-2</v>
      </c>
      <c r="I30" s="137">
        <f t="shared" ca="1" si="6"/>
        <v>14331.438878039249</v>
      </c>
      <c r="J30" s="139">
        <f t="shared" ca="1" si="7"/>
        <v>526006.06854467711</v>
      </c>
      <c r="K30" s="77">
        <f t="shared" ca="1" si="8"/>
        <v>5.2012137089354218E-2</v>
      </c>
      <c r="L30" s="137">
        <f t="shared" ca="1" si="9"/>
        <v>26006.068544677106</v>
      </c>
      <c r="M30" s="139">
        <f t="shared" ca="1" si="10"/>
        <v>520752.36059418664</v>
      </c>
      <c r="N30" s="77">
        <f t="shared" ca="1" si="11"/>
        <v>4.1504721188373318E-2</v>
      </c>
      <c r="O30" s="137">
        <f t="shared" ca="1" si="12"/>
        <v>20752.360594186655</v>
      </c>
    </row>
    <row r="31" spans="1:15" ht="16.5" customHeight="1">
      <c r="A31" s="148">
        <v>10</v>
      </c>
      <c r="B31" s="148" t="str">
        <f>TEXT(투자전략!$G$1+9, "[$-ko-KR]yyyy.mm.dd")</f>
        <v>2021.06.10</v>
      </c>
      <c r="C31" s="135">
        <f t="shared" ca="1" si="0"/>
        <v>1500000</v>
      </c>
      <c r="D31" s="139">
        <f t="shared" ca="1" si="1"/>
        <v>1544052.4903748021</v>
      </c>
      <c r="E31" s="77">
        <f t="shared" ca="1" si="2"/>
        <v>2.9368326916534796E-2</v>
      </c>
      <c r="F31" s="137">
        <f t="shared" ca="1" si="3"/>
        <v>44052.49037480219</v>
      </c>
      <c r="G31" s="139">
        <f t="shared" ca="1" si="4"/>
        <v>1578752.9392504659</v>
      </c>
      <c r="H31" s="77">
        <f t="shared" ca="1" si="5"/>
        <v>5.250195950031071E-2</v>
      </c>
      <c r="I31" s="137">
        <f t="shared" ca="1" si="6"/>
        <v>78752.939250466065</v>
      </c>
      <c r="J31" s="139">
        <f t="shared" ca="1" si="7"/>
        <v>1574966.0847093908</v>
      </c>
      <c r="K31" s="77">
        <f t="shared" ca="1" si="8"/>
        <v>4.9977389806260632E-2</v>
      </c>
      <c r="L31" s="137">
        <f t="shared" ca="1" si="9"/>
        <v>74966.084709390954</v>
      </c>
      <c r="M31" s="139">
        <f t="shared" ca="1" si="10"/>
        <v>1548627.8078033407</v>
      </c>
      <c r="N31" s="77">
        <f t="shared" ca="1" si="11"/>
        <v>3.2418538535560412E-2</v>
      </c>
      <c r="O31" s="137">
        <f t="shared" ca="1" si="12"/>
        <v>48627.80780334062</v>
      </c>
    </row>
    <row r="32" spans="1:15" ht="16.5" customHeight="1">
      <c r="A32" s="148">
        <v>11</v>
      </c>
      <c r="B32" s="148" t="str">
        <f>TEXT(투자전략!$G$1+10, "[$-ko-KR]yyyy.mm.dd")</f>
        <v>2021.06.11</v>
      </c>
      <c r="C32" s="135">
        <f t="shared" ca="1" si="0"/>
        <v>500000</v>
      </c>
      <c r="D32" s="139">
        <f t="shared" ca="1" si="1"/>
        <v>538862.57614539121</v>
      </c>
      <c r="E32" s="77">
        <f t="shared" ca="1" si="2"/>
        <v>7.7725152290782543E-2</v>
      </c>
      <c r="F32" s="137">
        <f t="shared" ca="1" si="3"/>
        <v>38862.576145391278</v>
      </c>
      <c r="G32" s="139">
        <f t="shared" ca="1" si="4"/>
        <v>493972.55984363373</v>
      </c>
      <c r="H32" s="77">
        <f t="shared" ca="1" si="5"/>
        <v>-1.2054880312732524E-2</v>
      </c>
      <c r="I32" s="137">
        <f t="shared" ca="1" si="6"/>
        <v>-6027.4401563662623</v>
      </c>
      <c r="J32" s="139">
        <f t="shared" ca="1" si="7"/>
        <v>477158.4456661478</v>
      </c>
      <c r="K32" s="77">
        <f t="shared" ca="1" si="8"/>
        <v>-4.5683108667704468E-2</v>
      </c>
      <c r="L32" s="137">
        <f t="shared" ca="1" si="9"/>
        <v>-22841.554333852233</v>
      </c>
      <c r="M32" s="139">
        <f t="shared" ca="1" si="10"/>
        <v>474658.16463921935</v>
      </c>
      <c r="N32" s="77">
        <f t="shared" ca="1" si="11"/>
        <v>-5.0683670721561325E-2</v>
      </c>
      <c r="O32" s="137">
        <f t="shared" ca="1" si="12"/>
        <v>-25341.835360780664</v>
      </c>
    </row>
    <row r="33" spans="1:15" ht="16.5" customHeight="1">
      <c r="A33" s="148">
        <v>12</v>
      </c>
      <c r="B33" s="148" t="str">
        <f>TEXT(투자전략!$G$1+11, "[$-ko-KR]yyyy.mm.dd")</f>
        <v>2021.06.12</v>
      </c>
      <c r="C33" s="135">
        <f t="shared" ca="1" si="0"/>
        <v>500000</v>
      </c>
      <c r="D33" s="139">
        <f t="shared" ca="1" si="1"/>
        <v>442800.05320660211</v>
      </c>
      <c r="E33" s="77">
        <f t="shared" ca="1" si="2"/>
        <v>-0.11439989358679584</v>
      </c>
      <c r="F33" s="137">
        <f t="shared" ca="1" si="3"/>
        <v>-57199.946793397918</v>
      </c>
      <c r="G33" s="139">
        <f t="shared" ca="1" si="4"/>
        <v>436133.67622363684</v>
      </c>
      <c r="H33" s="77">
        <f t="shared" ca="1" si="5"/>
        <v>-0.12773264755272631</v>
      </c>
      <c r="I33" s="137">
        <f t="shared" ca="1" si="6"/>
        <v>-63866.323776363148</v>
      </c>
      <c r="J33" s="139">
        <f t="shared" ca="1" si="7"/>
        <v>440699.79761227476</v>
      </c>
      <c r="K33" s="77">
        <f t="shared" ca="1" si="8"/>
        <v>-0.11860040477545046</v>
      </c>
      <c r="L33" s="137">
        <f t="shared" ca="1" si="9"/>
        <v>-59300.202387725236</v>
      </c>
      <c r="M33" s="139">
        <f t="shared" ca="1" si="10"/>
        <v>445563.3168025685</v>
      </c>
      <c r="N33" s="77">
        <f t="shared" ca="1" si="11"/>
        <v>-0.10887336639486297</v>
      </c>
      <c r="O33" s="137">
        <f t="shared" ca="1" si="12"/>
        <v>-54436.683197431499</v>
      </c>
    </row>
    <row r="34" spans="1:15" ht="16.5" customHeight="1">
      <c r="A34" s="148">
        <v>13</v>
      </c>
      <c r="B34" s="148" t="str">
        <f>TEXT(투자전략!$G$1+12, "[$-ko-KR]yyyy.mm.dd")</f>
        <v>2021.06.13</v>
      </c>
      <c r="C34" s="135">
        <f t="shared" ca="1" si="0"/>
        <v>500000</v>
      </c>
      <c r="D34" s="139">
        <f t="shared" ca="1" si="1"/>
        <v>483001.10868911742</v>
      </c>
      <c r="E34" s="77">
        <f t="shared" ca="1" si="2"/>
        <v>-3.3997782621765095E-2</v>
      </c>
      <c r="F34" s="137">
        <f t="shared" ca="1" si="3"/>
        <v>-16998.891310882547</v>
      </c>
      <c r="G34" s="139">
        <f t="shared" ca="1" si="4"/>
        <v>491060.21391747077</v>
      </c>
      <c r="H34" s="77">
        <f t="shared" ca="1" si="5"/>
        <v>-1.7879572165058477E-2</v>
      </c>
      <c r="I34" s="137">
        <f t="shared" ca="1" si="6"/>
        <v>-8939.7860825292391</v>
      </c>
      <c r="J34" s="139">
        <f t="shared" ca="1" si="7"/>
        <v>489516.23693226802</v>
      </c>
      <c r="K34" s="77">
        <f t="shared" ca="1" si="8"/>
        <v>-2.0967526135463911E-2</v>
      </c>
      <c r="L34" s="137">
        <f t="shared" ca="1" si="9"/>
        <v>-10483.763067731958</v>
      </c>
      <c r="M34" s="139">
        <f t="shared" ca="1" si="10"/>
        <v>490159.67418890295</v>
      </c>
      <c r="N34" s="77">
        <f t="shared" ca="1" si="11"/>
        <v>-1.968065162219413E-2</v>
      </c>
      <c r="O34" s="137">
        <f t="shared" ca="1" si="12"/>
        <v>-9840.3258110970637</v>
      </c>
    </row>
    <row r="35" spans="1:15" ht="16.5" customHeight="1" thickBot="1">
      <c r="A35" s="147">
        <v>14</v>
      </c>
      <c r="B35" s="147" t="str">
        <f>TEXT(투자전략!$G$1+13, "[$-ko-KR]yyyy.mm.dd")</f>
        <v>2021.06.14</v>
      </c>
      <c r="C35" s="136">
        <f t="shared" ca="1" si="0"/>
        <v>1500000</v>
      </c>
      <c r="D35" s="140">
        <f t="shared" ca="1" si="1"/>
        <v>1548020.679510361</v>
      </c>
      <c r="E35" s="79">
        <f t="shared" ca="1" si="2"/>
        <v>3.2013786340240678E-2</v>
      </c>
      <c r="F35" s="138">
        <f t="shared" ca="1" si="3"/>
        <v>48020.67951036102</v>
      </c>
      <c r="G35" s="140">
        <f t="shared" ca="1" si="4"/>
        <v>1561738.9577073879</v>
      </c>
      <c r="H35" s="79">
        <f t="shared" ca="1" si="5"/>
        <v>4.1159305138258502E-2</v>
      </c>
      <c r="I35" s="138">
        <f t="shared" ca="1" si="6"/>
        <v>61738.957707387752</v>
      </c>
      <c r="J35" s="140">
        <f t="shared" ca="1" si="7"/>
        <v>1552036.5587276146</v>
      </c>
      <c r="K35" s="79">
        <f t="shared" ca="1" si="8"/>
        <v>3.4691039151743035E-2</v>
      </c>
      <c r="L35" s="138">
        <f t="shared" ca="1" si="9"/>
        <v>52036.558727614552</v>
      </c>
      <c r="M35" s="140">
        <f t="shared" ca="1" si="10"/>
        <v>1588699.6054396774</v>
      </c>
      <c r="N35" s="79">
        <f t="shared" ca="1" si="11"/>
        <v>5.9133070293118407E-2</v>
      </c>
      <c r="O35" s="138">
        <f t="shared" ca="1" si="12"/>
        <v>88699.605439677602</v>
      </c>
    </row>
    <row r="36" spans="1:15" ht="16.5" customHeight="1">
      <c r="A36" s="146">
        <v>15</v>
      </c>
      <c r="B36" s="146" t="str">
        <f>TEXT(투자전략!$G$1+14, "[$-ko-KR]yyyy.mm.dd")</f>
        <v>2021.06.15</v>
      </c>
      <c r="C36" s="134">
        <f t="shared" ca="1" si="0"/>
        <v>1500000</v>
      </c>
      <c r="D36" s="142">
        <f t="shared" ca="1" si="1"/>
        <v>1505627.8228459791</v>
      </c>
      <c r="E36" s="76">
        <f t="shared" ca="1" si="2"/>
        <v>3.7518818973195367E-3</v>
      </c>
      <c r="F36" s="141">
        <f t="shared" ca="1" si="3"/>
        <v>5627.8228459793054</v>
      </c>
      <c r="G36" s="142">
        <f t="shared" ca="1" si="4"/>
        <v>1505734.0418959549</v>
      </c>
      <c r="H36" s="76">
        <f t="shared" ca="1" si="5"/>
        <v>3.8226945973032084E-3</v>
      </c>
      <c r="I36" s="141">
        <f t="shared" ca="1" si="6"/>
        <v>5734.0418959548133</v>
      </c>
      <c r="J36" s="142">
        <f t="shared" ca="1" si="7"/>
        <v>1505010.6168541352</v>
      </c>
      <c r="K36" s="76">
        <f t="shared" ca="1" si="8"/>
        <v>3.3404112360902877E-3</v>
      </c>
      <c r="L36" s="141">
        <f t="shared" ca="1" si="9"/>
        <v>5010.6168541354318</v>
      </c>
      <c r="M36" s="142">
        <f t="shared" ca="1" si="10"/>
        <v>1493421.5215191708</v>
      </c>
      <c r="N36" s="76">
        <f t="shared" ca="1" si="11"/>
        <v>-4.3856523205527687E-3</v>
      </c>
      <c r="O36" s="141">
        <f t="shared" ca="1" si="12"/>
        <v>-6578.4784808291524</v>
      </c>
    </row>
    <row r="37" spans="1:15" ht="16.5" customHeight="1">
      <c r="A37" s="148">
        <v>16</v>
      </c>
      <c r="B37" s="148" t="str">
        <f>TEXT(투자전략!$G$1+15, "[$-ko-KR]yyyy.mm.dd")</f>
        <v>2021.06.16</v>
      </c>
      <c r="C37" s="135">
        <f t="shared" ca="1" si="0"/>
        <v>400000</v>
      </c>
      <c r="D37" s="139">
        <f t="shared" ca="1" si="1"/>
        <v>400000</v>
      </c>
      <c r="E37" s="77">
        <f t="shared" ca="1" si="2"/>
        <v>0</v>
      </c>
      <c r="F37" s="137">
        <f t="shared" ca="1" si="3"/>
        <v>0</v>
      </c>
      <c r="G37" s="139">
        <f t="shared" ca="1" si="4"/>
        <v>400000</v>
      </c>
      <c r="H37" s="77">
        <f t="shared" ca="1" si="5"/>
        <v>0</v>
      </c>
      <c r="I37" s="137">
        <f t="shared" ca="1" si="6"/>
        <v>0</v>
      </c>
      <c r="J37" s="139">
        <f t="shared" ca="1" si="7"/>
        <v>384269.25810536067</v>
      </c>
      <c r="K37" s="77">
        <f t="shared" ca="1" si="8"/>
        <v>-3.9326854736598332E-2</v>
      </c>
      <c r="L37" s="137">
        <f t="shared" ca="1" si="9"/>
        <v>-15730.741894639334</v>
      </c>
      <c r="M37" s="139">
        <f t="shared" ca="1" si="10"/>
        <v>400000</v>
      </c>
      <c r="N37" s="77">
        <f t="shared" ca="1" si="11"/>
        <v>0</v>
      </c>
      <c r="O37" s="137">
        <f t="shared" ca="1" si="12"/>
        <v>0</v>
      </c>
    </row>
    <row r="38" spans="1:15" ht="16.5" customHeight="1">
      <c r="A38" s="148">
        <v>17</v>
      </c>
      <c r="B38" s="148" t="str">
        <f>TEXT(투자전략!$G$1+16, "[$-ko-KR]yyyy.mm.dd")</f>
        <v>2021.06.17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2021.06.18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2021.06.19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2021.06.20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2021.06.21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2021.06.22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2021.06.23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2021.06.24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2021.06.25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2021.06.26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2021.06.27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2021.06.28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2021.06.29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2021.06.30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2021.07.01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74" t="s">
        <v>313</v>
      </c>
      <c r="B53" s="276"/>
      <c r="C53" s="132" t="s">
        <v>308</v>
      </c>
      <c r="D53" s="143" t="s">
        <v>309</v>
      </c>
      <c r="E53" s="144" t="s">
        <v>310</v>
      </c>
      <c r="F53" s="145" t="s">
        <v>311</v>
      </c>
      <c r="G53" s="143" t="s">
        <v>309</v>
      </c>
      <c r="H53" s="144" t="s">
        <v>310</v>
      </c>
      <c r="I53" s="145" t="s">
        <v>311</v>
      </c>
      <c r="J53" s="143" t="s">
        <v>309</v>
      </c>
      <c r="K53" s="144" t="s">
        <v>310</v>
      </c>
      <c r="L53" s="145" t="s">
        <v>311</v>
      </c>
      <c r="M53" s="143" t="s">
        <v>309</v>
      </c>
      <c r="N53" s="144" t="s">
        <v>310</v>
      </c>
      <c r="O53" s="145" t="s">
        <v>311</v>
      </c>
    </row>
    <row r="54" spans="1:15" ht="16.5" customHeight="1" thickBot="1">
      <c r="A54" s="267"/>
      <c r="B54" s="269"/>
      <c r="C54" s="136">
        <f ca="1">SUM(C22:C52)</f>
        <v>13200000</v>
      </c>
      <c r="D54" s="140">
        <f ca="1">SUM(D22:D52)</f>
        <v>13312807.273212498</v>
      </c>
      <c r="E54" s="79">
        <f ca="1">IFERROR(F54 / (SUM($C22:$C52) / COUNT($C22:$C52)), 0)</f>
        <v>0.13673608874242238</v>
      </c>
      <c r="F54" s="138">
        <f ca="1">SUM(F22:F52)</f>
        <v>112807.27321249846</v>
      </c>
      <c r="G54" s="140">
        <f ca="1">SUM(G22:G52)</f>
        <v>13330036.936963271</v>
      </c>
      <c r="H54" s="79">
        <f ca="1">IFERROR(I54 / (SUM($C22:$C52) / COUNT($C22:$C52)), 0)</f>
        <v>0.15762052965244686</v>
      </c>
      <c r="I54" s="138">
        <f ca="1">SUM(I22:I52)</f>
        <v>130036.93696326866</v>
      </c>
      <c r="J54" s="140">
        <f ca="1">SUM(J22:J52)</f>
        <v>13279805.849728439</v>
      </c>
      <c r="K54" s="79">
        <f ca="1">IFERROR(L54 / (SUM($C22:$C52) / COUNT($C22:$C52)), 0)</f>
        <v>9.6734363307201171E-2</v>
      </c>
      <c r="L54" s="138">
        <f ca="1">SUM(L22:L52)</f>
        <v>79805.849728440968</v>
      </c>
      <c r="M54" s="140">
        <f ca="1">SUM(M22:M52)</f>
        <v>13274922.209300363</v>
      </c>
      <c r="N54" s="79">
        <f ca="1">IFERROR(O54 / (SUM($C22:$C52) / COUNT($C22:$C52)), 0)</f>
        <v>9.0814799151954687E-2</v>
      </c>
      <c r="O54" s="138">
        <f ca="1">SUM(O22:O52)</f>
        <v>74922.209300362621</v>
      </c>
    </row>
    <row r="56" spans="1:15" ht="16.5" customHeight="1" thickBot="1"/>
    <row r="57" spans="1:15" ht="16.5" customHeight="1" thickBot="1">
      <c r="A57" s="246" t="str">
        <f>TEXT(투자전략!$G$1, "[$-ko-KR]yyyy년 mm월 ") &amp; "[엽전코인] 전일대비 상승률 Top20 월말결산"</f>
        <v>2021년 06월 [엽전코인] 전일대비 상승률 Top20 월말결산</v>
      </c>
      <c r="B57" s="247"/>
      <c r="C57" s="247"/>
      <c r="D57" s="247"/>
      <c r="E57" s="247"/>
      <c r="F57" s="247"/>
      <c r="G57" s="247"/>
      <c r="H57" s="247"/>
      <c r="I57" s="247"/>
      <c r="J57" s="247"/>
      <c r="K57" s="247"/>
      <c r="L57" s="247"/>
      <c r="M57" s="247"/>
      <c r="N57" s="247"/>
      <c r="O57" s="248"/>
    </row>
    <row r="58" spans="1:15" ht="16.5" customHeight="1" thickBot="1">
      <c r="A58" s="290" t="s">
        <v>314</v>
      </c>
      <c r="B58" s="267" t="s">
        <v>312</v>
      </c>
      <c r="C58" s="269"/>
      <c r="D58" s="267" t="s">
        <v>304</v>
      </c>
      <c r="E58" s="268"/>
      <c r="F58" s="269"/>
      <c r="G58" s="267" t="s">
        <v>305</v>
      </c>
      <c r="H58" s="268"/>
      <c r="I58" s="269"/>
      <c r="J58" s="267" t="s">
        <v>306</v>
      </c>
      <c r="K58" s="268"/>
      <c r="L58" s="269"/>
      <c r="M58" s="267" t="s">
        <v>307</v>
      </c>
      <c r="N58" s="268"/>
      <c r="O58" s="269"/>
    </row>
    <row r="59" spans="1:15" ht="16.5" customHeight="1" thickBot="1">
      <c r="A59" s="283"/>
      <c r="B59" s="154" t="s">
        <v>302</v>
      </c>
      <c r="C59" s="154" t="s">
        <v>42</v>
      </c>
      <c r="D59" s="121" t="s">
        <v>303</v>
      </c>
      <c r="E59" s="133" t="s">
        <v>40</v>
      </c>
      <c r="F59" s="156" t="s">
        <v>41</v>
      </c>
      <c r="G59" s="121" t="s">
        <v>303</v>
      </c>
      <c r="H59" s="133" t="s">
        <v>40</v>
      </c>
      <c r="I59" s="156" t="s">
        <v>41</v>
      </c>
      <c r="J59" s="121" t="s">
        <v>303</v>
      </c>
      <c r="K59" s="133" t="s">
        <v>40</v>
      </c>
      <c r="L59" s="156" t="s">
        <v>41</v>
      </c>
      <c r="M59" s="121" t="s">
        <v>303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2021.06.01</v>
      </c>
      <c r="C60" s="134">
        <f ca="1">IFERROR(COUNTA(INDIRECT($B60&amp;"!A44:A63")) * INDIRECT($B60&amp;"!B64"), "")</f>
        <v>2000000</v>
      </c>
      <c r="D60" s="142">
        <f ca="1">IFERROR($C60 * (1 + E60), "")</f>
        <v>2033704.2813779328</v>
      </c>
      <c r="E60" s="76">
        <f ca="1">IFERROR(INDIRECT($B60&amp;"!E64"), "")</f>
        <v>1.6852140688966382E-2</v>
      </c>
      <c r="F60" s="141">
        <f ca="1">IFERROR(INDIRECT($B60&amp;"!F64"), "")</f>
        <v>33704.281377932763</v>
      </c>
      <c r="G60" s="142">
        <f ca="1">IFERROR($C60 * (1 + H60), "")</f>
        <v>1986594.9488845451</v>
      </c>
      <c r="H60" s="76">
        <f ca="1">IFERROR(INDIRECT($B60&amp;"!H64"), "")</f>
        <v>-6.7025255577274649E-3</v>
      </c>
      <c r="I60" s="141">
        <f ca="1">IFERROR(INDIRECT($B60&amp;"!I64"), "")</f>
        <v>-13405.051115454931</v>
      </c>
      <c r="J60" s="142">
        <f ca="1">IFERROR($C60 * (1 + K60), "")</f>
        <v>2005029.2509230743</v>
      </c>
      <c r="K60" s="76">
        <f ca="1">IFERROR(INDIRECT($B60&amp;"!K64"), "")</f>
        <v>2.5146254615370572E-3</v>
      </c>
      <c r="L60" s="141">
        <f ca="1">IFERROR(INDIRECT($B60&amp;"!L64"), "")</f>
        <v>5029.2509230741143</v>
      </c>
      <c r="M60" s="142">
        <f ca="1">IFERROR($C60 * (1 + N60), "")</f>
        <v>1999048.0449003419</v>
      </c>
      <c r="N60" s="76">
        <f ca="1">IFERROR(INDIRECT($B60&amp;"!N64"), "")</f>
        <v>-4.7597754982905483E-4</v>
      </c>
      <c r="O60" s="141">
        <f ca="1">IFERROR(INDIRECT($B60&amp;"!O64"), "")</f>
        <v>-951.95509965810902</v>
      </c>
    </row>
    <row r="61" spans="1:15" ht="16.5" customHeight="1">
      <c r="A61" s="153">
        <v>2</v>
      </c>
      <c r="B61" s="153" t="str">
        <f>TEXT(투자전략!$G$1+1, "[$-ko-KR]yyyy.mm.dd")</f>
        <v>2021.06.02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2002278.9989731002</v>
      </c>
      <c r="E61" s="77">
        <f t="shared" ref="E61:E90" ca="1" si="15">IFERROR(INDIRECT($B61&amp;"!E64"), "")</f>
        <v>1.1394994865500407E-3</v>
      </c>
      <c r="F61" s="137">
        <f t="shared" ref="F61:F90" ca="1" si="16">IFERROR(INDIRECT($B61&amp;"!F64"), "")</f>
        <v>2278.9989731000815</v>
      </c>
      <c r="G61" s="139">
        <f t="shared" ref="G61:G90" ca="1" si="17">IFERROR($C61 * (1 + H61), "")</f>
        <v>2000266.8477550354</v>
      </c>
      <c r="H61" s="77">
        <f t="shared" ref="H61:H90" ca="1" si="18">IFERROR(INDIRECT($B61&amp;"!H64"), "")</f>
        <v>1.3342387751767945E-4</v>
      </c>
      <c r="I61" s="137">
        <f t="shared" ref="I61:I90" ca="1" si="19">IFERROR(INDIRECT($B61&amp;"!I64"), "")</f>
        <v>266.84775503535923</v>
      </c>
      <c r="J61" s="139">
        <f t="shared" ref="J61:J90" ca="1" si="20">IFERROR($C61 * (1 + K61), "")</f>
        <v>1999346.8417645693</v>
      </c>
      <c r="K61" s="77">
        <f t="shared" ref="K61:K90" ca="1" si="21">IFERROR(INDIRECT($B61&amp;"!K64"), "")</f>
        <v>-3.2657911771541079E-4</v>
      </c>
      <c r="L61" s="137">
        <f t="shared" ref="L61:L90" ca="1" si="22">IFERROR(INDIRECT($B61&amp;"!L64"), "")</f>
        <v>-653.15823543082297</v>
      </c>
      <c r="M61" s="139">
        <f t="shared" ref="M61:M90" ca="1" si="23">IFERROR($C61 * (1 + N61), "")</f>
        <v>2041672.7136171905</v>
      </c>
      <c r="N61" s="77">
        <f t="shared" ref="N61:N90" ca="1" si="24">IFERROR(INDIRECT($B61&amp;"!N64"), "")</f>
        <v>2.0836356808595181E-2</v>
      </c>
      <c r="O61" s="137">
        <f t="shared" ref="O61:O90" ca="1" si="25">IFERROR(INDIRECT($B61&amp;"!O64"), "")</f>
        <v>41672.713617190377</v>
      </c>
    </row>
    <row r="62" spans="1:15" ht="16.5" customHeight="1">
      <c r="A62" s="153">
        <v>3</v>
      </c>
      <c r="B62" s="153" t="str">
        <f>TEXT(투자전략!$G$1+2, "[$-ko-KR]yyyy.mm.dd")</f>
        <v>2021.06.03</v>
      </c>
      <c r="C62" s="135">
        <f t="shared" ca="1" si="13"/>
        <v>2000000</v>
      </c>
      <c r="D62" s="139">
        <f t="shared" ca="1" si="14"/>
        <v>2037053.3125078888</v>
      </c>
      <c r="E62" s="77">
        <f t="shared" ca="1" si="15"/>
        <v>1.8526656253944326E-2</v>
      </c>
      <c r="F62" s="137">
        <f t="shared" ca="1" si="16"/>
        <v>37053.312507888651</v>
      </c>
      <c r="G62" s="139">
        <f t="shared" ca="1" si="17"/>
        <v>2075847.1556690251</v>
      </c>
      <c r="H62" s="77">
        <f t="shared" ca="1" si="18"/>
        <v>3.7923577834512681E-2</v>
      </c>
      <c r="I62" s="137">
        <f t="shared" ca="1" si="19"/>
        <v>75847.155669025378</v>
      </c>
      <c r="J62" s="139">
        <f t="shared" ca="1" si="20"/>
        <v>2024432.0498177565</v>
      </c>
      <c r="K62" s="77">
        <f t="shared" ca="1" si="21"/>
        <v>1.2216024908878324E-2</v>
      </c>
      <c r="L62" s="137">
        <f t="shared" ca="1" si="22"/>
        <v>24432.049817756648</v>
      </c>
      <c r="M62" s="139">
        <f t="shared" ca="1" si="23"/>
        <v>2036359.1916079829</v>
      </c>
      <c r="N62" s="77">
        <f t="shared" ca="1" si="24"/>
        <v>1.8179595803991418E-2</v>
      </c>
      <c r="O62" s="137">
        <f t="shared" ca="1" si="25"/>
        <v>36359.191607982844</v>
      </c>
    </row>
    <row r="63" spans="1:15" ht="16.5" customHeight="1">
      <c r="A63" s="153">
        <v>4</v>
      </c>
      <c r="B63" s="153" t="str">
        <f>TEXT(투자전략!$G$1+3, "[$-ko-KR]yyyy.mm.dd")</f>
        <v>2021.06.04</v>
      </c>
      <c r="C63" s="135">
        <f t="shared" ca="1" si="13"/>
        <v>2000000</v>
      </c>
      <c r="D63" s="139">
        <f t="shared" ca="1" si="14"/>
        <v>1999475.8238972381</v>
      </c>
      <c r="E63" s="77">
        <f t="shared" ca="1" si="15"/>
        <v>-2.6208805138094437E-4</v>
      </c>
      <c r="F63" s="137">
        <f t="shared" ca="1" si="16"/>
        <v>-524.17610276188952</v>
      </c>
      <c r="G63" s="139">
        <f t="shared" ca="1" si="17"/>
        <v>1931076.2325842916</v>
      </c>
      <c r="H63" s="77">
        <f t="shared" ca="1" si="18"/>
        <v>-3.446188370785417E-2</v>
      </c>
      <c r="I63" s="137">
        <f t="shared" ca="1" si="19"/>
        <v>-68923.767415708353</v>
      </c>
      <c r="J63" s="139">
        <f t="shared" ca="1" si="20"/>
        <v>1896882.0487260998</v>
      </c>
      <c r="K63" s="77">
        <f t="shared" ca="1" si="21"/>
        <v>-5.1558975636950131E-2</v>
      </c>
      <c r="L63" s="137">
        <f t="shared" ca="1" si="22"/>
        <v>-103117.95127390028</v>
      </c>
      <c r="M63" s="139">
        <f t="shared" ca="1" si="23"/>
        <v>1936405.5975965646</v>
      </c>
      <c r="N63" s="77">
        <f t="shared" ca="1" si="24"/>
        <v>-3.1797201201717681E-2</v>
      </c>
      <c r="O63" s="137">
        <f t="shared" ca="1" si="25"/>
        <v>-63594.402403435364</v>
      </c>
    </row>
    <row r="64" spans="1:15" ht="16.5" customHeight="1">
      <c r="A64" s="153">
        <v>5</v>
      </c>
      <c r="B64" s="153" t="str">
        <f>TEXT(투자전략!$G$1+4, "[$-ko-KR]yyyy.mm.dd")</f>
        <v>2021.06.05</v>
      </c>
      <c r="C64" s="135">
        <f t="shared" ca="1" si="13"/>
        <v>2000000</v>
      </c>
      <c r="D64" s="139">
        <f t="shared" ca="1" si="14"/>
        <v>2072292.6537952472</v>
      </c>
      <c r="E64" s="77">
        <f t="shared" ca="1" si="15"/>
        <v>3.6146326897623662E-2</v>
      </c>
      <c r="F64" s="137">
        <f t="shared" ca="1" si="16"/>
        <v>72292.653795247315</v>
      </c>
      <c r="G64" s="139">
        <f t="shared" ca="1" si="17"/>
        <v>2029153.6801783799</v>
      </c>
      <c r="H64" s="77">
        <f t="shared" ca="1" si="18"/>
        <v>1.4576840089189988E-2</v>
      </c>
      <c r="I64" s="137">
        <f t="shared" ca="1" si="19"/>
        <v>29153.680178379978</v>
      </c>
      <c r="J64" s="139">
        <f t="shared" ca="1" si="20"/>
        <v>2001179.9666487216</v>
      </c>
      <c r="K64" s="77">
        <f t="shared" ca="1" si="21"/>
        <v>5.8998332436068597E-4</v>
      </c>
      <c r="L64" s="137">
        <f t="shared" ca="1" si="22"/>
        <v>1179.9666487213722</v>
      </c>
      <c r="M64" s="139">
        <f t="shared" ca="1" si="23"/>
        <v>2008892.5293496235</v>
      </c>
      <c r="N64" s="77">
        <f t="shared" ca="1" si="24"/>
        <v>4.4462646748117179E-3</v>
      </c>
      <c r="O64" s="137">
        <f t="shared" ca="1" si="25"/>
        <v>8892.529349623439</v>
      </c>
    </row>
    <row r="65" spans="1:15" ht="16.5" customHeight="1">
      <c r="A65" s="153">
        <v>6</v>
      </c>
      <c r="B65" s="153" t="str">
        <f>TEXT(투자전략!$G$1+5, "[$-ko-KR]yyyy.mm.dd")</f>
        <v>2021.06.06</v>
      </c>
      <c r="C65" s="135">
        <f t="shared" ca="1" si="13"/>
        <v>2000000</v>
      </c>
      <c r="D65" s="139">
        <f t="shared" ca="1" si="14"/>
        <v>2059710.6388244245</v>
      </c>
      <c r="E65" s="77">
        <f t="shared" ca="1" si="15"/>
        <v>2.9855319412212138E-2</v>
      </c>
      <c r="F65" s="137">
        <f t="shared" ca="1" si="16"/>
        <v>59710.638824424277</v>
      </c>
      <c r="G65" s="139">
        <f t="shared" ca="1" si="17"/>
        <v>2075221.4372955658</v>
      </c>
      <c r="H65" s="77">
        <f t="shared" ca="1" si="18"/>
        <v>3.7610718647782877E-2</v>
      </c>
      <c r="I65" s="137">
        <f t="shared" ca="1" si="19"/>
        <v>75221.43729556576</v>
      </c>
      <c r="J65" s="139">
        <f t="shared" ca="1" si="20"/>
        <v>2098405.4770204951</v>
      </c>
      <c r="K65" s="77">
        <f t="shared" ca="1" si="21"/>
        <v>4.92027385102475E-2</v>
      </c>
      <c r="L65" s="137">
        <f t="shared" ca="1" si="22"/>
        <v>98405.477020494975</v>
      </c>
      <c r="M65" s="139">
        <f t="shared" ca="1" si="23"/>
        <v>2063334.986044958</v>
      </c>
      <c r="N65" s="77">
        <f t="shared" ca="1" si="24"/>
        <v>3.166749302247894E-2</v>
      </c>
      <c r="O65" s="137">
        <f t="shared" ca="1" si="25"/>
        <v>63334.98604495787</v>
      </c>
    </row>
    <row r="66" spans="1:15" ht="16.5" customHeight="1" thickBot="1">
      <c r="A66" s="155">
        <v>7</v>
      </c>
      <c r="B66" s="155" t="str">
        <f>TEXT(투자전략!$G$1+6, "[$-ko-KR]yyyy.mm.dd")</f>
        <v>2021.06.07</v>
      </c>
      <c r="C66" s="135">
        <f t="shared" ca="1" si="13"/>
        <v>2000000</v>
      </c>
      <c r="D66" s="139">
        <f t="shared" ca="1" si="14"/>
        <v>2012761.1944679944</v>
      </c>
      <c r="E66" s="77">
        <f t="shared" ca="1" si="15"/>
        <v>6.3805972339971246E-3</v>
      </c>
      <c r="F66" s="137">
        <f t="shared" ca="1" si="16"/>
        <v>12761.19446799425</v>
      </c>
      <c r="G66" s="139">
        <f t="shared" ca="1" si="17"/>
        <v>2032701.3006919853</v>
      </c>
      <c r="H66" s="77">
        <f t="shared" ca="1" si="18"/>
        <v>1.6350650345992802E-2</v>
      </c>
      <c r="I66" s="137">
        <f t="shared" ca="1" si="19"/>
        <v>32701.300691985623</v>
      </c>
      <c r="J66" s="139">
        <f t="shared" ca="1" si="20"/>
        <v>2036453.492438751</v>
      </c>
      <c r="K66" s="77">
        <f t="shared" ca="1" si="21"/>
        <v>1.8226746219375388E-2</v>
      </c>
      <c r="L66" s="137">
        <f t="shared" ca="1" si="22"/>
        <v>36453.492438750778</v>
      </c>
      <c r="M66" s="139">
        <f t="shared" ca="1" si="23"/>
        <v>2027697.3242217808</v>
      </c>
      <c r="N66" s="77">
        <f t="shared" ca="1" si="24"/>
        <v>1.3848662110890369E-2</v>
      </c>
      <c r="O66" s="137">
        <f t="shared" ca="1" si="25"/>
        <v>27697.324221780742</v>
      </c>
    </row>
    <row r="67" spans="1:15" ht="16.5" customHeight="1">
      <c r="A67" s="154">
        <v>8</v>
      </c>
      <c r="B67" s="154" t="str">
        <f>TEXT(투자전략!$G$1+7, "[$-ko-KR]yyyy.mm.dd")</f>
        <v>2021.06.08</v>
      </c>
      <c r="C67" s="134">
        <f t="shared" ca="1" si="13"/>
        <v>2000000</v>
      </c>
      <c r="D67" s="142">
        <f t="shared" ca="1" si="14"/>
        <v>1739430.9545309471</v>
      </c>
      <c r="E67" s="76">
        <f t="shared" ca="1" si="15"/>
        <v>-0.13028452273452634</v>
      </c>
      <c r="F67" s="141">
        <f t="shared" ca="1" si="16"/>
        <v>-260569.04546905271</v>
      </c>
      <c r="G67" s="142">
        <f t="shared" ca="1" si="17"/>
        <v>1745253.1594896172</v>
      </c>
      <c r="H67" s="76">
        <f t="shared" ca="1" si="18"/>
        <v>-0.12737342025519136</v>
      </c>
      <c r="I67" s="141">
        <f t="shared" ca="1" si="19"/>
        <v>-254746.84051038272</v>
      </c>
      <c r="J67" s="142">
        <f t="shared" ca="1" si="20"/>
        <v>1755855.4640404535</v>
      </c>
      <c r="K67" s="76">
        <f t="shared" ca="1" si="21"/>
        <v>-0.12207226797977319</v>
      </c>
      <c r="L67" s="141">
        <f t="shared" ca="1" si="22"/>
        <v>-244144.53595954643</v>
      </c>
      <c r="M67" s="142">
        <f t="shared" ca="1" si="23"/>
        <v>1637009.1872832079</v>
      </c>
      <c r="N67" s="76">
        <f t="shared" ca="1" si="24"/>
        <v>-0.18149540635839603</v>
      </c>
      <c r="O67" s="141">
        <f t="shared" ca="1" si="25"/>
        <v>-362990.8127167921</v>
      </c>
    </row>
    <row r="68" spans="1:15" ht="16.5" customHeight="1">
      <c r="A68" s="153">
        <v>9</v>
      </c>
      <c r="B68" s="153" t="str">
        <f>TEXT(투자전략!$G$1+8, "[$-ko-KR]yyyy.mm.dd")</f>
        <v>2021.06.09</v>
      </c>
      <c r="C68" s="135">
        <f t="shared" ca="1" si="13"/>
        <v>2000000</v>
      </c>
      <c r="D68" s="139">
        <f t="shared" ca="1" si="14"/>
        <v>2025954.3629815364</v>
      </c>
      <c r="E68" s="77">
        <f t="shared" ca="1" si="15"/>
        <v>1.2977181490768135E-2</v>
      </c>
      <c r="F68" s="137">
        <f t="shared" ca="1" si="16"/>
        <v>25954.362981536276</v>
      </c>
      <c r="G68" s="139">
        <f t="shared" ca="1" si="17"/>
        <v>2047516.9450837907</v>
      </c>
      <c r="H68" s="77">
        <f t="shared" ca="1" si="18"/>
        <v>2.3758472541895399E-2</v>
      </c>
      <c r="I68" s="137">
        <f t="shared" ca="1" si="19"/>
        <v>47516.945083790808</v>
      </c>
      <c r="J68" s="139">
        <f t="shared" ca="1" si="20"/>
        <v>2094597.6014376546</v>
      </c>
      <c r="K68" s="77">
        <f t="shared" ca="1" si="21"/>
        <v>4.729880071882727E-2</v>
      </c>
      <c r="L68" s="137">
        <f t="shared" ca="1" si="22"/>
        <v>94597.601437654565</v>
      </c>
      <c r="M68" s="139">
        <f t="shared" ca="1" si="23"/>
        <v>2065617.4951182536</v>
      </c>
      <c r="N68" s="77">
        <f t="shared" ca="1" si="24"/>
        <v>3.2808747559126723E-2</v>
      </c>
      <c r="O68" s="137">
        <f t="shared" ca="1" si="25"/>
        <v>65617.495118253428</v>
      </c>
    </row>
    <row r="69" spans="1:15" ht="16.5" customHeight="1">
      <c r="A69" s="153">
        <v>10</v>
      </c>
      <c r="B69" s="153" t="str">
        <f>TEXT(투자전략!$G$1+9, "[$-ko-KR]yyyy.mm.dd")</f>
        <v>2021.06.10</v>
      </c>
      <c r="C69" s="135">
        <f t="shared" ca="1" si="13"/>
        <v>2000000</v>
      </c>
      <c r="D69" s="139">
        <f t="shared" ca="1" si="14"/>
        <v>2158165.3331615906</v>
      </c>
      <c r="E69" s="77">
        <f t="shared" ca="1" si="15"/>
        <v>7.9082666580795408E-2</v>
      </c>
      <c r="F69" s="137">
        <f t="shared" ca="1" si="16"/>
        <v>158165.3331615908</v>
      </c>
      <c r="G69" s="139">
        <f t="shared" ca="1" si="17"/>
        <v>2244757.8631221042</v>
      </c>
      <c r="H69" s="77">
        <f t="shared" ca="1" si="18"/>
        <v>0.12237893156105209</v>
      </c>
      <c r="I69" s="137">
        <f t="shared" ca="1" si="19"/>
        <v>244757.86312210411</v>
      </c>
      <c r="J69" s="139">
        <f t="shared" ca="1" si="20"/>
        <v>2226854.5348932031</v>
      </c>
      <c r="K69" s="77">
        <f t="shared" ca="1" si="21"/>
        <v>0.11342726744660152</v>
      </c>
      <c r="L69" s="137">
        <f t="shared" ca="1" si="22"/>
        <v>226854.53489320306</v>
      </c>
      <c r="M69" s="139">
        <f t="shared" ca="1" si="23"/>
        <v>2169572.9059073608</v>
      </c>
      <c r="N69" s="77">
        <f t="shared" ca="1" si="24"/>
        <v>8.4786452953680466E-2</v>
      </c>
      <c r="O69" s="137">
        <f t="shared" ca="1" si="25"/>
        <v>169572.9059073609</v>
      </c>
    </row>
    <row r="70" spans="1:15" ht="16.5" customHeight="1">
      <c r="A70" s="153">
        <v>11</v>
      </c>
      <c r="B70" s="153" t="str">
        <f>TEXT(투자전략!$G$1+10, "[$-ko-KR]yyyy.mm.dd")</f>
        <v>2021.06.11</v>
      </c>
      <c r="C70" s="135">
        <f t="shared" ca="1" si="13"/>
        <v>2000000</v>
      </c>
      <c r="D70" s="139">
        <f t="shared" ca="1" si="14"/>
        <v>2207651.8271824135</v>
      </c>
      <c r="E70" s="77">
        <f t="shared" ca="1" si="15"/>
        <v>0.10382591359120666</v>
      </c>
      <c r="F70" s="137">
        <f t="shared" ca="1" si="16"/>
        <v>207651.82718241334</v>
      </c>
      <c r="G70" s="139">
        <f t="shared" ca="1" si="17"/>
        <v>1786516.6722146282</v>
      </c>
      <c r="H70" s="77">
        <f t="shared" ca="1" si="18"/>
        <v>-0.10674166389268595</v>
      </c>
      <c r="I70" s="137">
        <f t="shared" ca="1" si="19"/>
        <v>-213483.32778537189</v>
      </c>
      <c r="J70" s="139">
        <f t="shared" ca="1" si="20"/>
        <v>1741388.3169713854</v>
      </c>
      <c r="K70" s="77">
        <f t="shared" ca="1" si="21"/>
        <v>-0.1293058415143073</v>
      </c>
      <c r="L70" s="137">
        <f t="shared" ca="1" si="22"/>
        <v>-258611.68302861459</v>
      </c>
      <c r="M70" s="139">
        <f t="shared" ca="1" si="23"/>
        <v>1723860.1499367014</v>
      </c>
      <c r="N70" s="77">
        <f t="shared" ca="1" si="24"/>
        <v>-0.13806992503164922</v>
      </c>
      <c r="O70" s="137">
        <f t="shared" ca="1" si="25"/>
        <v>-276139.85006329842</v>
      </c>
    </row>
    <row r="71" spans="1:15" ht="16.5" customHeight="1">
      <c r="A71" s="153">
        <v>12</v>
      </c>
      <c r="B71" s="153" t="str">
        <f>TEXT(투자전략!$G$1+11, "[$-ko-KR]yyyy.mm.dd")</f>
        <v>2021.06.12</v>
      </c>
      <c r="C71" s="135">
        <f t="shared" ca="1" si="13"/>
        <v>2000000</v>
      </c>
      <c r="D71" s="139">
        <f t="shared" ca="1" si="14"/>
        <v>1779915.3742080375</v>
      </c>
      <c r="E71" s="77">
        <f t="shared" ca="1" si="15"/>
        <v>-0.11004231289598124</v>
      </c>
      <c r="F71" s="137">
        <f t="shared" ca="1" si="16"/>
        <v>-220084.62579196252</v>
      </c>
      <c r="G71" s="139">
        <f t="shared" ca="1" si="17"/>
        <v>1759384.7292553245</v>
      </c>
      <c r="H71" s="77">
        <f t="shared" ca="1" si="18"/>
        <v>-0.12030763537233784</v>
      </c>
      <c r="I71" s="137">
        <f t="shared" ca="1" si="19"/>
        <v>-240615.27074467571</v>
      </c>
      <c r="J71" s="139">
        <f t="shared" ca="1" si="20"/>
        <v>1782269.2319698399</v>
      </c>
      <c r="K71" s="77">
        <f t="shared" ca="1" si="21"/>
        <v>-0.10886538401508009</v>
      </c>
      <c r="L71" s="137">
        <f t="shared" ca="1" si="22"/>
        <v>-217730.76803016019</v>
      </c>
      <c r="M71" s="139">
        <f t="shared" ca="1" si="23"/>
        <v>1781733.385787881</v>
      </c>
      <c r="N71" s="77">
        <f t="shared" ca="1" si="24"/>
        <v>-0.10913330710605953</v>
      </c>
      <c r="O71" s="137">
        <f t="shared" ca="1" si="25"/>
        <v>-218266.61421211908</v>
      </c>
    </row>
    <row r="72" spans="1:15" ht="16.5" customHeight="1">
      <c r="A72" s="153">
        <v>13</v>
      </c>
      <c r="B72" s="153" t="str">
        <f>TEXT(투자전략!$G$1+12, "[$-ko-KR]yyyy.mm.dd")</f>
        <v>2021.06.13</v>
      </c>
      <c r="C72" s="135">
        <f t="shared" ca="1" si="13"/>
        <v>2000000</v>
      </c>
      <c r="D72" s="139">
        <f t="shared" ca="1" si="14"/>
        <v>1903825.1453362661</v>
      </c>
      <c r="E72" s="77">
        <f t="shared" ca="1" si="15"/>
        <v>-4.8087427331866876E-2</v>
      </c>
      <c r="F72" s="137">
        <f t="shared" ca="1" si="16"/>
        <v>-96174.854663733742</v>
      </c>
      <c r="G72" s="139">
        <f t="shared" ca="1" si="17"/>
        <v>1925312.2088641939</v>
      </c>
      <c r="H72" s="77">
        <f t="shared" ca="1" si="18"/>
        <v>-3.7343895567903101E-2</v>
      </c>
      <c r="I72" s="137">
        <f t="shared" ca="1" si="19"/>
        <v>-74687.791135806227</v>
      </c>
      <c r="J72" s="139">
        <f t="shared" ca="1" si="20"/>
        <v>1922561.2656936054</v>
      </c>
      <c r="K72" s="77">
        <f t="shared" ca="1" si="21"/>
        <v>-3.8719367153197383E-2</v>
      </c>
      <c r="L72" s="137">
        <f t="shared" ca="1" si="22"/>
        <v>-77438.734306394763</v>
      </c>
      <c r="M72" s="139">
        <f t="shared" ca="1" si="23"/>
        <v>1910100.170139156</v>
      </c>
      <c r="N72" s="77">
        <f t="shared" ca="1" si="24"/>
        <v>-4.4949914930421948E-2</v>
      </c>
      <c r="O72" s="137">
        <f t="shared" ca="1" si="25"/>
        <v>-89899.829860843907</v>
      </c>
    </row>
    <row r="73" spans="1:15" ht="16.5" customHeight="1" thickBot="1">
      <c r="A73" s="155">
        <v>14</v>
      </c>
      <c r="B73" s="155" t="str">
        <f>TEXT(투자전략!$G$1+13, "[$-ko-KR]yyyy.mm.dd")</f>
        <v>2021.06.14</v>
      </c>
      <c r="C73" s="136">
        <f t="shared" ca="1" si="13"/>
        <v>2000000</v>
      </c>
      <c r="D73" s="140">
        <f t="shared" ca="1" si="14"/>
        <v>2188338.9255079231</v>
      </c>
      <c r="E73" s="79">
        <f t="shared" ca="1" si="15"/>
        <v>9.4169462753961625E-2</v>
      </c>
      <c r="F73" s="138">
        <f t="shared" ca="1" si="16"/>
        <v>188338.92550792324</v>
      </c>
      <c r="G73" s="140">
        <f t="shared" ca="1" si="17"/>
        <v>2259643.059380448</v>
      </c>
      <c r="H73" s="79">
        <f t="shared" ca="1" si="18"/>
        <v>0.12982152969022417</v>
      </c>
      <c r="I73" s="138">
        <f t="shared" ca="1" si="19"/>
        <v>259643.05938044831</v>
      </c>
      <c r="J73" s="140">
        <f t="shared" ca="1" si="20"/>
        <v>2178016.5982071576</v>
      </c>
      <c r="K73" s="79">
        <f t="shared" ca="1" si="21"/>
        <v>8.9008299103578714E-2</v>
      </c>
      <c r="L73" s="138">
        <f t="shared" ca="1" si="22"/>
        <v>178016.59820715743</v>
      </c>
      <c r="M73" s="140">
        <f t="shared" ca="1" si="23"/>
        <v>2192486.5980427926</v>
      </c>
      <c r="N73" s="79">
        <f t="shared" ca="1" si="24"/>
        <v>9.6243299021396417E-2</v>
      </c>
      <c r="O73" s="138">
        <f t="shared" ca="1" si="25"/>
        <v>192486.59804279282</v>
      </c>
    </row>
    <row r="74" spans="1:15" ht="16.5" customHeight="1">
      <c r="A74" s="154">
        <v>15</v>
      </c>
      <c r="B74" s="154" t="str">
        <f>TEXT(투자전략!$G$1+14, "[$-ko-KR]yyyy.mm.dd")</f>
        <v>2021.06.15</v>
      </c>
      <c r="C74" s="135">
        <f t="shared" ca="1" si="13"/>
        <v>2000000</v>
      </c>
      <c r="D74" s="139">
        <f t="shared" ca="1" si="14"/>
        <v>2154603.9302070346</v>
      </c>
      <c r="E74" s="77">
        <f t="shared" ca="1" si="15"/>
        <v>7.7301965103517473E-2</v>
      </c>
      <c r="F74" s="137">
        <f t="shared" ca="1" si="16"/>
        <v>154603.93020703495</v>
      </c>
      <c r="G74" s="139">
        <f t="shared" ca="1" si="17"/>
        <v>2101928.4524441366</v>
      </c>
      <c r="H74" s="77">
        <f t="shared" ca="1" si="18"/>
        <v>5.0964226222068122E-2</v>
      </c>
      <c r="I74" s="137">
        <f t="shared" ca="1" si="19"/>
        <v>101928.45244413623</v>
      </c>
      <c r="J74" s="139">
        <f t="shared" ca="1" si="20"/>
        <v>2107147.0502137565</v>
      </c>
      <c r="K74" s="77">
        <f t="shared" ca="1" si="21"/>
        <v>5.357352510687826E-2</v>
      </c>
      <c r="L74" s="137">
        <f t="shared" ca="1" si="22"/>
        <v>107147.05021375655</v>
      </c>
      <c r="M74" s="139">
        <f t="shared" ca="1" si="23"/>
        <v>2092008.0265601394</v>
      </c>
      <c r="N74" s="77">
        <f t="shared" ca="1" si="24"/>
        <v>4.6004013280069742E-2</v>
      </c>
      <c r="O74" s="137">
        <f t="shared" ca="1" si="25"/>
        <v>92008.026560139479</v>
      </c>
    </row>
    <row r="75" spans="1:15" ht="16.5" customHeight="1">
      <c r="A75" s="153">
        <v>16</v>
      </c>
      <c r="B75" s="153" t="str">
        <f>TEXT(투자전략!$G$1+15, "[$-ko-KR]yyyy.mm.dd")</f>
        <v>2021.06.16</v>
      </c>
      <c r="C75" s="135">
        <f t="shared" ca="1" si="13"/>
        <v>2000000</v>
      </c>
      <c r="D75" s="139">
        <f t="shared" ca="1" si="14"/>
        <v>2000000</v>
      </c>
      <c r="E75" s="77">
        <f t="shared" ca="1" si="15"/>
        <v>0</v>
      </c>
      <c r="F75" s="137">
        <f t="shared" ca="1" si="16"/>
        <v>0</v>
      </c>
      <c r="G75" s="139">
        <f t="shared" ca="1" si="17"/>
        <v>2000000</v>
      </c>
      <c r="H75" s="77">
        <f t="shared" ca="1" si="18"/>
        <v>0</v>
      </c>
      <c r="I75" s="137">
        <f t="shared" ca="1" si="19"/>
        <v>0</v>
      </c>
      <c r="J75" s="139">
        <f t="shared" ca="1" si="20"/>
        <v>1854465.4958681101</v>
      </c>
      <c r="K75" s="77">
        <f t="shared" ca="1" si="21"/>
        <v>-7.2767252065944893E-2</v>
      </c>
      <c r="L75" s="137">
        <f t="shared" ca="1" si="22"/>
        <v>-145534.50413188979</v>
      </c>
      <c r="M75" s="139">
        <f t="shared" ca="1" si="23"/>
        <v>2000000</v>
      </c>
      <c r="N75" s="77">
        <f t="shared" ca="1" si="24"/>
        <v>0</v>
      </c>
      <c r="O75" s="137">
        <f t="shared" ca="1" si="25"/>
        <v>0</v>
      </c>
    </row>
    <row r="76" spans="1:15" ht="16.5" customHeight="1">
      <c r="A76" s="153">
        <v>17</v>
      </c>
      <c r="B76" s="153" t="str">
        <f>TEXT(투자전략!$G$1+16, "[$-ko-KR]yyyy.mm.dd")</f>
        <v>2021.06.17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2021.06.18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2021.06.19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2021.06.20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2021.06.21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2021.06.22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2021.06.23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2021.06.24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2021.06.25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2021.06.26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2021.06.27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2021.06.28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2021.06.29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2021.06.30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2021.07.01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74" t="s">
        <v>313</v>
      </c>
      <c r="B91" s="276"/>
      <c r="C91" s="132" t="s">
        <v>308</v>
      </c>
      <c r="D91" s="150" t="s">
        <v>309</v>
      </c>
      <c r="E91" s="151" t="s">
        <v>310</v>
      </c>
      <c r="F91" s="152" t="s">
        <v>311</v>
      </c>
      <c r="G91" s="150" t="s">
        <v>309</v>
      </c>
      <c r="H91" s="151" t="s">
        <v>310</v>
      </c>
      <c r="I91" s="152" t="s">
        <v>311</v>
      </c>
      <c r="J91" s="150" t="s">
        <v>309</v>
      </c>
      <c r="K91" s="151" t="s">
        <v>310</v>
      </c>
      <c r="L91" s="152" t="s">
        <v>311</v>
      </c>
      <c r="M91" s="150" t="s">
        <v>309</v>
      </c>
      <c r="N91" s="151" t="s">
        <v>310</v>
      </c>
      <c r="O91" s="152" t="s">
        <v>311</v>
      </c>
    </row>
    <row r="92" spans="1:15" ht="16.5" customHeight="1" thickBot="1">
      <c r="A92" s="267"/>
      <c r="B92" s="269"/>
      <c r="C92" s="136">
        <f ca="1">SUM(C60:C90)</f>
        <v>32000000</v>
      </c>
      <c r="D92" s="140">
        <f ca="1">SUM(D60:D90)</f>
        <v>32375162.756959565</v>
      </c>
      <c r="E92" s="79">
        <f ca="1">IFERROR(F92 / (SUM($C60:$C90) / COUNT($C60:$C90)), 0)</f>
        <v>0.18758137847978756</v>
      </c>
      <c r="F92" s="138">
        <f ca="1">SUM(F60:F90)</f>
        <v>375162.75695957511</v>
      </c>
      <c r="G92" s="140">
        <f ca="1">SUM(G60:G90)</f>
        <v>32001174.69291307</v>
      </c>
      <c r="H92" s="79">
        <f ca="1">IFERROR(I92 / (SUM($C60:$C90) / COUNT($C60:$C90)), 0)</f>
        <v>5.8734645653584449E-4</v>
      </c>
      <c r="I92" s="138">
        <f ca="1">SUM(I60:I90)</f>
        <v>1174.692913071689</v>
      </c>
      <c r="J92" s="140">
        <f ca="1">SUM(J60:J90)</f>
        <v>31724884.68663463</v>
      </c>
      <c r="K92" s="79">
        <f ca="1">IFERROR(L92 / (SUM($C60:$C90) / COUNT($C60:$C90)), 0)</f>
        <v>-0.13755765668268369</v>
      </c>
      <c r="L92" s="138">
        <f ca="1">SUM(L60:L90)</f>
        <v>-275115.31336536736</v>
      </c>
      <c r="M92" s="140">
        <f ca="1">SUM(M60:M90)</f>
        <v>31685798.306113936</v>
      </c>
      <c r="N92" s="79">
        <f ca="1">IFERROR(O92 / (SUM($C60:$C90) / COUNT($C60:$C90)), 0)</f>
        <v>-0.15710084694303256</v>
      </c>
      <c r="O92" s="138">
        <f ca="1">SUM(O60:O90)</f>
        <v>-314201.6938860651</v>
      </c>
    </row>
    <row r="94" spans="1:15" ht="16.5" customHeight="1" thickBot="1"/>
    <row r="95" spans="1:15" ht="16.5" customHeight="1" thickBot="1">
      <c r="A95" s="246" t="str">
        <f>TEXT(투자전략!$G$1, "[$-ko-KR]yyyy년 mm월 ") &amp; "[동전코인] 전일대비 상승률 Top20 월말결산"</f>
        <v>2021년 06월 [동전코인] 전일대비 상승률 Top20 월말결산</v>
      </c>
      <c r="B95" s="247"/>
      <c r="C95" s="247"/>
      <c r="D95" s="247"/>
      <c r="E95" s="247"/>
      <c r="F95" s="247"/>
      <c r="G95" s="247"/>
      <c r="H95" s="247"/>
      <c r="I95" s="247"/>
      <c r="J95" s="247"/>
      <c r="K95" s="247"/>
      <c r="L95" s="247"/>
      <c r="M95" s="247"/>
      <c r="N95" s="247"/>
      <c r="O95" s="248"/>
    </row>
    <row r="96" spans="1:15" ht="16.5" customHeight="1" thickBot="1">
      <c r="A96" s="290" t="s">
        <v>314</v>
      </c>
      <c r="B96" s="267" t="s">
        <v>312</v>
      </c>
      <c r="C96" s="269"/>
      <c r="D96" s="267" t="s">
        <v>304</v>
      </c>
      <c r="E96" s="268"/>
      <c r="F96" s="269"/>
      <c r="G96" s="267" t="s">
        <v>305</v>
      </c>
      <c r="H96" s="268"/>
      <c r="I96" s="269"/>
      <c r="J96" s="267" t="s">
        <v>306</v>
      </c>
      <c r="K96" s="268"/>
      <c r="L96" s="269"/>
      <c r="M96" s="267" t="s">
        <v>307</v>
      </c>
      <c r="N96" s="268"/>
      <c r="O96" s="269"/>
    </row>
    <row r="97" spans="1:15" ht="16.5" customHeight="1" thickBot="1">
      <c r="A97" s="283"/>
      <c r="B97" s="154" t="s">
        <v>302</v>
      </c>
      <c r="C97" s="154" t="s">
        <v>42</v>
      </c>
      <c r="D97" s="121" t="s">
        <v>303</v>
      </c>
      <c r="E97" s="133" t="s">
        <v>40</v>
      </c>
      <c r="F97" s="156" t="s">
        <v>41</v>
      </c>
      <c r="G97" s="121" t="s">
        <v>303</v>
      </c>
      <c r="H97" s="133" t="s">
        <v>40</v>
      </c>
      <c r="I97" s="156" t="s">
        <v>41</v>
      </c>
      <c r="J97" s="121" t="s">
        <v>303</v>
      </c>
      <c r="K97" s="133" t="s">
        <v>40</v>
      </c>
      <c r="L97" s="156" t="s">
        <v>41</v>
      </c>
      <c r="M97" s="121" t="s">
        <v>303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2021.06.01</v>
      </c>
      <c r="C98" s="134">
        <f ca="1">IFERROR(COUNTA(INDIRECT($B98&amp;"!A71:A90")) * INDIRECT($B98&amp;"!B91"), "")</f>
        <v>2000000</v>
      </c>
      <c r="D98" s="142">
        <f ca="1">IFERROR($C98 * (1 + E98), "")</f>
        <v>2068931.9100803095</v>
      </c>
      <c r="E98" s="76">
        <f ca="1">IFERROR(INDIRECT($B98&amp;"!E91"), "")</f>
        <v>3.4465955040154664E-2</v>
      </c>
      <c r="F98" s="141">
        <f ca="1">IFERROR(INDIRECT($B98&amp;"!F91"), "")</f>
        <v>68931.910080309346</v>
      </c>
      <c r="G98" s="142">
        <f ca="1">IFERROR($C98 * (1 + H98), "")</f>
        <v>2019458.0415088744</v>
      </c>
      <c r="H98" s="76">
        <f ca="1">IFERROR(INDIRECT($B98&amp;"!H91"), "")</f>
        <v>9.7290207544371947E-3</v>
      </c>
      <c r="I98" s="141">
        <f ca="1">IFERROR(INDIRECT($B98&amp;"!I91"), "")</f>
        <v>19458.041508874398</v>
      </c>
      <c r="J98" s="142">
        <f ca="1">IFERROR($C98 * (1 + K98), "")</f>
        <v>2041717.0929890559</v>
      </c>
      <c r="K98" s="76">
        <f ca="1">IFERROR(INDIRECT($B98&amp;"!K91"), "")</f>
        <v>2.0858546494527876E-2</v>
      </c>
      <c r="L98" s="141">
        <f ca="1">IFERROR(INDIRECT($B98&amp;"!L91"), "")</f>
        <v>41717.09298905576</v>
      </c>
      <c r="M98" s="142">
        <f ca="1">IFERROR($C98 * (1 + N98), "")</f>
        <v>2043366.6767794453</v>
      </c>
      <c r="N98" s="76">
        <f ca="1">IFERROR(INDIRECT($B98&amp;"!N91"), "")</f>
        <v>2.1683338389722643E-2</v>
      </c>
      <c r="O98" s="141">
        <f ca="1">IFERROR(INDIRECT($B98&amp;"!O91"), "")</f>
        <v>43366.676779445283</v>
      </c>
    </row>
    <row r="99" spans="1:15" ht="16.5" customHeight="1">
      <c r="A99" s="153">
        <v>2</v>
      </c>
      <c r="B99" s="153" t="str">
        <f>TEXT(투자전략!$G$1+1, "[$-ko-KR]yyyy.mm.dd")</f>
        <v>2021.06.02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2023739.0792059116</v>
      </c>
      <c r="E99" s="77">
        <f t="shared" ref="E99:E128" ca="1" si="28">IFERROR(INDIRECT($B99&amp;"!E91"), "")</f>
        <v>1.1869539602955802E-2</v>
      </c>
      <c r="F99" s="137">
        <f t="shared" ref="F99:F128" ca="1" si="29">IFERROR(INDIRECT($B99&amp;"!F91"), "")</f>
        <v>23739.079205911603</v>
      </c>
      <c r="G99" s="139">
        <f t="shared" ref="G99:G128" ca="1" si="30">IFERROR($C99 * (1 + H99), "")</f>
        <v>2027837.7664922865</v>
      </c>
      <c r="H99" s="77">
        <f t="shared" ref="H99:H128" ca="1" si="31">IFERROR(INDIRECT($B99&amp;"!H91"), "")</f>
        <v>1.3918883246143151E-2</v>
      </c>
      <c r="I99" s="137">
        <f t="shared" ref="I99:I128" ca="1" si="32">IFERROR(INDIRECT($B99&amp;"!I91"), "")</f>
        <v>27837.766492286304</v>
      </c>
      <c r="J99" s="139">
        <f t="shared" ref="J99:J128" ca="1" si="33">IFERROR($C99 * (1 + K99), "")</f>
        <v>2033419.3820798015</v>
      </c>
      <c r="K99" s="77">
        <f t="shared" ref="K99:K128" ca="1" si="34">IFERROR(INDIRECT($B99&amp;"!K91"), "")</f>
        <v>1.67096910399008E-2</v>
      </c>
      <c r="L99" s="137">
        <f t="shared" ref="L99:L128" ca="1" si="35">IFERROR(INDIRECT($B99&amp;"!L91"), "")</f>
        <v>33419.382079801595</v>
      </c>
      <c r="M99" s="139">
        <f t="shared" ref="M99:M128" ca="1" si="36">IFERROR($C99 * (1 + N99), "")</f>
        <v>2060421.273874522</v>
      </c>
      <c r="N99" s="77">
        <f t="shared" ref="N99:N128" ca="1" si="37">IFERROR(INDIRECT($B99&amp;"!N91"), "")</f>
        <v>3.0210636937261115E-2</v>
      </c>
      <c r="O99" s="137">
        <f t="shared" ref="O99:O128" ca="1" si="38">IFERROR(INDIRECT($B99&amp;"!O91"), "")</f>
        <v>60421.27387452223</v>
      </c>
    </row>
    <row r="100" spans="1:15" ht="16.5" customHeight="1">
      <c r="A100" s="153">
        <v>3</v>
      </c>
      <c r="B100" s="153" t="str">
        <f>TEXT(투자전략!$G$1+2, "[$-ko-KR]yyyy.mm.dd")</f>
        <v>2021.06.03</v>
      </c>
      <c r="C100" s="135">
        <f t="shared" ca="1" si="26"/>
        <v>2000000</v>
      </c>
      <c r="D100" s="139">
        <f t="shared" ca="1" si="27"/>
        <v>2029477.7330507087</v>
      </c>
      <c r="E100" s="77">
        <f t="shared" ca="1" si="28"/>
        <v>1.473886652535435E-2</v>
      </c>
      <c r="F100" s="137">
        <f t="shared" ca="1" si="29"/>
        <v>29477.733050708699</v>
      </c>
      <c r="G100" s="139">
        <f t="shared" ca="1" si="30"/>
        <v>2090040.9846677294</v>
      </c>
      <c r="H100" s="77">
        <f t="shared" ca="1" si="31"/>
        <v>4.5020492333864646E-2</v>
      </c>
      <c r="I100" s="137">
        <f t="shared" ca="1" si="32"/>
        <v>90040.984667729266</v>
      </c>
      <c r="J100" s="139">
        <f t="shared" ca="1" si="33"/>
        <v>2040205.9436917903</v>
      </c>
      <c r="K100" s="77">
        <f t="shared" ca="1" si="34"/>
        <v>2.0102971845895136E-2</v>
      </c>
      <c r="L100" s="137">
        <f t="shared" ca="1" si="35"/>
        <v>40205.943691790271</v>
      </c>
      <c r="M100" s="139">
        <f t="shared" ca="1" si="36"/>
        <v>2055095.7983939152</v>
      </c>
      <c r="N100" s="77">
        <f t="shared" ca="1" si="37"/>
        <v>2.7547899196957503E-2</v>
      </c>
      <c r="O100" s="137">
        <f t="shared" ca="1" si="38"/>
        <v>55095.798393914993</v>
      </c>
    </row>
    <row r="101" spans="1:15" ht="16.5" customHeight="1">
      <c r="A101" s="153">
        <v>4</v>
      </c>
      <c r="B101" s="153" t="str">
        <f>TEXT(투자전략!$G$1+3, "[$-ko-KR]yyyy.mm.dd")</f>
        <v>2021.06.04</v>
      </c>
      <c r="C101" s="135">
        <f t="shared" ca="1" si="26"/>
        <v>2000000</v>
      </c>
      <c r="D101" s="139">
        <f t="shared" ca="1" si="27"/>
        <v>1986796.1732541218</v>
      </c>
      <c r="E101" s="77">
        <f t="shared" ca="1" si="28"/>
        <v>-6.6019133729390876E-3</v>
      </c>
      <c r="F101" s="137">
        <f t="shared" ca="1" si="29"/>
        <v>-13203.826745878174</v>
      </c>
      <c r="G101" s="139">
        <f t="shared" ca="1" si="30"/>
        <v>1909715.1912451047</v>
      </c>
      <c r="H101" s="77">
        <f t="shared" ca="1" si="31"/>
        <v>-4.5142404377447695E-2</v>
      </c>
      <c r="I101" s="137">
        <f t="shared" ca="1" si="32"/>
        <v>-90284.808754895377</v>
      </c>
      <c r="J101" s="139">
        <f t="shared" ca="1" si="33"/>
        <v>1856241.5255078115</v>
      </c>
      <c r="K101" s="77">
        <f t="shared" ca="1" si="34"/>
        <v>-7.1879237246094269E-2</v>
      </c>
      <c r="L101" s="137">
        <f t="shared" ca="1" si="35"/>
        <v>-143758.47449218857</v>
      </c>
      <c r="M101" s="139">
        <f t="shared" ca="1" si="36"/>
        <v>1920787.456885746</v>
      </c>
      <c r="N101" s="77">
        <f t="shared" ca="1" si="37"/>
        <v>-3.9606271557127044E-2</v>
      </c>
      <c r="O101" s="137">
        <f t="shared" ca="1" si="38"/>
        <v>-79212.543114254076</v>
      </c>
    </row>
    <row r="102" spans="1:15" ht="16.5" customHeight="1">
      <c r="A102" s="153">
        <v>5</v>
      </c>
      <c r="B102" s="153" t="str">
        <f>TEXT(투자전략!$G$1+4, "[$-ko-KR]yyyy.mm.dd")</f>
        <v>2021.06.05</v>
      </c>
      <c r="C102" s="135">
        <f t="shared" ca="1" si="26"/>
        <v>2000000</v>
      </c>
      <c r="D102" s="139">
        <f t="shared" ca="1" si="27"/>
        <v>2025569.0354346756</v>
      </c>
      <c r="E102" s="77">
        <f t="shared" ca="1" si="28"/>
        <v>1.2784517717337776E-2</v>
      </c>
      <c r="F102" s="137">
        <f t="shared" ca="1" si="29"/>
        <v>25569.035434675548</v>
      </c>
      <c r="G102" s="139">
        <f t="shared" ca="1" si="30"/>
        <v>1998520.7878883732</v>
      </c>
      <c r="H102" s="77">
        <f t="shared" ca="1" si="31"/>
        <v>-7.3960605581337884E-4</v>
      </c>
      <c r="I102" s="137">
        <f t="shared" ca="1" si="32"/>
        <v>-1479.2121116267581</v>
      </c>
      <c r="J102" s="139">
        <f t="shared" ca="1" si="33"/>
        <v>1965982.8225129524</v>
      </c>
      <c r="K102" s="77">
        <f t="shared" ca="1" si="34"/>
        <v>-1.700858874352382E-2</v>
      </c>
      <c r="L102" s="137">
        <f t="shared" ca="1" si="35"/>
        <v>-34017.177487047637</v>
      </c>
      <c r="M102" s="139">
        <f t="shared" ca="1" si="36"/>
        <v>1987944.2740698857</v>
      </c>
      <c r="N102" s="77">
        <f t="shared" ca="1" si="37"/>
        <v>-6.0278629650571923E-3</v>
      </c>
      <c r="O102" s="137">
        <f t="shared" ca="1" si="38"/>
        <v>-12055.725930114386</v>
      </c>
    </row>
    <row r="103" spans="1:15" ht="16.5" customHeight="1">
      <c r="A103" s="153">
        <v>6</v>
      </c>
      <c r="B103" s="153" t="str">
        <f>TEXT(투자전략!$G$1+5, "[$-ko-KR]yyyy.mm.dd")</f>
        <v>2021.06.06</v>
      </c>
      <c r="C103" s="135">
        <f t="shared" ca="1" si="26"/>
        <v>2000000</v>
      </c>
      <c r="D103" s="139">
        <f t="shared" ca="1" si="27"/>
        <v>2003660.3661245666</v>
      </c>
      <c r="E103" s="77">
        <f t="shared" ca="1" si="28"/>
        <v>1.8301830622833918E-3</v>
      </c>
      <c r="F103" s="137">
        <f t="shared" ca="1" si="29"/>
        <v>3660.3661245667836</v>
      </c>
      <c r="G103" s="139">
        <f t="shared" ca="1" si="30"/>
        <v>2011359.2354342607</v>
      </c>
      <c r="H103" s="77">
        <f t="shared" ca="1" si="31"/>
        <v>5.6796177171303973E-3</v>
      </c>
      <c r="I103" s="137">
        <f t="shared" ca="1" si="32"/>
        <v>11359.235434260798</v>
      </c>
      <c r="J103" s="139">
        <f t="shared" ca="1" si="33"/>
        <v>2017941.4582264808</v>
      </c>
      <c r="K103" s="77">
        <f t="shared" ca="1" si="34"/>
        <v>8.9707291132404034E-3</v>
      </c>
      <c r="L103" s="137">
        <f t="shared" ca="1" si="35"/>
        <v>17941.458226480809</v>
      </c>
      <c r="M103" s="139">
        <f t="shared" ca="1" si="36"/>
        <v>2012813.1971949053</v>
      </c>
      <c r="N103" s="77">
        <f t="shared" ca="1" si="37"/>
        <v>6.4065985974526797E-3</v>
      </c>
      <c r="O103" s="137">
        <f t="shared" ca="1" si="38"/>
        <v>12813.197194905359</v>
      </c>
    </row>
    <row r="104" spans="1:15" ht="16.5" customHeight="1" thickBot="1">
      <c r="A104" s="155">
        <v>7</v>
      </c>
      <c r="B104" s="155" t="str">
        <f>TEXT(투자전략!$G$1+6, "[$-ko-KR]yyyy.mm.dd")</f>
        <v>2021.06.07</v>
      </c>
      <c r="C104" s="135">
        <f t="shared" ca="1" si="26"/>
        <v>2000000</v>
      </c>
      <c r="D104" s="139">
        <f t="shared" ca="1" si="27"/>
        <v>2042562.8988635398</v>
      </c>
      <c r="E104" s="77">
        <f t="shared" ca="1" si="28"/>
        <v>2.128144943176985E-2</v>
      </c>
      <c r="F104" s="137">
        <f t="shared" ca="1" si="29"/>
        <v>42562.898863539711</v>
      </c>
      <c r="G104" s="139">
        <f t="shared" ca="1" si="30"/>
        <v>2046221.289129067</v>
      </c>
      <c r="H104" s="77">
        <f t="shared" ca="1" si="31"/>
        <v>2.3110644564533413E-2</v>
      </c>
      <c r="I104" s="137">
        <f t="shared" ca="1" si="32"/>
        <v>46221.289129066834</v>
      </c>
      <c r="J104" s="139">
        <f t="shared" ca="1" si="33"/>
        <v>2048264.8552195029</v>
      </c>
      <c r="K104" s="77">
        <f t="shared" ca="1" si="34"/>
        <v>2.4132427609751487E-2</v>
      </c>
      <c r="L104" s="137">
        <f t="shared" ca="1" si="35"/>
        <v>48264.855219502977</v>
      </c>
      <c r="M104" s="139">
        <f t="shared" ca="1" si="36"/>
        <v>2045941.0020675261</v>
      </c>
      <c r="N104" s="77">
        <f t="shared" ca="1" si="37"/>
        <v>2.297050103376317E-2</v>
      </c>
      <c r="O104" s="137">
        <f t="shared" ca="1" si="38"/>
        <v>45941.002067526351</v>
      </c>
    </row>
    <row r="105" spans="1:15" ht="16.5" customHeight="1">
      <c r="A105" s="154">
        <v>8</v>
      </c>
      <c r="B105" s="154" t="str">
        <f>TEXT(투자전략!$G$1+7, "[$-ko-KR]yyyy.mm.dd")</f>
        <v>2021.06.08</v>
      </c>
      <c r="C105" s="134">
        <f t="shared" ca="1" si="26"/>
        <v>2000000</v>
      </c>
      <c r="D105" s="142">
        <f t="shared" ca="1" si="27"/>
        <v>1764852.4214210457</v>
      </c>
      <c r="E105" s="76">
        <f t="shared" ca="1" si="28"/>
        <v>-0.11757378928947718</v>
      </c>
      <c r="F105" s="141">
        <f t="shared" ca="1" si="29"/>
        <v>-235147.57857895433</v>
      </c>
      <c r="G105" s="142">
        <f t="shared" ca="1" si="30"/>
        <v>1782418.7609806883</v>
      </c>
      <c r="H105" s="76">
        <f t="shared" ca="1" si="31"/>
        <v>-0.10879061950965581</v>
      </c>
      <c r="I105" s="141">
        <f t="shared" ca="1" si="32"/>
        <v>-217581.23901931164</v>
      </c>
      <c r="J105" s="142">
        <f t="shared" ca="1" si="33"/>
        <v>1784399.3359728071</v>
      </c>
      <c r="K105" s="76">
        <f t="shared" ca="1" si="34"/>
        <v>-0.10780033201359636</v>
      </c>
      <c r="L105" s="141">
        <f t="shared" ca="1" si="35"/>
        <v>-215600.66402719272</v>
      </c>
      <c r="M105" s="142">
        <f t="shared" ca="1" si="36"/>
        <v>1663616.5107075826</v>
      </c>
      <c r="N105" s="76">
        <f t="shared" ca="1" si="37"/>
        <v>-0.16819174464620862</v>
      </c>
      <c r="O105" s="141">
        <f t="shared" ca="1" si="38"/>
        <v>-336383.48929241742</v>
      </c>
    </row>
    <row r="106" spans="1:15" ht="16.5" customHeight="1">
      <c r="A106" s="153">
        <v>9</v>
      </c>
      <c r="B106" s="153" t="str">
        <f>TEXT(투자전략!$G$1+8, "[$-ko-KR]yyyy.mm.dd")</f>
        <v>2021.06.09</v>
      </c>
      <c r="C106" s="135">
        <f t="shared" ca="1" si="26"/>
        <v>2000000</v>
      </c>
      <c r="D106" s="139">
        <f t="shared" ca="1" si="27"/>
        <v>2078035.275230488</v>
      </c>
      <c r="E106" s="77">
        <f t="shared" ca="1" si="28"/>
        <v>3.901763761524412E-2</v>
      </c>
      <c r="F106" s="137">
        <f t="shared" ca="1" si="29"/>
        <v>78035.275230488245</v>
      </c>
      <c r="G106" s="139">
        <f t="shared" ca="1" si="30"/>
        <v>2100935.548010685</v>
      </c>
      <c r="H106" s="77">
        <f t="shared" ca="1" si="31"/>
        <v>5.0467774005342622E-2</v>
      </c>
      <c r="I106" s="137">
        <f t="shared" ca="1" si="32"/>
        <v>100935.54801068525</v>
      </c>
      <c r="J106" s="139">
        <f t="shared" ca="1" si="33"/>
        <v>2153155.8018509657</v>
      </c>
      <c r="K106" s="77">
        <f t="shared" ca="1" si="34"/>
        <v>7.6577900925482834E-2</v>
      </c>
      <c r="L106" s="137">
        <f t="shared" ca="1" si="35"/>
        <v>153155.80185096565</v>
      </c>
      <c r="M106" s="139">
        <f t="shared" ca="1" si="36"/>
        <v>2106236.7286137403</v>
      </c>
      <c r="N106" s="77">
        <f t="shared" ca="1" si="37"/>
        <v>5.3118364306870301E-2</v>
      </c>
      <c r="O106" s="137">
        <f t="shared" ca="1" si="38"/>
        <v>106236.72861374059</v>
      </c>
    </row>
    <row r="107" spans="1:15" ht="16.5" customHeight="1">
      <c r="A107" s="153">
        <v>10</v>
      </c>
      <c r="B107" s="153" t="str">
        <f>TEXT(투자전략!$G$1+9, "[$-ko-KR]yyyy.mm.dd")</f>
        <v>2021.06.10</v>
      </c>
      <c r="C107" s="135">
        <f t="shared" ca="1" si="26"/>
        <v>2000000</v>
      </c>
      <c r="D107" s="139">
        <f t="shared" ca="1" si="27"/>
        <v>2037699.353785679</v>
      </c>
      <c r="E107" s="77">
        <f t="shared" ca="1" si="28"/>
        <v>1.884967689283935E-2</v>
      </c>
      <c r="F107" s="137">
        <f t="shared" ca="1" si="29"/>
        <v>37699.353785678701</v>
      </c>
      <c r="G107" s="139">
        <f t="shared" ca="1" si="30"/>
        <v>2066237.6393561007</v>
      </c>
      <c r="H107" s="77">
        <f t="shared" ca="1" si="31"/>
        <v>3.311881967805029E-2</v>
      </c>
      <c r="I107" s="137">
        <f t="shared" ca="1" si="32"/>
        <v>66237.639356100583</v>
      </c>
      <c r="J107" s="139">
        <f t="shared" ca="1" si="33"/>
        <v>2057518.4254531979</v>
      </c>
      <c r="K107" s="77">
        <f t="shared" ca="1" si="34"/>
        <v>2.8759212726598999E-2</v>
      </c>
      <c r="L107" s="137">
        <f t="shared" ca="1" si="35"/>
        <v>57518.425453197997</v>
      </c>
      <c r="M107" s="139">
        <f t="shared" ca="1" si="36"/>
        <v>2031233.4530117449</v>
      </c>
      <c r="N107" s="77">
        <f t="shared" ca="1" si="37"/>
        <v>1.5616726505872435E-2</v>
      </c>
      <c r="O107" s="137">
        <f t="shared" ca="1" si="38"/>
        <v>31233.453011744874</v>
      </c>
    </row>
    <row r="108" spans="1:15" ht="16.5" customHeight="1">
      <c r="A108" s="153">
        <v>11</v>
      </c>
      <c r="B108" s="153" t="str">
        <f>TEXT(투자전략!$G$1+10, "[$-ko-KR]yyyy.mm.dd")</f>
        <v>2021.06.11</v>
      </c>
      <c r="C108" s="135">
        <f t="shared" ca="1" si="26"/>
        <v>2000000</v>
      </c>
      <c r="D108" s="139">
        <f t="shared" ca="1" si="27"/>
        <v>2088774.332746496</v>
      </c>
      <c r="E108" s="77">
        <f t="shared" ca="1" si="28"/>
        <v>4.438716637324798E-2</v>
      </c>
      <c r="F108" s="137">
        <f t="shared" ca="1" si="29"/>
        <v>88774.332746495958</v>
      </c>
      <c r="G108" s="139">
        <f t="shared" ca="1" si="30"/>
        <v>1743281.3637297277</v>
      </c>
      <c r="H108" s="77">
        <f t="shared" ca="1" si="31"/>
        <v>-0.12835931813513607</v>
      </c>
      <c r="I108" s="137">
        <f t="shared" ca="1" si="32"/>
        <v>-256718.63627027205</v>
      </c>
      <c r="J108" s="139">
        <f t="shared" ca="1" si="33"/>
        <v>1695804.5007199896</v>
      </c>
      <c r="K108" s="77">
        <f t="shared" ca="1" si="34"/>
        <v>-0.15209774964000525</v>
      </c>
      <c r="L108" s="137">
        <f t="shared" ca="1" si="35"/>
        <v>-304195.49928001052</v>
      </c>
      <c r="M108" s="139">
        <f t="shared" ca="1" si="36"/>
        <v>1690143.0406378787</v>
      </c>
      <c r="N108" s="77">
        <f t="shared" ca="1" si="37"/>
        <v>-0.15492847968106063</v>
      </c>
      <c r="O108" s="137">
        <f t="shared" ca="1" si="38"/>
        <v>-309856.95936212136</v>
      </c>
    </row>
    <row r="109" spans="1:15" ht="16.5" customHeight="1">
      <c r="A109" s="153">
        <v>12</v>
      </c>
      <c r="B109" s="153" t="str">
        <f>TEXT(투자전략!$G$1+11, "[$-ko-KR]yyyy.mm.dd")</f>
        <v>2021.06.12</v>
      </c>
      <c r="C109" s="135">
        <f t="shared" ca="1" si="26"/>
        <v>2000000</v>
      </c>
      <c r="D109" s="139">
        <f t="shared" ca="1" si="27"/>
        <v>1768558.1473080087</v>
      </c>
      <c r="E109" s="77">
        <f t="shared" ca="1" si="28"/>
        <v>-0.11572092634599562</v>
      </c>
      <c r="F109" s="137">
        <f t="shared" ca="1" si="29"/>
        <v>-231441.85269199123</v>
      </c>
      <c r="G109" s="139">
        <f t="shared" ca="1" si="30"/>
        <v>1775673.4021514643</v>
      </c>
      <c r="H109" s="77">
        <f t="shared" ca="1" si="31"/>
        <v>-0.11216329892426787</v>
      </c>
      <c r="I109" s="137">
        <f t="shared" ca="1" si="32"/>
        <v>-224326.59784853572</v>
      </c>
      <c r="J109" s="139">
        <f t="shared" ca="1" si="33"/>
        <v>1809303.986570982</v>
      </c>
      <c r="K109" s="77">
        <f t="shared" ca="1" si="34"/>
        <v>-9.5348006714508965E-2</v>
      </c>
      <c r="L109" s="137">
        <f t="shared" ca="1" si="35"/>
        <v>-190696.01342901797</v>
      </c>
      <c r="M109" s="139">
        <f t="shared" ca="1" si="36"/>
        <v>1817654.4274714924</v>
      </c>
      <c r="N109" s="77">
        <f t="shared" ca="1" si="37"/>
        <v>-9.1172786264253777E-2</v>
      </c>
      <c r="O109" s="137">
        <f t="shared" ca="1" si="38"/>
        <v>-182345.57252850762</v>
      </c>
    </row>
    <row r="110" spans="1:15" ht="16.5" customHeight="1">
      <c r="A110" s="153">
        <v>13</v>
      </c>
      <c r="B110" s="153" t="str">
        <f>TEXT(투자전략!$G$1+12, "[$-ko-KR]yyyy.mm.dd")</f>
        <v>2021.06.13</v>
      </c>
      <c r="C110" s="135">
        <f t="shared" ca="1" si="26"/>
        <v>2000000</v>
      </c>
      <c r="D110" s="139">
        <f t="shared" ca="1" si="27"/>
        <v>1961417.4497383949</v>
      </c>
      <c r="E110" s="77">
        <f t="shared" ca="1" si="28"/>
        <v>-1.9291275130802546E-2</v>
      </c>
      <c r="F110" s="137">
        <f t="shared" ca="1" si="29"/>
        <v>-38582.55026160508</v>
      </c>
      <c r="G110" s="139">
        <f t="shared" ca="1" si="30"/>
        <v>1999520.2222963329</v>
      </c>
      <c r="H110" s="77">
        <f t="shared" ca="1" si="31"/>
        <v>-2.3988885183358241E-4</v>
      </c>
      <c r="I110" s="137">
        <f t="shared" ca="1" si="32"/>
        <v>-479.77770366716459</v>
      </c>
      <c r="J110" s="139">
        <f t="shared" ca="1" si="33"/>
        <v>2004263.9040790454</v>
      </c>
      <c r="K110" s="77">
        <f t="shared" ca="1" si="34"/>
        <v>2.1319520395227162E-3</v>
      </c>
      <c r="L110" s="137">
        <f t="shared" ca="1" si="35"/>
        <v>4263.904079045431</v>
      </c>
      <c r="M110" s="139">
        <f t="shared" ca="1" si="36"/>
        <v>1991234.2722312978</v>
      </c>
      <c r="N110" s="77">
        <f t="shared" ca="1" si="37"/>
        <v>-4.3828638843510801E-3</v>
      </c>
      <c r="O110" s="137">
        <f t="shared" ca="1" si="38"/>
        <v>-8765.7277687021669</v>
      </c>
    </row>
    <row r="111" spans="1:15" ht="16.5" customHeight="1" thickBot="1">
      <c r="A111" s="155">
        <v>14</v>
      </c>
      <c r="B111" s="155" t="str">
        <f>TEXT(투자전략!$G$1+13, "[$-ko-KR]yyyy.mm.dd")</f>
        <v>2021.06.14</v>
      </c>
      <c r="C111" s="136">
        <f t="shared" ca="1" si="26"/>
        <v>2000000</v>
      </c>
      <c r="D111" s="140">
        <f t="shared" ca="1" si="27"/>
        <v>2060055.923878239</v>
      </c>
      <c r="E111" s="79">
        <f t="shared" ca="1" si="28"/>
        <v>3.0027961939119507E-2</v>
      </c>
      <c r="F111" s="138">
        <f t="shared" ca="1" si="29"/>
        <v>60055.923878239017</v>
      </c>
      <c r="G111" s="140">
        <f t="shared" ca="1" si="30"/>
        <v>2072189.2580086286</v>
      </c>
      <c r="H111" s="79">
        <f t="shared" ca="1" si="31"/>
        <v>3.6094629004314184E-2</v>
      </c>
      <c r="I111" s="138">
        <f t="shared" ca="1" si="32"/>
        <v>72189.258008628371</v>
      </c>
      <c r="J111" s="140">
        <f t="shared" ca="1" si="33"/>
        <v>2064834.0967898564</v>
      </c>
      <c r="K111" s="79">
        <f t="shared" ca="1" si="34"/>
        <v>3.2417048394928184E-2</v>
      </c>
      <c r="L111" s="138">
        <f t="shared" ca="1" si="35"/>
        <v>64834.096789856354</v>
      </c>
      <c r="M111" s="140">
        <f t="shared" ca="1" si="36"/>
        <v>2118520.0399960512</v>
      </c>
      <c r="N111" s="79">
        <f t="shared" ca="1" si="37"/>
        <v>5.9260019998025534E-2</v>
      </c>
      <c r="O111" s="138">
        <f t="shared" ca="1" si="38"/>
        <v>118520.03999605105</v>
      </c>
    </row>
    <row r="112" spans="1:15" ht="16.5" customHeight="1">
      <c r="A112" s="154">
        <v>15</v>
      </c>
      <c r="B112" s="154" t="str">
        <f>TEXT(투자전략!$G$1+14, "[$-ko-KR]yyyy.mm.dd")</f>
        <v>2021.06.15</v>
      </c>
      <c r="C112" s="135">
        <f t="shared" ca="1" si="26"/>
        <v>2000000</v>
      </c>
      <c r="D112" s="139">
        <f t="shared" ca="1" si="27"/>
        <v>2060646.8670782689</v>
      </c>
      <c r="E112" s="77">
        <f t="shared" ca="1" si="28"/>
        <v>3.0323433539134425E-2</v>
      </c>
      <c r="F112" s="137">
        <f t="shared" ca="1" si="29"/>
        <v>60646.867078268842</v>
      </c>
      <c r="G112" s="139">
        <f t="shared" ca="1" si="30"/>
        <v>2014932.5322689125</v>
      </c>
      <c r="H112" s="77">
        <f t="shared" ca="1" si="31"/>
        <v>7.4662661344561424E-3</v>
      </c>
      <c r="I112" s="137">
        <f t="shared" ca="1" si="32"/>
        <v>14932.532268912288</v>
      </c>
      <c r="J112" s="139">
        <f t="shared" ca="1" si="33"/>
        <v>2010541.6673904406</v>
      </c>
      <c r="K112" s="77">
        <f t="shared" ca="1" si="34"/>
        <v>5.2708336952202459E-3</v>
      </c>
      <c r="L112" s="137">
        <f t="shared" ca="1" si="35"/>
        <v>10541.667390440492</v>
      </c>
      <c r="M112" s="139">
        <f t="shared" ca="1" si="36"/>
        <v>2000381.9411400047</v>
      </c>
      <c r="N112" s="77">
        <f t="shared" ca="1" si="37"/>
        <v>1.9097057000224145E-4</v>
      </c>
      <c r="O112" s="137">
        <f t="shared" ca="1" si="38"/>
        <v>381.94114000448326</v>
      </c>
    </row>
    <row r="113" spans="1:15" ht="16.5" customHeight="1">
      <c r="A113" s="153">
        <v>16</v>
      </c>
      <c r="B113" s="153" t="str">
        <f>TEXT(투자전략!$G$1+15, "[$-ko-KR]yyyy.mm.dd")</f>
        <v>2021.06.16</v>
      </c>
      <c r="C113" s="135">
        <f t="shared" ca="1" si="26"/>
        <v>2000000</v>
      </c>
      <c r="D113" s="139">
        <f t="shared" ca="1" si="27"/>
        <v>2000000</v>
      </c>
      <c r="E113" s="77">
        <f t="shared" ca="1" si="28"/>
        <v>0</v>
      </c>
      <c r="F113" s="137">
        <f t="shared" ca="1" si="29"/>
        <v>0</v>
      </c>
      <c r="G113" s="139">
        <f t="shared" ca="1" si="30"/>
        <v>2000000</v>
      </c>
      <c r="H113" s="77">
        <f t="shared" ca="1" si="31"/>
        <v>0</v>
      </c>
      <c r="I113" s="137">
        <f t="shared" ca="1" si="32"/>
        <v>0</v>
      </c>
      <c r="J113" s="139">
        <f t="shared" ca="1" si="33"/>
        <v>1965341.115130973</v>
      </c>
      <c r="K113" s="77">
        <f t="shared" ca="1" si="34"/>
        <v>-1.7329442434513505E-2</v>
      </c>
      <c r="L113" s="137">
        <f t="shared" ca="1" si="35"/>
        <v>-34658.884869027017</v>
      </c>
      <c r="M113" s="139">
        <f t="shared" ca="1" si="36"/>
        <v>2000000</v>
      </c>
      <c r="N113" s="77">
        <f t="shared" ca="1" si="37"/>
        <v>0</v>
      </c>
      <c r="O113" s="137">
        <f t="shared" ca="1" si="38"/>
        <v>0</v>
      </c>
    </row>
    <row r="114" spans="1:15" ht="16.5" customHeight="1">
      <c r="A114" s="153">
        <v>17</v>
      </c>
      <c r="B114" s="153" t="str">
        <f>TEXT(투자전략!$G$1+16, "[$-ko-KR]yyyy.mm.dd")</f>
        <v>2021.06.17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2021.06.18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2021.06.19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2021.06.20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2021.06.21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2021.06.22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2021.06.23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2021.06.24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2021.06.25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2021.06.26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2021.06.27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2021.06.28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2021.06.29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2021.06.30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2021.07.01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74" t="s">
        <v>313</v>
      </c>
      <c r="B129" s="276"/>
      <c r="C129" s="132" t="s">
        <v>308</v>
      </c>
      <c r="D129" s="150" t="s">
        <v>309</v>
      </c>
      <c r="E129" s="151" t="s">
        <v>310</v>
      </c>
      <c r="F129" s="152" t="s">
        <v>311</v>
      </c>
      <c r="G129" s="150" t="s">
        <v>309</v>
      </c>
      <c r="H129" s="151" t="s">
        <v>310</v>
      </c>
      <c r="I129" s="152" t="s">
        <v>311</v>
      </c>
      <c r="J129" s="150" t="s">
        <v>309</v>
      </c>
      <c r="K129" s="151" t="s">
        <v>310</v>
      </c>
      <c r="L129" s="152" t="s">
        <v>311</v>
      </c>
      <c r="M129" s="150" t="s">
        <v>309</v>
      </c>
      <c r="N129" s="151" t="s">
        <v>310</v>
      </c>
      <c r="O129" s="152" t="s">
        <v>311</v>
      </c>
    </row>
    <row r="130" spans="1:15" ht="16.5" customHeight="1" thickBot="1">
      <c r="A130" s="267"/>
      <c r="B130" s="269"/>
      <c r="C130" s="136">
        <f ca="1">SUM(C98:C128)</f>
        <v>32000000</v>
      </c>
      <c r="D130" s="140">
        <f ca="1">SUM(D98:D128)</f>
        <v>32000776.967200451</v>
      </c>
      <c r="E130" s="79">
        <f ca="1">IFERROR(F130 / (SUM($C98:$C128) / COUNT($C98:$C128)), 0)</f>
        <v>3.8848360022682756E-4</v>
      </c>
      <c r="F130" s="138">
        <f ca="1">SUM(F98:F128)</f>
        <v>776.9672004536551</v>
      </c>
      <c r="G130" s="140">
        <f ca="1">SUM(G98:G128)</f>
        <v>31658342.023168236</v>
      </c>
      <c r="H130" s="79">
        <f ca="1">IFERROR(I130 / (SUM($C98:$C128) / COUNT($C98:$C128)), 0)</f>
        <v>-0.17082898841588229</v>
      </c>
      <c r="I130" s="138">
        <f ca="1">SUM(I98:I128)</f>
        <v>-341657.97683176456</v>
      </c>
      <c r="J130" s="140">
        <f ca="1">SUM(J98:J128)</f>
        <v>31548935.914185651</v>
      </c>
      <c r="K130" s="79">
        <f ca="1">IFERROR(L130 / (SUM($C98:$C128) / COUNT($C98:$C128)), 0)</f>
        <v>-0.2255320429071736</v>
      </c>
      <c r="L130" s="138">
        <f ca="1">SUM(L98:L128)</f>
        <v>-451064.0858143472</v>
      </c>
      <c r="M130" s="140">
        <f ca="1">SUM(M98:M128)</f>
        <v>31545390.093075737</v>
      </c>
      <c r="N130" s="79">
        <f ca="1">IFERROR(O130 / (SUM($C98:$C128) / COUNT($C98:$C128)), 0)</f>
        <v>-0.22730495346213092</v>
      </c>
      <c r="O130" s="138">
        <f ca="1">SUM(O98:O128)</f>
        <v>-454609.90692426183</v>
      </c>
    </row>
    <row r="132" spans="1:15" ht="16.5" customHeight="1" thickBot="1"/>
    <row r="133" spans="1:15" ht="16.5" customHeight="1" thickBot="1">
      <c r="A133" s="246" t="str">
        <f>TEXT(투자전략!$G$1, "[$-ko-KR]yyyy년 mm월 ") &amp; "전일대비 상승률 Top20 월말결산"</f>
        <v>2021년 06월 전일대비 상승률 Top20 월말결산</v>
      </c>
      <c r="B133" s="247"/>
      <c r="C133" s="247"/>
      <c r="D133" s="247"/>
      <c r="E133" s="247"/>
      <c r="F133" s="247"/>
      <c r="G133" s="247"/>
      <c r="H133" s="247"/>
      <c r="I133" s="247"/>
      <c r="J133" s="247"/>
      <c r="K133" s="247"/>
      <c r="L133" s="247"/>
      <c r="M133" s="247"/>
      <c r="N133" s="247"/>
      <c r="O133" s="248"/>
    </row>
    <row r="134" spans="1:15" ht="16.5" customHeight="1" thickBot="1">
      <c r="A134" s="290" t="s">
        <v>314</v>
      </c>
      <c r="B134" s="267" t="s">
        <v>312</v>
      </c>
      <c r="C134" s="269"/>
      <c r="D134" s="267" t="s">
        <v>304</v>
      </c>
      <c r="E134" s="268"/>
      <c r="F134" s="269"/>
      <c r="G134" s="267" t="s">
        <v>305</v>
      </c>
      <c r="H134" s="268"/>
      <c r="I134" s="269"/>
      <c r="J134" s="267" t="s">
        <v>306</v>
      </c>
      <c r="K134" s="268"/>
      <c r="L134" s="269"/>
      <c r="M134" s="267" t="s">
        <v>307</v>
      </c>
      <c r="N134" s="268"/>
      <c r="O134" s="269"/>
    </row>
    <row r="135" spans="1:15" ht="16.5" customHeight="1" thickBot="1">
      <c r="A135" s="283"/>
      <c r="B135" s="154" t="s">
        <v>302</v>
      </c>
      <c r="C135" s="154" t="s">
        <v>42</v>
      </c>
      <c r="D135" s="121" t="s">
        <v>303</v>
      </c>
      <c r="E135" s="133" t="s">
        <v>40</v>
      </c>
      <c r="F135" s="156" t="s">
        <v>41</v>
      </c>
      <c r="G135" s="121" t="s">
        <v>303</v>
      </c>
      <c r="H135" s="133" t="s">
        <v>40</v>
      </c>
      <c r="I135" s="156" t="s">
        <v>41</v>
      </c>
      <c r="J135" s="121" t="s">
        <v>303</v>
      </c>
      <c r="K135" s="133" t="s">
        <v>40</v>
      </c>
      <c r="L135" s="156" t="s">
        <v>41</v>
      </c>
      <c r="M135" s="121" t="s">
        <v>303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2021.06.01</v>
      </c>
      <c r="C136" s="134">
        <f ca="1">IFERROR(COUNTA(INDIRECT($B136&amp;"!A98:A117")) * INDIRECT($B136&amp;"!B118"), "")</f>
        <v>2000000</v>
      </c>
      <c r="D136" s="142">
        <f ca="1">IFERROR($C136 * (1 + E136), "")</f>
        <v>2080233.2576639738</v>
      </c>
      <c r="E136" s="76">
        <f ca="1">IFERROR(INDIRECT($B136&amp;"!E118"), "")</f>
        <v>4.0116628831986981E-2</v>
      </c>
      <c r="F136" s="141">
        <f ca="1">IFERROR(INDIRECT($B136&amp;"!F118"), "")</f>
        <v>80233.257663973956</v>
      </c>
      <c r="G136" s="142">
        <f ca="1">IFERROR($C136 * (1 + H136), "")</f>
        <v>2015255.7981332694</v>
      </c>
      <c r="H136" s="76">
        <f ca="1">IFERROR(INDIRECT($B136&amp;"!H118"), "")</f>
        <v>7.6278990666347937E-3</v>
      </c>
      <c r="I136" s="141">
        <f ca="1">IFERROR(INDIRECT($B136&amp;"!I118"), "")</f>
        <v>15255.798133269584</v>
      </c>
      <c r="J136" s="142">
        <f ca="1">IFERROR($C136 * (1 + K136), "")</f>
        <v>2048076.0718769222</v>
      </c>
      <c r="K136" s="76">
        <f ca="1">IFERROR(INDIRECT($B136&amp;"!K118"), "")</f>
        <v>2.4038035938461148E-2</v>
      </c>
      <c r="L136" s="141">
        <f ca="1">IFERROR(INDIRECT($B136&amp;"!L118"), "")</f>
        <v>48076.071876922295</v>
      </c>
      <c r="M136" s="142">
        <f ca="1">IFERROR($C136 * (1 + N136), "")</f>
        <v>2040489.046526762</v>
      </c>
      <c r="N136" s="76">
        <f ca="1">IFERROR(INDIRECT($B136&amp;"!N118"), "")</f>
        <v>2.0244523263380915E-2</v>
      </c>
      <c r="O136" s="141">
        <f ca="1">IFERROR(INDIRECT($B136&amp;"!O118"), "")</f>
        <v>40489.046526761827</v>
      </c>
    </row>
    <row r="137" spans="1:15" ht="16.5" customHeight="1">
      <c r="A137" s="153">
        <v>2</v>
      </c>
      <c r="B137" s="153" t="str">
        <f>TEXT(투자전략!$G$1+1, "[$-ko-KR]yyyy.mm.dd")</f>
        <v>2021.06.02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2042242.9221580268</v>
      </c>
      <c r="E137" s="77">
        <f t="shared" ref="E137:E166" ca="1" si="41">IFERROR(INDIRECT($B137&amp;"!E118"), "")</f>
        <v>2.112146107901337E-2</v>
      </c>
      <c r="F137" s="137">
        <f t="shared" ref="F137:F166" ca="1" si="42">IFERROR(INDIRECT($B137&amp;"!F118"), "")</f>
        <v>42242.92215802674</v>
      </c>
      <c r="G137" s="139">
        <f t="shared" ref="G137:G166" ca="1" si="43">IFERROR($C137 * (1 + H137), "")</f>
        <v>2040625.3524481123</v>
      </c>
      <c r="H137" s="77">
        <f t="shared" ref="H137:H166" ca="1" si="44">IFERROR(INDIRECT($B137&amp;"!H118"), "")</f>
        <v>2.0312676224056216E-2</v>
      </c>
      <c r="I137" s="137">
        <f t="shared" ref="I137:I166" ca="1" si="45">IFERROR(INDIRECT($B137&amp;"!I118"), "")</f>
        <v>40625.352448112433</v>
      </c>
      <c r="J137" s="139">
        <f t="shared" ref="J137:J166" ca="1" si="46">IFERROR($C137 * (1 + K137), "")</f>
        <v>2046496.7310825505</v>
      </c>
      <c r="K137" s="77">
        <f t="shared" ref="K137:K166" ca="1" si="47">IFERROR(INDIRECT($B137&amp;"!K118"), "")</f>
        <v>2.324836554127508E-2</v>
      </c>
      <c r="L137" s="137">
        <f t="shared" ref="L137:L166" ca="1" si="48">IFERROR(INDIRECT($B137&amp;"!L118"), "")</f>
        <v>46496.731082550155</v>
      </c>
      <c r="M137" s="139">
        <f t="shared" ref="M137:M166" ca="1" si="49">IFERROR($C137 * (1 + N137), "")</f>
        <v>2092326.1555831668</v>
      </c>
      <c r="N137" s="77">
        <f t="shared" ref="N137:N166" ca="1" si="50">IFERROR(INDIRECT($B137&amp;"!N118"), "")</f>
        <v>4.6163077791583268E-2</v>
      </c>
      <c r="O137" s="137">
        <f t="shared" ref="O137:O166" ca="1" si="51">IFERROR(INDIRECT($B137&amp;"!O118"), "")</f>
        <v>92326.155583166532</v>
      </c>
    </row>
    <row r="138" spans="1:15" ht="16.5" customHeight="1">
      <c r="A138" s="153">
        <v>3</v>
      </c>
      <c r="B138" s="153" t="str">
        <f>TEXT(투자전략!$G$1+2, "[$-ko-KR]yyyy.mm.dd")</f>
        <v>2021.06.03</v>
      </c>
      <c r="C138" s="135">
        <f t="shared" ca="1" si="39"/>
        <v>2000000</v>
      </c>
      <c r="D138" s="139">
        <f t="shared" ca="1" si="40"/>
        <v>2065862.1743469916</v>
      </c>
      <c r="E138" s="77">
        <f t="shared" ca="1" si="41"/>
        <v>3.2931087173495799E-2</v>
      </c>
      <c r="F138" s="137">
        <f t="shared" ca="1" si="42"/>
        <v>65862.174346991582</v>
      </c>
      <c r="G138" s="139">
        <f t="shared" ca="1" si="43"/>
        <v>2108693.1312484238</v>
      </c>
      <c r="H138" s="77">
        <f t="shared" ca="1" si="44"/>
        <v>5.4346565624212015E-2</v>
      </c>
      <c r="I138" s="137">
        <f t="shared" ca="1" si="45"/>
        <v>108693.13124842403</v>
      </c>
      <c r="J138" s="139">
        <f t="shared" ca="1" si="46"/>
        <v>2041060.1837882446</v>
      </c>
      <c r="K138" s="77">
        <f t="shared" ca="1" si="47"/>
        <v>2.053009189412229E-2</v>
      </c>
      <c r="L138" s="137">
        <f t="shared" ca="1" si="48"/>
        <v>41060.183788244576</v>
      </c>
      <c r="M138" s="139">
        <f t="shared" ca="1" si="49"/>
        <v>2054493.1377570608</v>
      </c>
      <c r="N138" s="77">
        <f t="shared" ca="1" si="50"/>
        <v>2.7246568878530442E-2</v>
      </c>
      <c r="O138" s="137">
        <f t="shared" ca="1" si="51"/>
        <v>54493.137757060889</v>
      </c>
    </row>
    <row r="139" spans="1:15" ht="16.5" customHeight="1">
      <c r="A139" s="153">
        <v>4</v>
      </c>
      <c r="B139" s="153" t="str">
        <f>TEXT(투자전략!$G$1+3, "[$-ko-KR]yyyy.mm.dd")</f>
        <v>2021.06.04</v>
      </c>
      <c r="C139" s="135">
        <f t="shared" ca="1" si="39"/>
        <v>2000000</v>
      </c>
      <c r="D139" s="139">
        <f t="shared" ca="1" si="40"/>
        <v>1964799.6065992073</v>
      </c>
      <c r="E139" s="77">
        <f t="shared" ca="1" si="41"/>
        <v>-1.7600196700396351E-2</v>
      </c>
      <c r="F139" s="137">
        <f t="shared" ca="1" si="42"/>
        <v>-35200.393400792702</v>
      </c>
      <c r="G139" s="139">
        <f t="shared" ca="1" si="43"/>
        <v>1880721.7294636071</v>
      </c>
      <c r="H139" s="77">
        <f t="shared" ca="1" si="44"/>
        <v>-5.9639135268196364E-2</v>
      </c>
      <c r="I139" s="137">
        <f t="shared" ca="1" si="45"/>
        <v>-119278.27053639272</v>
      </c>
      <c r="J139" s="139">
        <f t="shared" ca="1" si="46"/>
        <v>1814284.2718364894</v>
      </c>
      <c r="K139" s="77">
        <f t="shared" ca="1" si="47"/>
        <v>-9.2857864081755309E-2</v>
      </c>
      <c r="L139" s="137">
        <f t="shared" ca="1" si="48"/>
        <v>-185715.72816351056</v>
      </c>
      <c r="M139" s="139">
        <f t="shared" ca="1" si="49"/>
        <v>1897573.7475281672</v>
      </c>
      <c r="N139" s="77">
        <f t="shared" ca="1" si="50"/>
        <v>-5.1213126235916381E-2</v>
      </c>
      <c r="O139" s="137">
        <f t="shared" ca="1" si="51"/>
        <v>-102426.25247183278</v>
      </c>
    </row>
    <row r="140" spans="1:15" ht="16.5" customHeight="1">
      <c r="A140" s="153">
        <v>5</v>
      </c>
      <c r="B140" s="153" t="str">
        <f>TEXT(투자전략!$G$1+4, "[$-ko-KR]yyyy.mm.dd")</f>
        <v>2021.06.05</v>
      </c>
      <c r="C140" s="135">
        <f t="shared" ca="1" si="39"/>
        <v>2000000</v>
      </c>
      <c r="D140" s="139">
        <f t="shared" ca="1" si="40"/>
        <v>2053457.345365437</v>
      </c>
      <c r="E140" s="77">
        <f t="shared" ca="1" si="41"/>
        <v>2.6728672682718547E-2</v>
      </c>
      <c r="F140" s="137">
        <f t="shared" ca="1" si="42"/>
        <v>53457.345365437082</v>
      </c>
      <c r="G140" s="139">
        <f t="shared" ca="1" si="43"/>
        <v>2003988.3605512721</v>
      </c>
      <c r="H140" s="77">
        <f t="shared" ca="1" si="44"/>
        <v>1.9941802756359649E-3</v>
      </c>
      <c r="I140" s="137">
        <f t="shared" ca="1" si="45"/>
        <v>3988.3605512719332</v>
      </c>
      <c r="J140" s="139">
        <f t="shared" ca="1" si="46"/>
        <v>1969683.4324827346</v>
      </c>
      <c r="K140" s="77">
        <f t="shared" ca="1" si="47"/>
        <v>-1.5158283758632754E-2</v>
      </c>
      <c r="L140" s="137">
        <f t="shared" ca="1" si="48"/>
        <v>-30316.567517265503</v>
      </c>
      <c r="M140" s="139">
        <f t="shared" ca="1" si="49"/>
        <v>1994092.0257766538</v>
      </c>
      <c r="N140" s="77">
        <f t="shared" ca="1" si="50"/>
        <v>-2.9539871116730496E-3</v>
      </c>
      <c r="O140" s="137">
        <f t="shared" ca="1" si="51"/>
        <v>-5907.9742233461047</v>
      </c>
    </row>
    <row r="141" spans="1:15" ht="16.5" customHeight="1">
      <c r="A141" s="153">
        <v>6</v>
      </c>
      <c r="B141" s="153" t="str">
        <f>TEXT(투자전략!$G$1+5, "[$-ko-KR]yyyy.mm.dd")</f>
        <v>2021.06.06</v>
      </c>
      <c r="C141" s="135">
        <f t="shared" ca="1" si="39"/>
        <v>2000000</v>
      </c>
      <c r="D141" s="139">
        <f t="shared" ca="1" si="40"/>
        <v>2018982.2275083147</v>
      </c>
      <c r="E141" s="77">
        <f t="shared" ca="1" si="41"/>
        <v>9.4911137541572963E-3</v>
      </c>
      <c r="F141" s="137">
        <f t="shared" ca="1" si="42"/>
        <v>18982.227508314583</v>
      </c>
      <c r="G141" s="139">
        <f t="shared" ca="1" si="43"/>
        <v>2014271.3208808899</v>
      </c>
      <c r="H141" s="77">
        <f t="shared" ca="1" si="44"/>
        <v>7.1356604404449794E-3</v>
      </c>
      <c r="I141" s="137">
        <f t="shared" ca="1" si="45"/>
        <v>14271.32088088996</v>
      </c>
      <c r="J141" s="139">
        <f t="shared" ca="1" si="46"/>
        <v>1999353.1478214546</v>
      </c>
      <c r="K141" s="77">
        <f t="shared" ca="1" si="47"/>
        <v>-3.234260892726692E-4</v>
      </c>
      <c r="L141" s="137">
        <f t="shared" ca="1" si="48"/>
        <v>-646.85217854533983</v>
      </c>
      <c r="M141" s="139">
        <f t="shared" ca="1" si="49"/>
        <v>2004250.6923491606</v>
      </c>
      <c r="N141" s="77">
        <f t="shared" ca="1" si="50"/>
        <v>2.1253461745802324E-3</v>
      </c>
      <c r="O141" s="137">
        <f t="shared" ca="1" si="51"/>
        <v>4250.692349160463</v>
      </c>
    </row>
    <row r="142" spans="1:15" ht="16.5" customHeight="1" thickBot="1">
      <c r="A142" s="155">
        <v>7</v>
      </c>
      <c r="B142" s="155" t="str">
        <f>TEXT(투자전략!$G$1+6, "[$-ko-KR]yyyy.mm.dd")</f>
        <v>2021.06.07</v>
      </c>
      <c r="C142" s="135">
        <f t="shared" ca="1" si="39"/>
        <v>2000000</v>
      </c>
      <c r="D142" s="139">
        <f t="shared" ca="1" si="40"/>
        <v>2079934.5601973908</v>
      </c>
      <c r="E142" s="77">
        <f t="shared" ca="1" si="41"/>
        <v>3.9967280098695421E-2</v>
      </c>
      <c r="F142" s="137">
        <f t="shared" ca="1" si="42"/>
        <v>79934.56019739082</v>
      </c>
      <c r="G142" s="139">
        <f t="shared" ca="1" si="43"/>
        <v>2088359.047819491</v>
      </c>
      <c r="H142" s="77">
        <f t="shared" ca="1" si="44"/>
        <v>4.4179523909745451E-2</v>
      </c>
      <c r="I142" s="137">
        <f t="shared" ca="1" si="45"/>
        <v>88359.047819490879</v>
      </c>
      <c r="J142" s="139">
        <f t="shared" ca="1" si="46"/>
        <v>2105806.62654546</v>
      </c>
      <c r="K142" s="77">
        <f t="shared" ca="1" si="47"/>
        <v>5.2903313272729943E-2</v>
      </c>
      <c r="L142" s="137">
        <f t="shared" ca="1" si="48"/>
        <v>105806.62654545991</v>
      </c>
      <c r="M142" s="139">
        <f t="shared" ca="1" si="49"/>
        <v>2074652.5348418232</v>
      </c>
      <c r="N142" s="77">
        <f t="shared" ca="1" si="50"/>
        <v>3.7326267420911621E-2</v>
      </c>
      <c r="O142" s="137">
        <f t="shared" ca="1" si="51"/>
        <v>74652.534841823246</v>
      </c>
    </row>
    <row r="143" spans="1:15" ht="16.5" customHeight="1">
      <c r="A143" s="154">
        <v>8</v>
      </c>
      <c r="B143" s="154" t="str">
        <f>TEXT(투자전략!$G$1+7, "[$-ko-KR]yyyy.mm.dd")</f>
        <v>2021.06.08</v>
      </c>
      <c r="C143" s="134">
        <f t="shared" ca="1" si="39"/>
        <v>2000000</v>
      </c>
      <c r="D143" s="142">
        <f t="shared" ca="1" si="40"/>
        <v>1753065.5061771725</v>
      </c>
      <c r="E143" s="76">
        <f t="shared" ca="1" si="41"/>
        <v>-0.12346724691141371</v>
      </c>
      <c r="F143" s="141">
        <f t="shared" ca="1" si="42"/>
        <v>-246934.49382282744</v>
      </c>
      <c r="G143" s="142">
        <f t="shared" ca="1" si="43"/>
        <v>1778267.8937888986</v>
      </c>
      <c r="H143" s="76">
        <f t="shared" ca="1" si="44"/>
        <v>-0.11086605310555071</v>
      </c>
      <c r="I143" s="141">
        <f t="shared" ca="1" si="45"/>
        <v>-221732.1062111014</v>
      </c>
      <c r="J143" s="142">
        <f t="shared" ca="1" si="46"/>
        <v>1782462.5673658198</v>
      </c>
      <c r="K143" s="76">
        <f t="shared" ca="1" si="47"/>
        <v>-0.10876871631709011</v>
      </c>
      <c r="L143" s="141">
        <f t="shared" ca="1" si="48"/>
        <v>-217537.43263418021</v>
      </c>
      <c r="M143" s="142">
        <f t="shared" ca="1" si="49"/>
        <v>1652449.0339681117</v>
      </c>
      <c r="N143" s="76">
        <f t="shared" ca="1" si="50"/>
        <v>-0.17377548301594414</v>
      </c>
      <c r="O143" s="141">
        <f t="shared" ca="1" si="51"/>
        <v>-347550.96603188821</v>
      </c>
    </row>
    <row r="144" spans="1:15" ht="16.5" customHeight="1">
      <c r="A144" s="153">
        <v>9</v>
      </c>
      <c r="B144" s="153" t="str">
        <f>TEXT(투자전략!$G$1+8, "[$-ko-KR]yyyy.mm.dd")</f>
        <v>2021.06.09</v>
      </c>
      <c r="C144" s="135">
        <f t="shared" ca="1" si="39"/>
        <v>2000000</v>
      </c>
      <c r="D144" s="139">
        <f t="shared" ca="1" si="40"/>
        <v>2080212.8685791418</v>
      </c>
      <c r="E144" s="77">
        <f t="shared" ca="1" si="41"/>
        <v>4.0106434289570857E-2</v>
      </c>
      <c r="F144" s="137">
        <f t="shared" ca="1" si="42"/>
        <v>80212.868579141708</v>
      </c>
      <c r="G144" s="139">
        <f t="shared" ca="1" si="43"/>
        <v>2113127.8553661536</v>
      </c>
      <c r="H144" s="77">
        <f t="shared" ca="1" si="44"/>
        <v>5.656392768307681E-2</v>
      </c>
      <c r="I144" s="137">
        <f t="shared" ca="1" si="45"/>
        <v>113127.85536615363</v>
      </c>
      <c r="J144" s="139">
        <f t="shared" ca="1" si="46"/>
        <v>2152784.950244288</v>
      </c>
      <c r="K144" s="77">
        <f t="shared" ca="1" si="47"/>
        <v>7.639247512214406E-2</v>
      </c>
      <c r="L144" s="137">
        <f t="shared" ca="1" si="48"/>
        <v>152784.95024428811</v>
      </c>
      <c r="M144" s="139">
        <f t="shared" ca="1" si="49"/>
        <v>2114108.9482026342</v>
      </c>
      <c r="N144" s="77">
        <f t="shared" ca="1" si="50"/>
        <v>5.7054474101317018E-2</v>
      </c>
      <c r="O144" s="137">
        <f t="shared" ca="1" si="51"/>
        <v>114108.94820263403</v>
      </c>
    </row>
    <row r="145" spans="1:15" ht="16.5" customHeight="1">
      <c r="A145" s="153">
        <v>10</v>
      </c>
      <c r="B145" s="153" t="str">
        <f>TEXT(투자전략!$G$1+9, "[$-ko-KR]yyyy.mm.dd")</f>
        <v>2021.06.10</v>
      </c>
      <c r="C145" s="135">
        <f t="shared" ca="1" si="39"/>
        <v>2000000</v>
      </c>
      <c r="D145" s="139">
        <f t="shared" ca="1" si="40"/>
        <v>2037377.7704408811</v>
      </c>
      <c r="E145" s="77">
        <f t="shared" ca="1" si="41"/>
        <v>1.8688885220440481E-2</v>
      </c>
      <c r="F145" s="137">
        <f t="shared" ca="1" si="42"/>
        <v>37377.770440880951</v>
      </c>
      <c r="G145" s="139">
        <f t="shared" ca="1" si="43"/>
        <v>2054791.9610721683</v>
      </c>
      <c r="H145" s="77">
        <f t="shared" ca="1" si="44"/>
        <v>2.7395980536084209E-2</v>
      </c>
      <c r="I145" s="137">
        <f t="shared" ca="1" si="45"/>
        <v>54791.961072168408</v>
      </c>
      <c r="J145" s="139">
        <f t="shared" ca="1" si="46"/>
        <v>2049686.2387562643</v>
      </c>
      <c r="K145" s="77">
        <f t="shared" ca="1" si="47"/>
        <v>2.4843119378132175E-2</v>
      </c>
      <c r="L145" s="137">
        <f t="shared" ca="1" si="48"/>
        <v>49686.238756264363</v>
      </c>
      <c r="M145" s="139">
        <f t="shared" ca="1" si="49"/>
        <v>2026139.329331178</v>
      </c>
      <c r="N145" s="77">
        <f t="shared" ca="1" si="50"/>
        <v>1.3069664665588898E-2</v>
      </c>
      <c r="O145" s="137">
        <f t="shared" ca="1" si="51"/>
        <v>26139.329331177796</v>
      </c>
    </row>
    <row r="146" spans="1:15" ht="16.5" customHeight="1">
      <c r="A146" s="153">
        <v>11</v>
      </c>
      <c r="B146" s="153" t="str">
        <f>TEXT(투자전략!$G$1+10, "[$-ko-KR]yyyy.mm.dd")</f>
        <v>2021.06.11</v>
      </c>
      <c r="C146" s="135">
        <f t="shared" ca="1" si="39"/>
        <v>2000000</v>
      </c>
      <c r="D146" s="139">
        <f t="shared" ca="1" si="40"/>
        <v>2153308.6337000844</v>
      </c>
      <c r="E146" s="77">
        <f t="shared" ca="1" si="41"/>
        <v>7.6654316850042273E-2</v>
      </c>
      <c r="F146" s="137">
        <f t="shared" ca="1" si="42"/>
        <v>153308.63370008455</v>
      </c>
      <c r="G146" s="139">
        <f t="shared" ca="1" si="43"/>
        <v>1701352.8163625051</v>
      </c>
      <c r="H146" s="77">
        <f t="shared" ca="1" si="44"/>
        <v>-0.14932359181874741</v>
      </c>
      <c r="I146" s="137">
        <f t="shared" ca="1" si="45"/>
        <v>-298647.18363749486</v>
      </c>
      <c r="J146" s="139">
        <f t="shared" ca="1" si="46"/>
        <v>1653669.0325550975</v>
      </c>
      <c r="K146" s="77">
        <f t="shared" ca="1" si="47"/>
        <v>-0.17316548372245127</v>
      </c>
      <c r="L146" s="137">
        <f t="shared" ca="1" si="48"/>
        <v>-346330.96744490264</v>
      </c>
      <c r="M146" s="139">
        <f t="shared" ca="1" si="49"/>
        <v>1650135.1374019687</v>
      </c>
      <c r="N146" s="77">
        <f t="shared" ca="1" si="50"/>
        <v>-0.17493243129901567</v>
      </c>
      <c r="O146" s="137">
        <f t="shared" ca="1" si="51"/>
        <v>-349864.86259803141</v>
      </c>
    </row>
    <row r="147" spans="1:15" ht="16.5" customHeight="1">
      <c r="A147" s="153">
        <v>12</v>
      </c>
      <c r="B147" s="153" t="str">
        <f>TEXT(투자전략!$G$1+11, "[$-ko-KR]yyyy.mm.dd")</f>
        <v>2021.06.12</v>
      </c>
      <c r="C147" s="135">
        <f t="shared" ca="1" si="39"/>
        <v>2000000</v>
      </c>
      <c r="D147" s="139">
        <f t="shared" ca="1" si="40"/>
        <v>1778720.6823213797</v>
      </c>
      <c r="E147" s="77">
        <f t="shared" ca="1" si="41"/>
        <v>-0.11063965883931012</v>
      </c>
      <c r="F147" s="137">
        <f t="shared" ca="1" si="42"/>
        <v>-221279.31767862025</v>
      </c>
      <c r="G147" s="139">
        <f t="shared" ca="1" si="43"/>
        <v>1789788.859011143</v>
      </c>
      <c r="H147" s="77">
        <f t="shared" ca="1" si="44"/>
        <v>-0.10510557049442848</v>
      </c>
      <c r="I147" s="137">
        <f t="shared" ca="1" si="45"/>
        <v>-210211.14098885693</v>
      </c>
      <c r="J147" s="139">
        <f t="shared" ca="1" si="46"/>
        <v>1823447.6253980894</v>
      </c>
      <c r="K147" s="77">
        <f t="shared" ca="1" si="47"/>
        <v>-8.8276187300955308E-2</v>
      </c>
      <c r="L147" s="137">
        <f t="shared" ca="1" si="48"/>
        <v>-176552.37460191065</v>
      </c>
      <c r="M147" s="139">
        <f t="shared" ca="1" si="49"/>
        <v>1826298.1859882213</v>
      </c>
      <c r="N147" s="77">
        <f t="shared" ca="1" si="50"/>
        <v>-8.6850907005889322E-2</v>
      </c>
      <c r="O147" s="137">
        <f t="shared" ca="1" si="51"/>
        <v>-173701.81401177862</v>
      </c>
    </row>
    <row r="148" spans="1:15" ht="16.5" customHeight="1">
      <c r="A148" s="153">
        <v>13</v>
      </c>
      <c r="B148" s="153" t="str">
        <f>TEXT(투자전략!$G$1+12, "[$-ko-KR]yyyy.mm.dd")</f>
        <v>2021.06.13</v>
      </c>
      <c r="C148" s="135">
        <f t="shared" ca="1" si="39"/>
        <v>2000000</v>
      </c>
      <c r="D148" s="139">
        <f t="shared" ca="1" si="40"/>
        <v>1923195.4958724347</v>
      </c>
      <c r="E148" s="77">
        <f t="shared" ca="1" si="41"/>
        <v>-3.8402252063782623E-2</v>
      </c>
      <c r="F148" s="137">
        <f t="shared" ca="1" si="42"/>
        <v>-76804.504127565247</v>
      </c>
      <c r="G148" s="139">
        <f t="shared" ca="1" si="43"/>
        <v>1957714.0730621391</v>
      </c>
      <c r="H148" s="77">
        <f t="shared" ca="1" si="44"/>
        <v>-2.1142963468930402E-2</v>
      </c>
      <c r="I148" s="137">
        <f t="shared" ca="1" si="45"/>
        <v>-42285.926937860801</v>
      </c>
      <c r="J148" s="139">
        <f t="shared" ca="1" si="46"/>
        <v>1949522.9439967941</v>
      </c>
      <c r="K148" s="77">
        <f t="shared" ca="1" si="47"/>
        <v>-2.5238528001602922E-2</v>
      </c>
      <c r="L148" s="137">
        <f t="shared" ca="1" si="48"/>
        <v>-50477.05600320582</v>
      </c>
      <c r="M148" s="139">
        <f t="shared" ca="1" si="49"/>
        <v>1921832.5892241183</v>
      </c>
      <c r="N148" s="77">
        <f t="shared" ca="1" si="50"/>
        <v>-3.908370538794078E-2</v>
      </c>
      <c r="O148" s="137">
        <f t="shared" ca="1" si="51"/>
        <v>-78167.410775881552</v>
      </c>
    </row>
    <row r="149" spans="1:15" ht="16.5" customHeight="1" thickBot="1">
      <c r="A149" s="155">
        <v>14</v>
      </c>
      <c r="B149" s="155" t="str">
        <f>TEXT(투자전략!$G$1+13, "[$-ko-KR]yyyy.mm.dd")</f>
        <v>2021.06.14</v>
      </c>
      <c r="C149" s="136">
        <f t="shared" ca="1" si="39"/>
        <v>2000000</v>
      </c>
      <c r="D149" s="140">
        <f t="shared" ca="1" si="40"/>
        <v>2061988.2193936915</v>
      </c>
      <c r="E149" s="79">
        <f t="shared" ca="1" si="41"/>
        <v>3.0994109696845889E-2</v>
      </c>
      <c r="F149" s="138">
        <f t="shared" ca="1" si="42"/>
        <v>61988.21939369179</v>
      </c>
      <c r="G149" s="140">
        <f t="shared" ca="1" si="43"/>
        <v>2086254.3694167116</v>
      </c>
      <c r="H149" s="79">
        <f t="shared" ca="1" si="44"/>
        <v>4.312718470835588E-2</v>
      </c>
      <c r="I149" s="138">
        <f t="shared" ca="1" si="45"/>
        <v>86254.369416711794</v>
      </c>
      <c r="J149" s="140">
        <f t="shared" ca="1" si="46"/>
        <v>2065491.9145589545</v>
      </c>
      <c r="K149" s="79">
        <f t="shared" ca="1" si="47"/>
        <v>3.2745957279477336E-2</v>
      </c>
      <c r="L149" s="138">
        <f t="shared" ca="1" si="48"/>
        <v>65491.914558954682</v>
      </c>
      <c r="M149" s="140">
        <f t="shared" ca="1" si="49"/>
        <v>2114314.927210595</v>
      </c>
      <c r="N149" s="79">
        <f t="shared" ca="1" si="50"/>
        <v>5.7157463605297346E-2</v>
      </c>
      <c r="O149" s="138">
        <f t="shared" ca="1" si="51"/>
        <v>114314.92721059466</v>
      </c>
    </row>
    <row r="150" spans="1:15" ht="16.5" customHeight="1">
      <c r="A150" s="154">
        <v>15</v>
      </c>
      <c r="B150" s="154" t="str">
        <f>TEXT(투자전략!$G$1+14, "[$-ko-KR]yyyy.mm.dd")</f>
        <v>2021.06.15</v>
      </c>
      <c r="C150" s="135">
        <f t="shared" ca="1" si="39"/>
        <v>2000000</v>
      </c>
      <c r="D150" s="139">
        <f t="shared" ca="1" si="40"/>
        <v>2169834.6082405173</v>
      </c>
      <c r="E150" s="77">
        <f t="shared" ca="1" si="41"/>
        <v>8.4917304120258733E-2</v>
      </c>
      <c r="F150" s="137">
        <f t="shared" ca="1" si="42"/>
        <v>169834.60824051744</v>
      </c>
      <c r="G150" s="139">
        <f t="shared" ca="1" si="43"/>
        <v>2087677.4119462892</v>
      </c>
      <c r="H150" s="77">
        <f t="shared" ca="1" si="44"/>
        <v>4.3838705973144709E-2</v>
      </c>
      <c r="I150" s="137">
        <f t="shared" ca="1" si="45"/>
        <v>87677.41194628943</v>
      </c>
      <c r="J150" s="139">
        <f t="shared" ca="1" si="46"/>
        <v>2088549.4824494107</v>
      </c>
      <c r="K150" s="77">
        <f t="shared" ca="1" si="47"/>
        <v>4.4274741224705275E-2</v>
      </c>
      <c r="L150" s="137">
        <f t="shared" ca="1" si="48"/>
        <v>88549.482449410541</v>
      </c>
      <c r="M150" s="139">
        <f t="shared" ca="1" si="49"/>
        <v>2066059.4087499543</v>
      </c>
      <c r="N150" s="77">
        <f t="shared" ca="1" si="50"/>
        <v>3.3029704374977313E-2</v>
      </c>
      <c r="O150" s="137">
        <f t="shared" ca="1" si="51"/>
        <v>66059.408749954629</v>
      </c>
    </row>
    <row r="151" spans="1:15" ht="16.5" customHeight="1">
      <c r="A151" s="153">
        <v>16</v>
      </c>
      <c r="B151" s="153" t="str">
        <f>TEXT(투자전략!$G$1+15, "[$-ko-KR]yyyy.mm.dd")</f>
        <v>2021.06.16</v>
      </c>
      <c r="C151" s="135">
        <f t="shared" ca="1" si="39"/>
        <v>2000000</v>
      </c>
      <c r="D151" s="139">
        <f t="shared" ca="1" si="40"/>
        <v>2000000</v>
      </c>
      <c r="E151" s="77">
        <f t="shared" ca="1" si="41"/>
        <v>0</v>
      </c>
      <c r="F151" s="137">
        <f t="shared" ca="1" si="42"/>
        <v>0</v>
      </c>
      <c r="G151" s="139">
        <f t="shared" ca="1" si="43"/>
        <v>2000000</v>
      </c>
      <c r="H151" s="77">
        <f t="shared" ca="1" si="44"/>
        <v>0</v>
      </c>
      <c r="I151" s="137">
        <f t="shared" ca="1" si="45"/>
        <v>0</v>
      </c>
      <c r="J151" s="139">
        <f t="shared" ca="1" si="46"/>
        <v>1874606.4896142185</v>
      </c>
      <c r="K151" s="77">
        <f t="shared" ca="1" si="47"/>
        <v>-6.269675519289071E-2</v>
      </c>
      <c r="L151" s="137">
        <f t="shared" ca="1" si="48"/>
        <v>-125393.51038578144</v>
      </c>
      <c r="M151" s="139">
        <f t="shared" ca="1" si="49"/>
        <v>2000000</v>
      </c>
      <c r="N151" s="77">
        <f t="shared" ca="1" si="50"/>
        <v>0</v>
      </c>
      <c r="O151" s="137">
        <f t="shared" ca="1" si="51"/>
        <v>0</v>
      </c>
    </row>
    <row r="152" spans="1:15" ht="16.5" customHeight="1">
      <c r="A152" s="153">
        <v>17</v>
      </c>
      <c r="B152" s="153" t="str">
        <f>TEXT(투자전략!$G$1+16, "[$-ko-KR]yyyy.mm.dd")</f>
        <v>2021.06.17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2021.06.18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2021.06.19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2021.06.20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2021.06.21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2021.06.22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2021.06.23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2021.06.24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2021.06.25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2021.06.26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2021.06.27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2021.06.28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2021.06.29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2021.06.30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2021.07.01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74" t="s">
        <v>313</v>
      </c>
      <c r="B167" s="276"/>
      <c r="C167" s="132" t="s">
        <v>308</v>
      </c>
      <c r="D167" s="150" t="s">
        <v>309</v>
      </c>
      <c r="E167" s="151" t="s">
        <v>310</v>
      </c>
      <c r="F167" s="152" t="s">
        <v>311</v>
      </c>
      <c r="G167" s="150" t="s">
        <v>309</v>
      </c>
      <c r="H167" s="151" t="s">
        <v>310</v>
      </c>
      <c r="I167" s="152" t="s">
        <v>311</v>
      </c>
      <c r="J167" s="150" t="s">
        <v>309</v>
      </c>
      <c r="K167" s="151" t="s">
        <v>310</v>
      </c>
      <c r="L167" s="152" t="s">
        <v>311</v>
      </c>
      <c r="M167" s="150" t="s">
        <v>309</v>
      </c>
      <c r="N167" s="151" t="s">
        <v>310</v>
      </c>
      <c r="O167" s="152" t="s">
        <v>311</v>
      </c>
    </row>
    <row r="168" spans="1:15" ht="16.5" customHeight="1" thickBot="1">
      <c r="A168" s="267"/>
      <c r="B168" s="269"/>
      <c r="C168" s="136">
        <f ca="1">SUM(C136:C166)</f>
        <v>32000000</v>
      </c>
      <c r="D168" s="140">
        <f ca="1">SUM(D136:D166)</f>
        <v>32263215.878564645</v>
      </c>
      <c r="E168" s="79">
        <f ca="1">IFERROR(F168 / (SUM($C136:$C166) / COUNT($C136:$C166)), 0)</f>
        <v>0.13160793928232278</v>
      </c>
      <c r="F168" s="138">
        <f ca="1">SUM(F136:F166)</f>
        <v>263215.87856464559</v>
      </c>
      <c r="G168" s="140">
        <f ca="1">SUM(G136:G166)</f>
        <v>31720889.980571073</v>
      </c>
      <c r="H168" s="79">
        <f ca="1">IFERROR(I168 / (SUM($C136:$C166) / COUNT($C136:$C166)), 0)</f>
        <v>-0.13955500971446233</v>
      </c>
      <c r="I168" s="138">
        <f ca="1">SUM(I136:I166)</f>
        <v>-279110.01942892466</v>
      </c>
      <c r="J168" s="140">
        <f ca="1">SUM(J136:J166)</f>
        <v>31464981.710372791</v>
      </c>
      <c r="K168" s="79">
        <f ca="1">IFERROR(L168 / (SUM($C136:$C166) / COUNT($C136:$C166)), 0)</f>
        <v>-0.26750914481360377</v>
      </c>
      <c r="L168" s="138">
        <f ca="1">SUM(L136:L166)</f>
        <v>-535018.28962720756</v>
      </c>
      <c r="M168" s="140">
        <f ca="1">SUM(M136:M166)</f>
        <v>31529214.900439575</v>
      </c>
      <c r="N168" s="79">
        <f ca="1">IFERROR(O168 / (SUM($C136:$C166) / COUNT($C136:$C166)), 0)</f>
        <v>-0.23539254978021235</v>
      </c>
      <c r="O168" s="138">
        <f ca="1">SUM(O136:O166)</f>
        <v>-470785.09956042469</v>
      </c>
    </row>
    <row r="170" spans="1:15" ht="16.5" customHeight="1" thickBot="1"/>
    <row r="171" spans="1:15" ht="16.5" customHeight="1" thickBot="1">
      <c r="A171" s="246" t="str">
        <f>TEXT(투자전략!$G$1, "[$-ko-KR]yyyy년 mm월 ") &amp; "[엽전코인] 전일대비 상승률 Bottom20 월말결산"</f>
        <v>2021년 06월 [엽전코인] 전일대비 상승률 Bottom20 월말결산</v>
      </c>
      <c r="B171" s="247"/>
      <c r="C171" s="247"/>
      <c r="D171" s="247"/>
      <c r="E171" s="247"/>
      <c r="F171" s="247"/>
      <c r="G171" s="247"/>
      <c r="H171" s="247"/>
      <c r="I171" s="247"/>
      <c r="J171" s="247"/>
      <c r="K171" s="247"/>
      <c r="L171" s="247"/>
      <c r="M171" s="247"/>
      <c r="N171" s="247"/>
      <c r="O171" s="248"/>
    </row>
    <row r="172" spans="1:15" ht="16.5" customHeight="1" thickBot="1">
      <c r="A172" s="290" t="s">
        <v>314</v>
      </c>
      <c r="B172" s="267" t="s">
        <v>312</v>
      </c>
      <c r="C172" s="269"/>
      <c r="D172" s="267" t="s">
        <v>304</v>
      </c>
      <c r="E172" s="268"/>
      <c r="F172" s="269"/>
      <c r="G172" s="267" t="s">
        <v>305</v>
      </c>
      <c r="H172" s="268"/>
      <c r="I172" s="269"/>
      <c r="J172" s="267" t="s">
        <v>306</v>
      </c>
      <c r="K172" s="268"/>
      <c r="L172" s="269"/>
      <c r="M172" s="267" t="s">
        <v>307</v>
      </c>
      <c r="N172" s="268"/>
      <c r="O172" s="269"/>
    </row>
    <row r="173" spans="1:15" ht="16.5" customHeight="1" thickBot="1">
      <c r="A173" s="283"/>
      <c r="B173" s="154" t="s">
        <v>302</v>
      </c>
      <c r="C173" s="154" t="s">
        <v>42</v>
      </c>
      <c r="D173" s="121" t="s">
        <v>303</v>
      </c>
      <c r="E173" s="133" t="s">
        <v>40</v>
      </c>
      <c r="F173" s="156" t="s">
        <v>41</v>
      </c>
      <c r="G173" s="121" t="s">
        <v>303</v>
      </c>
      <c r="H173" s="133" t="s">
        <v>40</v>
      </c>
      <c r="I173" s="156" t="s">
        <v>41</v>
      </c>
      <c r="J173" s="121" t="s">
        <v>303</v>
      </c>
      <c r="K173" s="133" t="s">
        <v>40</v>
      </c>
      <c r="L173" s="156" t="s">
        <v>41</v>
      </c>
      <c r="M173" s="121" t="s">
        <v>303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2021.06.01</v>
      </c>
      <c r="C174" s="134">
        <f ca="1">IFERROR(COUNTA(INDIRECT($B174&amp;"!A125:A144")) * INDIRECT($B174&amp;"!B145"), "")</f>
        <v>2000000</v>
      </c>
      <c r="D174" s="142">
        <f ca="1">IFERROR($C174 * (1 + E174), "")</f>
        <v>2042335.9707226388</v>
      </c>
      <c r="E174" s="76">
        <f ca="1">IFERROR(INDIRECT($B174&amp;"!E145"), "")</f>
        <v>2.1167985361319364E-2</v>
      </c>
      <c r="F174" s="141">
        <f ca="1">IFERROR(INDIRECT($B174&amp;"!F145"), "")</f>
        <v>42335.970722638733</v>
      </c>
      <c r="G174" s="142">
        <f ca="1">IFERROR($C174 * (1 + H174), "")</f>
        <v>2002375.2723228752</v>
      </c>
      <c r="H174" s="76">
        <f ca="1">IFERROR(INDIRECT($B174&amp;"!H145"), "")</f>
        <v>1.18763616143751E-3</v>
      </c>
      <c r="I174" s="141">
        <f ca="1">IFERROR(INDIRECT($B174&amp;"!I145"), "")</f>
        <v>2375.2723228750201</v>
      </c>
      <c r="J174" s="142">
        <f ca="1">IFERROR($C174 * (1 + K174), "")</f>
        <v>2021368.1450868491</v>
      </c>
      <c r="K174" s="76">
        <f ca="1">IFERROR(INDIRECT($B174&amp;"!K145"), "")</f>
        <v>1.0684072543424414E-2</v>
      </c>
      <c r="L174" s="141">
        <f ca="1">IFERROR(INDIRECT($B174&amp;"!L145"), "")</f>
        <v>21368.145086848825</v>
      </c>
      <c r="M174" s="142">
        <f ca="1">IFERROR($C174 * (1 + N174), "")</f>
        <v>2018408.3998367051</v>
      </c>
      <c r="N174" s="76">
        <f ca="1">IFERROR(INDIRECT($B174&amp;"!N145"), "")</f>
        <v>9.2041999183524754E-3</v>
      </c>
      <c r="O174" s="141">
        <f ca="1">IFERROR(INDIRECT($B174&amp;"!O145"), "")</f>
        <v>18408.399836704953</v>
      </c>
    </row>
    <row r="175" spans="1:15" ht="16.5" customHeight="1">
      <c r="A175" s="153">
        <v>2</v>
      </c>
      <c r="B175" s="153" t="str">
        <f>TEXT(투자전략!$G$1+1, "[$-ko-KR]yyyy.mm.dd")</f>
        <v>2021.06.02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2006913.8368533524</v>
      </c>
      <c r="E175" s="77">
        <f t="shared" ref="E175:E204" ca="1" si="54">IFERROR(INDIRECT($B175&amp;"!E145"), "")</f>
        <v>3.4569184266762419E-3</v>
      </c>
      <c r="F175" s="137">
        <f t="shared" ref="F175:F204" ca="1" si="55">IFERROR(INDIRECT($B175&amp;"!F145"), "")</f>
        <v>6913.8368533524817</v>
      </c>
      <c r="G175" s="139">
        <f t="shared" ref="G175:G204" ca="1" si="56">IFERROR($C175 * (1 + H175), "")</f>
        <v>2001404.437583107</v>
      </c>
      <c r="H175" s="77">
        <f t="shared" ref="H175:H204" ca="1" si="57">IFERROR(INDIRECT($B175&amp;"!H145"), "")</f>
        <v>7.0221879155358722E-4</v>
      </c>
      <c r="I175" s="137">
        <f t="shared" ref="I175:I204" ca="1" si="58">IFERROR(INDIRECT($B175&amp;"!I145"), "")</f>
        <v>1404.4375831071748</v>
      </c>
      <c r="J175" s="139">
        <f t="shared" ref="J175:J204" ca="1" si="59">IFERROR($C175 * (1 + K175), "")</f>
        <v>2001114.2782749252</v>
      </c>
      <c r="K175" s="77">
        <f t="shared" ref="K175:K204" ca="1" si="60">IFERROR(INDIRECT($B175&amp;"!K145"), "")</f>
        <v>5.5713913746260597E-4</v>
      </c>
      <c r="L175" s="137">
        <f t="shared" ref="L175:L204" ca="1" si="61">IFERROR(INDIRECT($B175&amp;"!L145"), "")</f>
        <v>1114.2782749252112</v>
      </c>
      <c r="M175" s="139">
        <f t="shared" ref="M175:M204" ca="1" si="62">IFERROR($C175 * (1 + N175), "")</f>
        <v>2036832.4494468276</v>
      </c>
      <c r="N175" s="77">
        <f t="shared" ref="N175:N204" ca="1" si="63">IFERROR(INDIRECT($B175&amp;"!N145"), "")</f>
        <v>1.8416224723413942E-2</v>
      </c>
      <c r="O175" s="137">
        <f t="shared" ref="O175:O204" ca="1" si="64">IFERROR(INDIRECT($B175&amp;"!O145"), "")</f>
        <v>36832.449446827872</v>
      </c>
    </row>
    <row r="176" spans="1:15" ht="16.5" customHeight="1">
      <c r="A176" s="153">
        <v>3</v>
      </c>
      <c r="B176" s="153" t="str">
        <f>TEXT(투자전략!$G$1+2, "[$-ko-KR]yyyy.mm.dd")</f>
        <v>2021.06.03</v>
      </c>
      <c r="C176" s="135">
        <f t="shared" ca="1" si="52"/>
        <v>2000000</v>
      </c>
      <c r="D176" s="139">
        <f t="shared" ca="1" si="53"/>
        <v>2040878.4304150126</v>
      </c>
      <c r="E176" s="77">
        <f t="shared" ca="1" si="54"/>
        <v>2.043921520750628E-2</v>
      </c>
      <c r="F176" s="137">
        <f t="shared" ca="1" si="55"/>
        <v>40878.430415012546</v>
      </c>
      <c r="G176" s="139">
        <f t="shared" ca="1" si="56"/>
        <v>2081056.1536869088</v>
      </c>
      <c r="H176" s="77">
        <f t="shared" ca="1" si="57"/>
        <v>4.0528076843454483E-2</v>
      </c>
      <c r="I176" s="137">
        <f t="shared" ca="1" si="58"/>
        <v>81056.153686908961</v>
      </c>
      <c r="J176" s="139">
        <f t="shared" ca="1" si="59"/>
        <v>2032966.2624997864</v>
      </c>
      <c r="K176" s="77">
        <f t="shared" ca="1" si="60"/>
        <v>1.6483131249893292E-2</v>
      </c>
      <c r="L176" s="137">
        <f t="shared" ca="1" si="61"/>
        <v>32966.262499786579</v>
      </c>
      <c r="M176" s="139">
        <f t="shared" ca="1" si="62"/>
        <v>2045914.695663627</v>
      </c>
      <c r="N176" s="77">
        <f t="shared" ca="1" si="63"/>
        <v>2.2957347831813579E-2</v>
      </c>
      <c r="O176" s="137">
        <f t="shared" ca="1" si="64"/>
        <v>45914.695663627157</v>
      </c>
    </row>
    <row r="177" spans="1:15" ht="16.5" customHeight="1">
      <c r="A177" s="153">
        <v>4</v>
      </c>
      <c r="B177" s="153" t="str">
        <f>TEXT(투자전략!$G$1+3, "[$-ko-KR]yyyy.mm.dd")</f>
        <v>2021.06.04</v>
      </c>
      <c r="C177" s="135">
        <f t="shared" ca="1" si="52"/>
        <v>2000000</v>
      </c>
      <c r="D177" s="139">
        <f t="shared" ca="1" si="53"/>
        <v>1989831.5407046746</v>
      </c>
      <c r="E177" s="77">
        <f t="shared" ca="1" si="54"/>
        <v>-5.0842296476627542E-3</v>
      </c>
      <c r="F177" s="137">
        <f t="shared" ca="1" si="55"/>
        <v>-10168.459295325511</v>
      </c>
      <c r="G177" s="139">
        <f t="shared" ca="1" si="56"/>
        <v>1920342.6846203441</v>
      </c>
      <c r="H177" s="77">
        <f t="shared" ca="1" si="57"/>
        <v>-3.9828657689827983E-2</v>
      </c>
      <c r="I177" s="137">
        <f t="shared" ca="1" si="58"/>
        <v>-79657.315379655978</v>
      </c>
      <c r="J177" s="139">
        <f t="shared" ca="1" si="59"/>
        <v>1888072.5104760742</v>
      </c>
      <c r="K177" s="77">
        <f t="shared" ca="1" si="60"/>
        <v>-5.5963744761962884E-2</v>
      </c>
      <c r="L177" s="137">
        <f t="shared" ca="1" si="61"/>
        <v>-111927.4895239258</v>
      </c>
      <c r="M177" s="139">
        <f t="shared" ca="1" si="62"/>
        <v>1928710.3622060283</v>
      </c>
      <c r="N177" s="77">
        <f t="shared" ca="1" si="63"/>
        <v>-3.5644818896985862E-2</v>
      </c>
      <c r="O177" s="137">
        <f t="shared" ca="1" si="64"/>
        <v>-71289.637793971706</v>
      </c>
    </row>
    <row r="178" spans="1:15" ht="16.5" customHeight="1">
      <c r="A178" s="153">
        <v>5</v>
      </c>
      <c r="B178" s="153" t="str">
        <f>TEXT(투자전략!$G$1+4, "[$-ko-KR]yyyy.mm.dd")</f>
        <v>2021.06.05</v>
      </c>
      <c r="C178" s="135">
        <f t="shared" ca="1" si="52"/>
        <v>2000000</v>
      </c>
      <c r="D178" s="139">
        <f t="shared" ca="1" si="53"/>
        <v>2051526.3786787093</v>
      </c>
      <c r="E178" s="77">
        <f t="shared" ca="1" si="54"/>
        <v>2.576318933935462E-2</v>
      </c>
      <c r="F178" s="137">
        <f t="shared" ca="1" si="55"/>
        <v>51526.378678709247</v>
      </c>
      <c r="G178" s="139">
        <f t="shared" ca="1" si="56"/>
        <v>2019561.4129193986</v>
      </c>
      <c r="H178" s="77">
        <f t="shared" ca="1" si="57"/>
        <v>9.7807064596993534E-3</v>
      </c>
      <c r="I178" s="137">
        <f t="shared" ca="1" si="58"/>
        <v>19561.41291939871</v>
      </c>
      <c r="J178" s="139">
        <f t="shared" ca="1" si="59"/>
        <v>1987307.1301438501</v>
      </c>
      <c r="K178" s="77">
        <f t="shared" ca="1" si="60"/>
        <v>-6.3464349280749396E-3</v>
      </c>
      <c r="L178" s="137">
        <f t="shared" ca="1" si="61"/>
        <v>-12692.869856149879</v>
      </c>
      <c r="M178" s="139">
        <f t="shared" ca="1" si="62"/>
        <v>1991585.6107164137</v>
      </c>
      <c r="N178" s="77">
        <f t="shared" ca="1" si="63"/>
        <v>-4.2071946417932358E-3</v>
      </c>
      <c r="O178" s="137">
        <f t="shared" ca="1" si="64"/>
        <v>-8414.3892835864699</v>
      </c>
    </row>
    <row r="179" spans="1:15" ht="16.5" customHeight="1">
      <c r="A179" s="153">
        <v>6</v>
      </c>
      <c r="B179" s="153" t="str">
        <f>TEXT(투자전략!$G$1+5, "[$-ko-KR]yyyy.mm.dd")</f>
        <v>2021.06.06</v>
      </c>
      <c r="C179" s="135">
        <f t="shared" ca="1" si="52"/>
        <v>2000000</v>
      </c>
      <c r="D179" s="139">
        <f t="shared" ca="1" si="53"/>
        <v>2034945.9878218959</v>
      </c>
      <c r="E179" s="77">
        <f t="shared" ca="1" si="54"/>
        <v>1.7472993910947886E-2</v>
      </c>
      <c r="F179" s="137">
        <f t="shared" ca="1" si="55"/>
        <v>34945.987821895782</v>
      </c>
      <c r="G179" s="139">
        <f t="shared" ca="1" si="56"/>
        <v>2060294.3684482593</v>
      </c>
      <c r="H179" s="77">
        <f t="shared" ca="1" si="57"/>
        <v>3.0147184224129743E-2</v>
      </c>
      <c r="I179" s="137">
        <f t="shared" ca="1" si="58"/>
        <v>60294.368448259484</v>
      </c>
      <c r="J179" s="139">
        <f t="shared" ca="1" si="59"/>
        <v>2098406.2072058911</v>
      </c>
      <c r="K179" s="77">
        <f t="shared" ca="1" si="60"/>
        <v>4.9203103602945719E-2</v>
      </c>
      <c r="L179" s="137">
        <f t="shared" ca="1" si="61"/>
        <v>98406.207205891449</v>
      </c>
      <c r="M179" s="139">
        <f t="shared" ca="1" si="62"/>
        <v>2060131.4776385622</v>
      </c>
      <c r="N179" s="77">
        <f t="shared" ca="1" si="63"/>
        <v>3.0065738819281002E-2</v>
      </c>
      <c r="O179" s="137">
        <f t="shared" ca="1" si="64"/>
        <v>60131.477638562006</v>
      </c>
    </row>
    <row r="180" spans="1:15" ht="16.5" customHeight="1" thickBot="1">
      <c r="A180" s="155">
        <v>7</v>
      </c>
      <c r="B180" s="155" t="str">
        <f>TEXT(투자전략!$G$1+6, "[$-ko-KR]yyyy.mm.dd")</f>
        <v>2021.06.07</v>
      </c>
      <c r="C180" s="135">
        <f t="shared" ca="1" si="52"/>
        <v>2000000</v>
      </c>
      <c r="D180" s="139">
        <f t="shared" ca="1" si="53"/>
        <v>2008082.5513266812</v>
      </c>
      <c r="E180" s="77">
        <f t="shared" ca="1" si="54"/>
        <v>4.0412756633406684E-3</v>
      </c>
      <c r="F180" s="137">
        <f t="shared" ca="1" si="55"/>
        <v>8082.551326681335</v>
      </c>
      <c r="G180" s="139">
        <f t="shared" ca="1" si="56"/>
        <v>2018528.2424679776</v>
      </c>
      <c r="H180" s="77">
        <f t="shared" ca="1" si="57"/>
        <v>9.2641212339887972E-3</v>
      </c>
      <c r="I180" s="137">
        <f t="shared" ca="1" si="58"/>
        <v>18528.242467977594</v>
      </c>
      <c r="J180" s="139">
        <f t="shared" ca="1" si="59"/>
        <v>2019606.1115486948</v>
      </c>
      <c r="K180" s="77">
        <f t="shared" ca="1" si="60"/>
        <v>9.8030557743474193E-3</v>
      </c>
      <c r="L180" s="137">
        <f t="shared" ca="1" si="61"/>
        <v>19606.111548694837</v>
      </c>
      <c r="M180" s="139">
        <f t="shared" ca="1" si="62"/>
        <v>2011440.1442127372</v>
      </c>
      <c r="N180" s="77">
        <f t="shared" ca="1" si="63"/>
        <v>5.7200721063685326E-3</v>
      </c>
      <c r="O180" s="137">
        <f t="shared" ca="1" si="64"/>
        <v>11440.144212737065</v>
      </c>
    </row>
    <row r="181" spans="1:15" ht="16.5" customHeight="1">
      <c r="A181" s="154">
        <v>8</v>
      </c>
      <c r="B181" s="154" t="str">
        <f>TEXT(투자전략!$G$1+7, "[$-ko-KR]yyyy.mm.dd")</f>
        <v>2021.06.08</v>
      </c>
      <c r="C181" s="134">
        <f t="shared" ca="1" si="52"/>
        <v>2000000</v>
      </c>
      <c r="D181" s="142">
        <f t="shared" ca="1" si="53"/>
        <v>1738783.228812326</v>
      </c>
      <c r="E181" s="76">
        <f t="shared" ca="1" si="54"/>
        <v>-0.130608385593837</v>
      </c>
      <c r="F181" s="141">
        <f t="shared" ca="1" si="55"/>
        <v>-261216.77118767402</v>
      </c>
      <c r="G181" s="142">
        <f t="shared" ca="1" si="56"/>
        <v>1743053.7908382134</v>
      </c>
      <c r="H181" s="76">
        <f t="shared" ca="1" si="57"/>
        <v>-0.12847310458089339</v>
      </c>
      <c r="I181" s="141">
        <f t="shared" ca="1" si="58"/>
        <v>-256946.20916178677</v>
      </c>
      <c r="J181" s="142">
        <f t="shared" ca="1" si="59"/>
        <v>1751099.085305603</v>
      </c>
      <c r="K181" s="76">
        <f t="shared" ca="1" si="60"/>
        <v>-0.12445045734719851</v>
      </c>
      <c r="L181" s="141">
        <f t="shared" ca="1" si="61"/>
        <v>-248900.91469439701</v>
      </c>
      <c r="M181" s="142">
        <f t="shared" ca="1" si="62"/>
        <v>1638819.1384293528</v>
      </c>
      <c r="N181" s="76">
        <f t="shared" ca="1" si="63"/>
        <v>-0.18059043078532361</v>
      </c>
      <c r="O181" s="141">
        <f t="shared" ca="1" si="64"/>
        <v>-361180.86157064722</v>
      </c>
    </row>
    <row r="182" spans="1:15" ht="16.5" customHeight="1">
      <c r="A182" s="153">
        <v>9</v>
      </c>
      <c r="B182" s="153" t="str">
        <f>TEXT(투자전략!$G$1+8, "[$-ko-KR]yyyy.mm.dd")</f>
        <v>2021.06.09</v>
      </c>
      <c r="C182" s="135">
        <f t="shared" ca="1" si="52"/>
        <v>2000000</v>
      </c>
      <c r="D182" s="139">
        <f t="shared" ca="1" si="53"/>
        <v>2035183.0211021816</v>
      </c>
      <c r="E182" s="77">
        <f t="shared" ca="1" si="54"/>
        <v>1.7591510551090959E-2</v>
      </c>
      <c r="F182" s="137">
        <f t="shared" ca="1" si="55"/>
        <v>35183.021102181912</v>
      </c>
      <c r="G182" s="139">
        <f t="shared" ca="1" si="56"/>
        <v>2056122.3112489597</v>
      </c>
      <c r="H182" s="77">
        <f t="shared" ca="1" si="57"/>
        <v>2.8061155624479871E-2</v>
      </c>
      <c r="I182" s="137">
        <f t="shared" ca="1" si="58"/>
        <v>56122.311248959748</v>
      </c>
      <c r="J182" s="139">
        <f t="shared" ca="1" si="59"/>
        <v>2104237.9987256327</v>
      </c>
      <c r="K182" s="77">
        <f t="shared" ca="1" si="60"/>
        <v>5.2118999362816408E-2</v>
      </c>
      <c r="L182" s="137">
        <f t="shared" ca="1" si="61"/>
        <v>104237.99872563283</v>
      </c>
      <c r="M182" s="139">
        <f t="shared" ca="1" si="62"/>
        <v>2087390.3952974696</v>
      </c>
      <c r="N182" s="77">
        <f t="shared" ca="1" si="63"/>
        <v>4.3695197648734786E-2</v>
      </c>
      <c r="O182" s="137">
        <f t="shared" ca="1" si="64"/>
        <v>87390.395297469571</v>
      </c>
    </row>
    <row r="183" spans="1:15" ht="16.5" customHeight="1">
      <c r="A183" s="153">
        <v>10</v>
      </c>
      <c r="B183" s="153" t="str">
        <f>TEXT(투자전략!$G$1+9, "[$-ko-KR]yyyy.mm.dd")</f>
        <v>2021.06.10</v>
      </c>
      <c r="C183" s="135">
        <f t="shared" ca="1" si="52"/>
        <v>2000000</v>
      </c>
      <c r="D183" s="139">
        <f t="shared" ca="1" si="53"/>
        <v>2187554.8336133766</v>
      </c>
      <c r="E183" s="77">
        <f t="shared" ca="1" si="54"/>
        <v>9.3777416806688232E-2</v>
      </c>
      <c r="F183" s="137">
        <f t="shared" ca="1" si="55"/>
        <v>187554.83361337642</v>
      </c>
      <c r="G183" s="139">
        <f t="shared" ca="1" si="56"/>
        <v>2294890.6605380536</v>
      </c>
      <c r="H183" s="77">
        <f t="shared" ca="1" si="57"/>
        <v>0.14744533026902679</v>
      </c>
      <c r="I183" s="137">
        <f t="shared" ca="1" si="58"/>
        <v>294890.66053805355</v>
      </c>
      <c r="J183" s="139">
        <f t="shared" ca="1" si="59"/>
        <v>2281890.6487245425</v>
      </c>
      <c r="K183" s="77">
        <f t="shared" ca="1" si="60"/>
        <v>0.1409453243622712</v>
      </c>
      <c r="L183" s="137">
        <f t="shared" ca="1" si="61"/>
        <v>281890.64872454241</v>
      </c>
      <c r="M183" s="139">
        <f t="shared" ca="1" si="62"/>
        <v>2212194.435773877</v>
      </c>
      <c r="N183" s="77">
        <f t="shared" ca="1" si="63"/>
        <v>0.10609721788693849</v>
      </c>
      <c r="O183" s="137">
        <f t="shared" ca="1" si="64"/>
        <v>212194.4357738769</v>
      </c>
    </row>
    <row r="184" spans="1:15" ht="16.5" customHeight="1">
      <c r="A184" s="153">
        <v>11</v>
      </c>
      <c r="B184" s="153" t="str">
        <f>TEXT(투자전략!$G$1+10, "[$-ko-KR]yyyy.mm.dd")</f>
        <v>2021.06.11</v>
      </c>
      <c r="C184" s="135">
        <f t="shared" ca="1" si="52"/>
        <v>2000000</v>
      </c>
      <c r="D184" s="139">
        <f t="shared" ca="1" si="53"/>
        <v>2152241.0681901295</v>
      </c>
      <c r="E184" s="77">
        <f t="shared" ca="1" si="54"/>
        <v>7.6120534095064876E-2</v>
      </c>
      <c r="F184" s="137">
        <f t="shared" ca="1" si="55"/>
        <v>152241.06819012979</v>
      </c>
      <c r="G184" s="139">
        <f t="shared" ca="1" si="56"/>
        <v>1833440.9126730291</v>
      </c>
      <c r="H184" s="77">
        <f t="shared" ca="1" si="57"/>
        <v>-8.3279543663485486E-2</v>
      </c>
      <c r="I184" s="137">
        <f t="shared" ca="1" si="58"/>
        <v>-166559.087326971</v>
      </c>
      <c r="J184" s="139">
        <f t="shared" ca="1" si="59"/>
        <v>1791902.7373928824</v>
      </c>
      <c r="K184" s="77">
        <f t="shared" ca="1" si="60"/>
        <v>-0.10404863130355875</v>
      </c>
      <c r="L184" s="137">
        <f t="shared" ca="1" si="61"/>
        <v>-208097.26260711742</v>
      </c>
      <c r="M184" s="139">
        <f t="shared" ca="1" si="62"/>
        <v>1781578.1717082758</v>
      </c>
      <c r="N184" s="77">
        <f t="shared" ca="1" si="63"/>
        <v>-0.10921091414586218</v>
      </c>
      <c r="O184" s="137">
        <f t="shared" ca="1" si="64"/>
        <v>-218421.82829172435</v>
      </c>
    </row>
    <row r="185" spans="1:15" ht="16.5" customHeight="1">
      <c r="A185" s="153">
        <v>12</v>
      </c>
      <c r="B185" s="153" t="str">
        <f>TEXT(투자전략!$G$1+11, "[$-ko-KR]yyyy.mm.dd")</f>
        <v>2021.06.12</v>
      </c>
      <c r="C185" s="135">
        <f t="shared" ca="1" si="52"/>
        <v>2000000</v>
      </c>
      <c r="D185" s="139">
        <f t="shared" ca="1" si="53"/>
        <v>1613901.3935833275</v>
      </c>
      <c r="E185" s="77">
        <f t="shared" ca="1" si="54"/>
        <v>-0.19304930320833619</v>
      </c>
      <c r="F185" s="137">
        <f t="shared" ca="1" si="55"/>
        <v>-386098.60641667241</v>
      </c>
      <c r="G185" s="139">
        <f t="shared" ca="1" si="56"/>
        <v>1586494.5754223953</v>
      </c>
      <c r="H185" s="77">
        <f t="shared" ca="1" si="57"/>
        <v>-0.20675271228880229</v>
      </c>
      <c r="I185" s="137">
        <f t="shared" ca="1" si="58"/>
        <v>-413505.42457760463</v>
      </c>
      <c r="J185" s="139">
        <f t="shared" ca="1" si="59"/>
        <v>1592272.6506093144</v>
      </c>
      <c r="K185" s="77">
        <f t="shared" ca="1" si="60"/>
        <v>-0.20386367469534275</v>
      </c>
      <c r="L185" s="137">
        <f t="shared" ca="1" si="61"/>
        <v>-407727.34939068556</v>
      </c>
      <c r="M185" s="139">
        <f t="shared" ca="1" si="62"/>
        <v>1597501.3697729774</v>
      </c>
      <c r="N185" s="77">
        <f t="shared" ca="1" si="63"/>
        <v>-0.20124931511351135</v>
      </c>
      <c r="O185" s="137">
        <f t="shared" ca="1" si="64"/>
        <v>-402498.63022702275</v>
      </c>
    </row>
    <row r="186" spans="1:15" ht="16.5" customHeight="1">
      <c r="A186" s="153">
        <v>13</v>
      </c>
      <c r="B186" s="153" t="str">
        <f>TEXT(투자전략!$G$1+12, "[$-ko-KR]yyyy.mm.dd")</f>
        <v>2021.06.13</v>
      </c>
      <c r="C186" s="135">
        <f t="shared" ca="1" si="52"/>
        <v>2000000</v>
      </c>
      <c r="D186" s="139">
        <f t="shared" ca="1" si="53"/>
        <v>1744920.6753255182</v>
      </c>
      <c r="E186" s="77">
        <f t="shared" ca="1" si="54"/>
        <v>-0.12753966233724087</v>
      </c>
      <c r="F186" s="137">
        <f t="shared" ca="1" si="55"/>
        <v>-255079.32467448176</v>
      </c>
      <c r="G186" s="139">
        <f t="shared" ca="1" si="56"/>
        <v>1781748.6552178073</v>
      </c>
      <c r="H186" s="77">
        <f t="shared" ca="1" si="57"/>
        <v>-0.10912567239109638</v>
      </c>
      <c r="I186" s="137">
        <f t="shared" ca="1" si="58"/>
        <v>-218251.34478219275</v>
      </c>
      <c r="J186" s="139">
        <f t="shared" ca="1" si="59"/>
        <v>1772245.5062447079</v>
      </c>
      <c r="K186" s="77">
        <f t="shared" ca="1" si="60"/>
        <v>-0.11387724687764607</v>
      </c>
      <c r="L186" s="137">
        <f t="shared" ca="1" si="61"/>
        <v>-227754.49375529218</v>
      </c>
      <c r="M186" s="139">
        <f t="shared" ca="1" si="62"/>
        <v>1774620.7362199218</v>
      </c>
      <c r="N186" s="77">
        <f t="shared" ca="1" si="63"/>
        <v>-0.11268963189003907</v>
      </c>
      <c r="O186" s="137">
        <f t="shared" ca="1" si="64"/>
        <v>-225379.26378007815</v>
      </c>
    </row>
    <row r="187" spans="1:15" ht="16.5" customHeight="1" thickBot="1">
      <c r="A187" s="155">
        <v>14</v>
      </c>
      <c r="B187" s="155" t="str">
        <f>TEXT(투자전략!$G$1+13, "[$-ko-KR]yyyy.mm.dd")</f>
        <v>2021.06.14</v>
      </c>
      <c r="C187" s="136">
        <f t="shared" ca="1" si="52"/>
        <v>2000000</v>
      </c>
      <c r="D187" s="140">
        <f t="shared" ca="1" si="53"/>
        <v>2404033.1816021712</v>
      </c>
      <c r="E187" s="79">
        <f t="shared" ca="1" si="54"/>
        <v>0.2020165908010855</v>
      </c>
      <c r="F187" s="138">
        <f t="shared" ca="1" si="55"/>
        <v>404033.18160217098</v>
      </c>
      <c r="G187" s="140">
        <f t="shared" ca="1" si="56"/>
        <v>2535244.4959129682</v>
      </c>
      <c r="H187" s="79">
        <f t="shared" ca="1" si="57"/>
        <v>0.26762224795648415</v>
      </c>
      <c r="I187" s="138">
        <f t="shared" ca="1" si="58"/>
        <v>535244.49591296818</v>
      </c>
      <c r="J187" s="140">
        <f t="shared" ca="1" si="59"/>
        <v>2343451.1829162543</v>
      </c>
      <c r="K187" s="79">
        <f t="shared" ca="1" si="60"/>
        <v>0.17172559145812713</v>
      </c>
      <c r="L187" s="138">
        <f t="shared" ca="1" si="61"/>
        <v>343451.18291625427</v>
      </c>
      <c r="M187" s="140">
        <f t="shared" ca="1" si="62"/>
        <v>2255568.6148559889</v>
      </c>
      <c r="N187" s="79">
        <f t="shared" ca="1" si="63"/>
        <v>0.12778430742799443</v>
      </c>
      <c r="O187" s="138">
        <f t="shared" ca="1" si="64"/>
        <v>255568.61485598882</v>
      </c>
    </row>
    <row r="188" spans="1:15" ht="16.5" customHeight="1">
      <c r="A188" s="154">
        <v>15</v>
      </c>
      <c r="B188" s="154" t="str">
        <f>TEXT(투자전략!$G$1+14, "[$-ko-KR]yyyy.mm.dd")</f>
        <v>2021.06.15</v>
      </c>
      <c r="C188" s="135">
        <f t="shared" ca="1" si="52"/>
        <v>2000000</v>
      </c>
      <c r="D188" s="139">
        <f t="shared" ca="1" si="53"/>
        <v>2091613.4324285816</v>
      </c>
      <c r="E188" s="77">
        <f t="shared" ca="1" si="54"/>
        <v>4.5806716214290694E-2</v>
      </c>
      <c r="F188" s="137">
        <f t="shared" ca="1" si="55"/>
        <v>91613.432428581393</v>
      </c>
      <c r="G188" s="139">
        <f t="shared" ca="1" si="56"/>
        <v>2049429.5503554589</v>
      </c>
      <c r="H188" s="77">
        <f t="shared" ca="1" si="57"/>
        <v>2.4714775177729385E-2</v>
      </c>
      <c r="I188" s="137">
        <f t="shared" ca="1" si="58"/>
        <v>49429.550355458778</v>
      </c>
      <c r="J188" s="139">
        <f t="shared" ca="1" si="59"/>
        <v>2049309.4764747557</v>
      </c>
      <c r="K188" s="77">
        <f t="shared" ca="1" si="60"/>
        <v>2.4654738237377953E-2</v>
      </c>
      <c r="L188" s="137">
        <f t="shared" ca="1" si="61"/>
        <v>49309.476474755909</v>
      </c>
      <c r="M188" s="139">
        <f t="shared" ca="1" si="62"/>
        <v>2044656.0213107255</v>
      </c>
      <c r="N188" s="77">
        <f t="shared" ca="1" si="63"/>
        <v>2.2328010655362829E-2</v>
      </c>
      <c r="O188" s="137">
        <f t="shared" ca="1" si="64"/>
        <v>44656.02131072565</v>
      </c>
    </row>
    <row r="189" spans="1:15" ht="16.5" customHeight="1">
      <c r="A189" s="153">
        <v>16</v>
      </c>
      <c r="B189" s="153" t="str">
        <f>TEXT(투자전략!$G$1+15, "[$-ko-KR]yyyy.mm.dd")</f>
        <v>2021.06.16</v>
      </c>
      <c r="C189" s="135">
        <f t="shared" ca="1" si="52"/>
        <v>2000000</v>
      </c>
      <c r="D189" s="139">
        <f t="shared" ca="1" si="53"/>
        <v>2000000</v>
      </c>
      <c r="E189" s="77">
        <f t="shared" ca="1" si="54"/>
        <v>0</v>
      </c>
      <c r="F189" s="137">
        <f t="shared" ca="1" si="55"/>
        <v>0</v>
      </c>
      <c r="G189" s="139">
        <f t="shared" ca="1" si="56"/>
        <v>2000000</v>
      </c>
      <c r="H189" s="77">
        <f t="shared" ca="1" si="57"/>
        <v>0</v>
      </c>
      <c r="I189" s="137">
        <f t="shared" ca="1" si="58"/>
        <v>0</v>
      </c>
      <c r="J189" s="139">
        <f t="shared" ca="1" si="59"/>
        <v>1944810.9736247652</v>
      </c>
      <c r="K189" s="77">
        <f t="shared" ca="1" si="60"/>
        <v>-2.7594513187617464E-2</v>
      </c>
      <c r="L189" s="137">
        <f t="shared" ca="1" si="61"/>
        <v>-55189.026375234927</v>
      </c>
      <c r="M189" s="139">
        <f t="shared" ca="1" si="62"/>
        <v>2000000</v>
      </c>
      <c r="N189" s="77">
        <f t="shared" ca="1" si="63"/>
        <v>0</v>
      </c>
      <c r="O189" s="137">
        <f t="shared" ca="1" si="64"/>
        <v>0</v>
      </c>
    </row>
    <row r="190" spans="1:15" ht="16.5" customHeight="1">
      <c r="A190" s="153">
        <v>17</v>
      </c>
      <c r="B190" s="153" t="str">
        <f>TEXT(투자전략!$G$1+16, "[$-ko-KR]yyyy.mm.dd")</f>
        <v>2021.06.17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2021.06.18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2021.06.19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2021.06.20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2021.06.21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2021.06.22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2021.06.23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2021.06.24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2021.06.25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2021.06.26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2021.06.27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2021.06.28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2021.06.29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2021.06.30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2021.07.01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74" t="s">
        <v>313</v>
      </c>
      <c r="B205" s="276"/>
      <c r="C205" s="132" t="s">
        <v>308</v>
      </c>
      <c r="D205" s="150" t="s">
        <v>309</v>
      </c>
      <c r="E205" s="151" t="s">
        <v>310</v>
      </c>
      <c r="F205" s="152" t="s">
        <v>311</v>
      </c>
      <c r="G205" s="150" t="s">
        <v>309</v>
      </c>
      <c r="H205" s="151" t="s">
        <v>310</v>
      </c>
      <c r="I205" s="152" t="s">
        <v>311</v>
      </c>
      <c r="J205" s="150" t="s">
        <v>309</v>
      </c>
      <c r="K205" s="151" t="s">
        <v>310</v>
      </c>
      <c r="L205" s="152" t="s">
        <v>311</v>
      </c>
      <c r="M205" s="150" t="s">
        <v>309</v>
      </c>
      <c r="N205" s="151" t="s">
        <v>310</v>
      </c>
      <c r="O205" s="152" t="s">
        <v>311</v>
      </c>
    </row>
    <row r="206" spans="1:15" ht="16.5" customHeight="1" thickBot="1">
      <c r="A206" s="267"/>
      <c r="B206" s="269"/>
      <c r="C206" s="136">
        <f ca="1">SUM(C174:C204)</f>
        <v>32000000</v>
      </c>
      <c r="D206" s="140">
        <f ca="1">SUM(D174:D204)</f>
        <v>32142745.531180575</v>
      </c>
      <c r="E206" s="79">
        <f ca="1">IFERROR(F206 / (SUM($C174:$C204) / COUNT($C174:$C204)), 0)</f>
        <v>7.1372765590288448E-2</v>
      </c>
      <c r="F206" s="138">
        <f ca="1">SUM(F174:F204)</f>
        <v>142745.53118057689</v>
      </c>
      <c r="G206" s="140">
        <f ca="1">SUM(G174:G204)</f>
        <v>31983987.52425576</v>
      </c>
      <c r="H206" s="79">
        <f ca="1">IFERROR(I206 / (SUM($C174:$C204) / COUNT($C174:$C204)), 0)</f>
        <v>-8.0062378721219574E-3</v>
      </c>
      <c r="I206" s="138">
        <f ca="1">SUM(I174:I204)</f>
        <v>-16012.475744243915</v>
      </c>
      <c r="J206" s="140">
        <f ca="1">SUM(J174:J204)</f>
        <v>31680060.905254528</v>
      </c>
      <c r="K206" s="79">
        <f ca="1">IFERROR(L206 / (SUM($C174:$C204) / COUNT($C174:$C204)), 0)</f>
        <v>-0.15996954737273522</v>
      </c>
      <c r="L206" s="138">
        <f ca="1">SUM(L174:L204)</f>
        <v>-319939.09474547044</v>
      </c>
      <c r="M206" s="140">
        <f ca="1">SUM(M174:M204)</f>
        <v>31485352.023089487</v>
      </c>
      <c r="N206" s="79">
        <f ca="1">IFERROR(O206 / (SUM($C174:$C204) / COUNT($C174:$C204)), 0)</f>
        <v>-0.25732398845525534</v>
      </c>
      <c r="O206" s="138">
        <f ca="1">SUM(O174:O204)</f>
        <v>-514647.97691051062</v>
      </c>
    </row>
    <row r="208" spans="1:15" ht="16.5" customHeight="1" thickBot="1"/>
    <row r="209" spans="1:15" ht="16.5" customHeight="1" thickBot="1">
      <c r="A209" s="246" t="str">
        <f>TEXT(투자전략!$G$1, "[$-ko-KR]yyyy년 mm월 ") &amp; "[동전코인] 전일대비 상승률 Bottom20 월말결산"</f>
        <v>2021년 06월 [동전코인] 전일대비 상승률 Bottom20 월말결산</v>
      </c>
      <c r="B209" s="247"/>
      <c r="C209" s="247"/>
      <c r="D209" s="247"/>
      <c r="E209" s="247"/>
      <c r="F209" s="247"/>
      <c r="G209" s="247"/>
      <c r="H209" s="247"/>
      <c r="I209" s="247"/>
      <c r="J209" s="247"/>
      <c r="K209" s="247"/>
      <c r="L209" s="247"/>
      <c r="M209" s="247"/>
      <c r="N209" s="247"/>
      <c r="O209" s="248"/>
    </row>
    <row r="210" spans="1:15" ht="16.5" customHeight="1" thickBot="1">
      <c r="A210" s="290" t="s">
        <v>314</v>
      </c>
      <c r="B210" s="267" t="s">
        <v>312</v>
      </c>
      <c r="C210" s="269"/>
      <c r="D210" s="267" t="s">
        <v>304</v>
      </c>
      <c r="E210" s="268"/>
      <c r="F210" s="269"/>
      <c r="G210" s="267" t="s">
        <v>305</v>
      </c>
      <c r="H210" s="268"/>
      <c r="I210" s="269"/>
      <c r="J210" s="267" t="s">
        <v>306</v>
      </c>
      <c r="K210" s="268"/>
      <c r="L210" s="269"/>
      <c r="M210" s="267" t="s">
        <v>307</v>
      </c>
      <c r="N210" s="268"/>
      <c r="O210" s="269"/>
    </row>
    <row r="211" spans="1:15" ht="16.5" customHeight="1" thickBot="1">
      <c r="A211" s="283"/>
      <c r="B211" s="154" t="s">
        <v>302</v>
      </c>
      <c r="C211" s="154" t="s">
        <v>42</v>
      </c>
      <c r="D211" s="121" t="s">
        <v>303</v>
      </c>
      <c r="E211" s="133" t="s">
        <v>40</v>
      </c>
      <c r="F211" s="156" t="s">
        <v>41</v>
      </c>
      <c r="G211" s="121" t="s">
        <v>303</v>
      </c>
      <c r="H211" s="133" t="s">
        <v>40</v>
      </c>
      <c r="I211" s="156" t="s">
        <v>41</v>
      </c>
      <c r="J211" s="121" t="s">
        <v>303</v>
      </c>
      <c r="K211" s="133" t="s">
        <v>40</v>
      </c>
      <c r="L211" s="156" t="s">
        <v>41</v>
      </c>
      <c r="M211" s="121" t="s">
        <v>303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2021.06.01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2045504.9033233293</v>
      </c>
      <c r="E212" s="76">
        <f ca="1">IFERROR(INDIRECT($B212&amp;"!E172"), "")</f>
        <v>2.2752451661664643E-2</v>
      </c>
      <c r="F212" s="141">
        <f ca="1">IFERROR(INDIRECT($B212&amp;"!F172"), "")</f>
        <v>45504.903323329287</v>
      </c>
      <c r="G212" s="142">
        <f ca="1">IFERROR($C212 * (1 + H212), "")</f>
        <v>2010944.7925219261</v>
      </c>
      <c r="H212" s="76">
        <f ca="1">IFERROR(INDIRECT($B212&amp;"!H172"), "")</f>
        <v>5.4723962609629856E-3</v>
      </c>
      <c r="I212" s="141">
        <f ca="1">IFERROR(INDIRECT($B212&amp;"!I172"), "")</f>
        <v>10944.792521925972</v>
      </c>
      <c r="J212" s="142">
        <f ca="1">IFERROR($C212 * (1 + K212), "")</f>
        <v>2025026.7819764619</v>
      </c>
      <c r="K212" s="76">
        <f ca="1">IFERROR(INDIRECT($B212&amp;"!K172"), "")</f>
        <v>1.2513390988230969E-2</v>
      </c>
      <c r="L212" s="141">
        <f ca="1">IFERROR(INDIRECT($B212&amp;"!L172"), "")</f>
        <v>25026.781976461942</v>
      </c>
      <c r="M212" s="142">
        <f ca="1">IFERROR($C212 * (1 + N212), "")</f>
        <v>2020166.6221165792</v>
      </c>
      <c r="N212" s="76">
        <f ca="1">IFERROR(INDIRECT($B212&amp;"!N172"), "")</f>
        <v>1.0083311058289531E-2</v>
      </c>
      <c r="O212" s="141">
        <f ca="1">IFERROR(INDIRECT($B212&amp;"!O172"), "")</f>
        <v>20166.622116579067</v>
      </c>
    </row>
    <row r="213" spans="1:15" ht="16.5" customHeight="1">
      <c r="A213" s="153">
        <v>2</v>
      </c>
      <c r="B213" s="153" t="str">
        <f>TEXT(투자전략!$G$1+1, "[$-ko-KR]yyyy.mm.dd")</f>
        <v>2021.06.02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2013225.4724031426</v>
      </c>
      <c r="E213" s="77">
        <f t="shared" ref="E213:E242" ca="1" si="67">IFERROR(INDIRECT($B213&amp;"!E172"), "")</f>
        <v>6.6127362015713648E-3</v>
      </c>
      <c r="F213" s="137">
        <f t="shared" ref="F213:F242" ca="1" si="68">IFERROR(INDIRECT($B213&amp;"!F172"), "")</f>
        <v>13225.47240314273</v>
      </c>
      <c r="G213" s="139">
        <f t="shared" ref="G213:G242" ca="1" si="69">IFERROR($C213 * (1 + H213), "")</f>
        <v>2004906.9580902148</v>
      </c>
      <c r="H213" s="77">
        <f t="shared" ref="H213:H242" ca="1" si="70">IFERROR(INDIRECT($B213&amp;"!H172"), "")</f>
        <v>2.4534790451074947E-3</v>
      </c>
      <c r="I213" s="137">
        <f t="shared" ref="I213:I242" ca="1" si="71">IFERROR(INDIRECT($B213&amp;"!I172"), "")</f>
        <v>4906.9580902149883</v>
      </c>
      <c r="J213" s="139">
        <f t="shared" ref="J213:J242" ca="1" si="72">IFERROR($C213 * (1 + K213), "")</f>
        <v>2010424.2795845054</v>
      </c>
      <c r="K213" s="77">
        <f t="shared" ref="K213:K242" ca="1" si="73">IFERROR(INDIRECT($B213&amp;"!K172"), "")</f>
        <v>5.2121397922526352E-3</v>
      </c>
      <c r="L213" s="137">
        <f t="shared" ref="L213:L242" ca="1" si="74">IFERROR(INDIRECT($B213&amp;"!L172"), "")</f>
        <v>10424.279584505268</v>
      </c>
      <c r="M213" s="139">
        <f t="shared" ref="M213:M242" ca="1" si="75">IFERROR($C213 * (1 + N213), "")</f>
        <v>2053471.1619137137</v>
      </c>
      <c r="N213" s="77">
        <f t="shared" ref="N213:N242" ca="1" si="76">IFERROR(INDIRECT($B213&amp;"!N172"), "")</f>
        <v>2.6735580956856696E-2</v>
      </c>
      <c r="O213" s="137">
        <f t="shared" ref="O213:O242" ca="1" si="77">IFERROR(INDIRECT($B213&amp;"!O172"), "")</f>
        <v>53471.161913713404</v>
      </c>
    </row>
    <row r="214" spans="1:15" ht="16.5" customHeight="1">
      <c r="A214" s="153">
        <v>3</v>
      </c>
      <c r="B214" s="153" t="str">
        <f>TEXT(투자전략!$G$1+2, "[$-ko-KR]yyyy.mm.dd")</f>
        <v>2021.06.03</v>
      </c>
      <c r="C214" s="135">
        <f t="shared" ca="1" si="65"/>
        <v>2000000</v>
      </c>
      <c r="D214" s="139">
        <f t="shared" ca="1" si="66"/>
        <v>2022517.9967312142</v>
      </c>
      <c r="E214" s="77">
        <f t="shared" ca="1" si="67"/>
        <v>1.1258998365607046E-2</v>
      </c>
      <c r="F214" s="137">
        <f t="shared" ca="1" si="68"/>
        <v>22517.996731214091</v>
      </c>
      <c r="G214" s="139">
        <f t="shared" ca="1" si="69"/>
        <v>2062297.8069126904</v>
      </c>
      <c r="H214" s="77">
        <f t="shared" ca="1" si="70"/>
        <v>3.1148903456345162E-2</v>
      </c>
      <c r="I214" s="137">
        <f t="shared" ca="1" si="71"/>
        <v>62297.806912690336</v>
      </c>
      <c r="J214" s="139">
        <f t="shared" ca="1" si="72"/>
        <v>2041161.5556088996</v>
      </c>
      <c r="K214" s="77">
        <f t="shared" ca="1" si="73"/>
        <v>2.0580777804449731E-2</v>
      </c>
      <c r="L214" s="137">
        <f t="shared" ca="1" si="74"/>
        <v>41161.555608899449</v>
      </c>
      <c r="M214" s="139">
        <f t="shared" ca="1" si="75"/>
        <v>2053183.4750195586</v>
      </c>
      <c r="N214" s="77">
        <f t="shared" ca="1" si="76"/>
        <v>2.6591737509779178E-2</v>
      </c>
      <c r="O214" s="137">
        <f t="shared" ca="1" si="77"/>
        <v>53183.475019558355</v>
      </c>
    </row>
    <row r="215" spans="1:15" ht="16.5" customHeight="1">
      <c r="A215" s="153">
        <v>4</v>
      </c>
      <c r="B215" s="153" t="str">
        <f>TEXT(투자전략!$G$1+3, "[$-ko-KR]yyyy.mm.dd")</f>
        <v>2021.06.04</v>
      </c>
      <c r="C215" s="135">
        <f t="shared" ca="1" si="65"/>
        <v>2000000</v>
      </c>
      <c r="D215" s="139">
        <f t="shared" ca="1" si="66"/>
        <v>1971546.2089311292</v>
      </c>
      <c r="E215" s="77">
        <f t="shared" ca="1" si="67"/>
        <v>-1.4226895534435343E-2</v>
      </c>
      <c r="F215" s="137">
        <f t="shared" ca="1" si="68"/>
        <v>-28453.791068870687</v>
      </c>
      <c r="G215" s="139">
        <f t="shared" ca="1" si="69"/>
        <v>1911308.9541453165</v>
      </c>
      <c r="H215" s="77">
        <f t="shared" ca="1" si="70"/>
        <v>-4.4345522927341716E-2</v>
      </c>
      <c r="I215" s="137">
        <f t="shared" ca="1" si="71"/>
        <v>-88691.045854683442</v>
      </c>
      <c r="J215" s="139">
        <f t="shared" ca="1" si="72"/>
        <v>1874319.4668162446</v>
      </c>
      <c r="K215" s="77">
        <f t="shared" ca="1" si="73"/>
        <v>-6.2840266591877636E-2</v>
      </c>
      <c r="L215" s="137">
        <f t="shared" ca="1" si="74"/>
        <v>-125680.53318375529</v>
      </c>
      <c r="M215" s="139">
        <f t="shared" ca="1" si="75"/>
        <v>1907455.9035180276</v>
      </c>
      <c r="N215" s="77">
        <f t="shared" ca="1" si="76"/>
        <v>-4.6272048240986206E-2</v>
      </c>
      <c r="O215" s="137">
        <f t="shared" ca="1" si="77"/>
        <v>-92544.096481972418</v>
      </c>
    </row>
    <row r="216" spans="1:15" ht="16.5" customHeight="1">
      <c r="A216" s="153">
        <v>5</v>
      </c>
      <c r="B216" s="153" t="str">
        <f>TEXT(투자전략!$G$1+4, "[$-ko-KR]yyyy.mm.dd")</f>
        <v>2021.06.05</v>
      </c>
      <c r="C216" s="135">
        <f t="shared" ca="1" si="65"/>
        <v>2000000</v>
      </c>
      <c r="D216" s="139">
        <f t="shared" ca="1" si="66"/>
        <v>2030539.6568885797</v>
      </c>
      <c r="E216" s="77">
        <f t="shared" ca="1" si="67"/>
        <v>1.5269828444289729E-2</v>
      </c>
      <c r="F216" s="137">
        <f t="shared" ca="1" si="68"/>
        <v>30539.656888579459</v>
      </c>
      <c r="G216" s="139">
        <f t="shared" ca="1" si="69"/>
        <v>1995137.6760467393</v>
      </c>
      <c r="H216" s="77">
        <f t="shared" ca="1" si="70"/>
        <v>-2.4311619766302669E-3</v>
      </c>
      <c r="I216" s="137">
        <f t="shared" ca="1" si="71"/>
        <v>-4862.323953260533</v>
      </c>
      <c r="J216" s="139">
        <f t="shared" ca="1" si="72"/>
        <v>1946867.2222975167</v>
      </c>
      <c r="K216" s="77">
        <f t="shared" ca="1" si="73"/>
        <v>-2.6566388851241646E-2</v>
      </c>
      <c r="L216" s="137">
        <f t="shared" ca="1" si="74"/>
        <v>-53132.777702483283</v>
      </c>
      <c r="M216" s="139">
        <f t="shared" ca="1" si="75"/>
        <v>1965917.6275532076</v>
      </c>
      <c r="N216" s="77">
        <f t="shared" ca="1" si="76"/>
        <v>-1.7041186223396204E-2</v>
      </c>
      <c r="O216" s="137">
        <f t="shared" ca="1" si="77"/>
        <v>-34082.372446792404</v>
      </c>
    </row>
    <row r="217" spans="1:15" ht="16.5" customHeight="1">
      <c r="A217" s="153">
        <v>6</v>
      </c>
      <c r="B217" s="153" t="str">
        <f>TEXT(투자전략!$G$1+5, "[$-ko-KR]yyyy.mm.dd")</f>
        <v>2021.06.06</v>
      </c>
      <c r="C217" s="135">
        <f t="shared" ca="1" si="65"/>
        <v>2000000</v>
      </c>
      <c r="D217" s="139">
        <f t="shared" ca="1" si="66"/>
        <v>2026760.4530580607</v>
      </c>
      <c r="E217" s="77">
        <f t="shared" ca="1" si="67"/>
        <v>1.3380226529030457E-2</v>
      </c>
      <c r="F217" s="137">
        <f t="shared" ca="1" si="68"/>
        <v>26760.45305806091</v>
      </c>
      <c r="G217" s="139">
        <f t="shared" ca="1" si="69"/>
        <v>2065704.1211100826</v>
      </c>
      <c r="H217" s="77">
        <f t="shared" ca="1" si="70"/>
        <v>3.2852060555041404E-2</v>
      </c>
      <c r="I217" s="137">
        <f t="shared" ca="1" si="71"/>
        <v>65704.121110082822</v>
      </c>
      <c r="J217" s="139">
        <f t="shared" ca="1" si="72"/>
        <v>2060720.5642344684</v>
      </c>
      <c r="K217" s="77">
        <f t="shared" ca="1" si="73"/>
        <v>3.0360282117234148E-2</v>
      </c>
      <c r="L217" s="137">
        <f t="shared" ca="1" si="74"/>
        <v>60720.564234468315</v>
      </c>
      <c r="M217" s="139">
        <f t="shared" ca="1" si="75"/>
        <v>2043744.6665338296</v>
      </c>
      <c r="N217" s="77">
        <f t="shared" ca="1" si="76"/>
        <v>2.1872333266914835E-2</v>
      </c>
      <c r="O217" s="137">
        <f t="shared" ca="1" si="77"/>
        <v>43744.666533829659</v>
      </c>
    </row>
    <row r="218" spans="1:15" ht="16.5" customHeight="1" thickBot="1">
      <c r="A218" s="155">
        <v>7</v>
      </c>
      <c r="B218" s="155" t="str">
        <f>TEXT(투자전략!$G$1+6, "[$-ko-KR]yyyy.mm.dd")</f>
        <v>2021.06.07</v>
      </c>
      <c r="C218" s="135">
        <f t="shared" ca="1" si="65"/>
        <v>2000000</v>
      </c>
      <c r="D218" s="139">
        <f t="shared" ca="1" si="66"/>
        <v>2025719.9706624679</v>
      </c>
      <c r="E218" s="77">
        <f t="shared" ca="1" si="67"/>
        <v>1.285998533123384E-2</v>
      </c>
      <c r="F218" s="137">
        <f t="shared" ca="1" si="68"/>
        <v>25719.970662467687</v>
      </c>
      <c r="G218" s="139">
        <f t="shared" ca="1" si="69"/>
        <v>2028895.5480515938</v>
      </c>
      <c r="H218" s="77">
        <f t="shared" ca="1" si="70"/>
        <v>1.4447774025796802E-2</v>
      </c>
      <c r="I218" s="137">
        <f t="shared" ca="1" si="71"/>
        <v>28895.5480515936</v>
      </c>
      <c r="J218" s="139">
        <f t="shared" ca="1" si="72"/>
        <v>2032583.761168215</v>
      </c>
      <c r="K218" s="77">
        <f t="shared" ca="1" si="73"/>
        <v>1.6291880584107417E-2</v>
      </c>
      <c r="L218" s="137">
        <f t="shared" ca="1" si="74"/>
        <v>32583.761168214842</v>
      </c>
      <c r="M218" s="139">
        <f t="shared" ca="1" si="75"/>
        <v>2027730.9792081267</v>
      </c>
      <c r="N218" s="77">
        <f t="shared" ca="1" si="76"/>
        <v>1.3865489604063355E-2</v>
      </c>
      <c r="O218" s="137">
        <f t="shared" ca="1" si="77"/>
        <v>27730.979208126711</v>
      </c>
    </row>
    <row r="219" spans="1:15" ht="16.5" customHeight="1">
      <c r="A219" s="154">
        <v>8</v>
      </c>
      <c r="B219" s="154" t="str">
        <f>TEXT(투자전략!$G$1+7, "[$-ko-KR]yyyy.mm.dd")</f>
        <v>2021.06.08</v>
      </c>
      <c r="C219" s="134">
        <f t="shared" ca="1" si="65"/>
        <v>2000000</v>
      </c>
      <c r="D219" s="142">
        <f t="shared" ca="1" si="66"/>
        <v>1758735.3065730061</v>
      </c>
      <c r="E219" s="76">
        <f t="shared" ca="1" si="67"/>
        <v>-0.12063234671349701</v>
      </c>
      <c r="F219" s="141">
        <f t="shared" ca="1" si="68"/>
        <v>-241264.693426994</v>
      </c>
      <c r="G219" s="142">
        <f t="shared" ca="1" si="69"/>
        <v>1761448.7983304427</v>
      </c>
      <c r="H219" s="76">
        <f t="shared" ca="1" si="70"/>
        <v>-0.11927560083477864</v>
      </c>
      <c r="I219" s="141">
        <f t="shared" ca="1" si="71"/>
        <v>-238551.20166955725</v>
      </c>
      <c r="J219" s="142">
        <f t="shared" ca="1" si="72"/>
        <v>1778135.561968067</v>
      </c>
      <c r="K219" s="76">
        <f t="shared" ca="1" si="73"/>
        <v>-0.11093221901596648</v>
      </c>
      <c r="L219" s="141">
        <f t="shared" ca="1" si="74"/>
        <v>-221864.43803193292</v>
      </c>
      <c r="M219" s="142">
        <f t="shared" ca="1" si="75"/>
        <v>1657616.0176254096</v>
      </c>
      <c r="N219" s="76">
        <f t="shared" ca="1" si="76"/>
        <v>-0.17119199118729525</v>
      </c>
      <c r="O219" s="141">
        <f t="shared" ca="1" si="77"/>
        <v>-342383.98237459041</v>
      </c>
    </row>
    <row r="220" spans="1:15" ht="16.5" customHeight="1">
      <c r="A220" s="153">
        <v>9</v>
      </c>
      <c r="B220" s="153" t="str">
        <f>TEXT(투자전략!$G$1+8, "[$-ko-KR]yyyy.mm.dd")</f>
        <v>2021.06.09</v>
      </c>
      <c r="C220" s="135">
        <f t="shared" ca="1" si="65"/>
        <v>2000000</v>
      </c>
      <c r="D220" s="139">
        <f t="shared" ca="1" si="66"/>
        <v>2082769.4113713959</v>
      </c>
      <c r="E220" s="77">
        <f t="shared" ca="1" si="67"/>
        <v>4.1384705685697985E-2</v>
      </c>
      <c r="F220" s="137">
        <f t="shared" ca="1" si="68"/>
        <v>82769.411371395981</v>
      </c>
      <c r="G220" s="139">
        <f t="shared" ca="1" si="69"/>
        <v>2093506.1478577484</v>
      </c>
      <c r="H220" s="77">
        <f t="shared" ca="1" si="70"/>
        <v>4.6753073928874248E-2</v>
      </c>
      <c r="I220" s="137">
        <f t="shared" ca="1" si="71"/>
        <v>93506.14785774851</v>
      </c>
      <c r="J220" s="139">
        <f t="shared" ca="1" si="72"/>
        <v>2135484.0676985234</v>
      </c>
      <c r="K220" s="77">
        <f t="shared" ca="1" si="73"/>
        <v>6.7742033849261613E-2</v>
      </c>
      <c r="L220" s="137">
        <f t="shared" ca="1" si="74"/>
        <v>135484.0676985232</v>
      </c>
      <c r="M220" s="139">
        <f t="shared" ca="1" si="75"/>
        <v>2102165.004097708</v>
      </c>
      <c r="N220" s="77">
        <f t="shared" ca="1" si="76"/>
        <v>5.1082502048854159E-2</v>
      </c>
      <c r="O220" s="137">
        <f t="shared" ca="1" si="77"/>
        <v>102165.00409770834</v>
      </c>
    </row>
    <row r="221" spans="1:15" ht="16.5" customHeight="1">
      <c r="A221" s="153">
        <v>10</v>
      </c>
      <c r="B221" s="153" t="str">
        <f>TEXT(투자전략!$G$1+9, "[$-ko-KR]yyyy.mm.dd")</f>
        <v>2021.06.10</v>
      </c>
      <c r="C221" s="135">
        <f t="shared" ca="1" si="65"/>
        <v>2000000</v>
      </c>
      <c r="D221" s="139">
        <f t="shared" ca="1" si="66"/>
        <v>2087244.5191509437</v>
      </c>
      <c r="E221" s="77">
        <f t="shared" ca="1" si="67"/>
        <v>4.3622259575471792E-2</v>
      </c>
      <c r="F221" s="137">
        <f t="shared" ca="1" si="68"/>
        <v>87244.519150943554</v>
      </c>
      <c r="G221" s="139">
        <f t="shared" ca="1" si="69"/>
        <v>2130740.4177567419</v>
      </c>
      <c r="H221" s="77">
        <f t="shared" ca="1" si="70"/>
        <v>6.5370208878370958E-2</v>
      </c>
      <c r="I221" s="137">
        <f t="shared" ca="1" si="71"/>
        <v>130740.41775674191</v>
      </c>
      <c r="J221" s="139">
        <f t="shared" ca="1" si="72"/>
        <v>2129826.1397765791</v>
      </c>
      <c r="K221" s="77">
        <f t="shared" ca="1" si="73"/>
        <v>6.4913069888289696E-2</v>
      </c>
      <c r="L221" s="137">
        <f t="shared" ca="1" si="74"/>
        <v>129826.1397765794</v>
      </c>
      <c r="M221" s="139">
        <f t="shared" ca="1" si="75"/>
        <v>2102960.9915111721</v>
      </c>
      <c r="N221" s="77">
        <f t="shared" ca="1" si="76"/>
        <v>5.1480495755586123E-2</v>
      </c>
      <c r="O221" s="137">
        <f t="shared" ca="1" si="77"/>
        <v>102960.99151117225</v>
      </c>
    </row>
    <row r="222" spans="1:15" ht="16.5" customHeight="1">
      <c r="A222" s="153">
        <v>11</v>
      </c>
      <c r="B222" s="153" t="str">
        <f>TEXT(투자전략!$G$1+10, "[$-ko-KR]yyyy.mm.dd")</f>
        <v>2021.06.11</v>
      </c>
      <c r="C222" s="135">
        <f t="shared" ca="1" si="65"/>
        <v>2000000</v>
      </c>
      <c r="D222" s="139">
        <f t="shared" ca="1" si="66"/>
        <v>2024699.1276775317</v>
      </c>
      <c r="E222" s="77">
        <f t="shared" ca="1" si="67"/>
        <v>1.2349563838765856E-2</v>
      </c>
      <c r="F222" s="137">
        <f t="shared" ca="1" si="68"/>
        <v>24699.127677531706</v>
      </c>
      <c r="G222" s="139">
        <f t="shared" ca="1" si="69"/>
        <v>1980793.4142190099</v>
      </c>
      <c r="H222" s="77">
        <f t="shared" ca="1" si="70"/>
        <v>-9.6032928904949445E-3</v>
      </c>
      <c r="I222" s="137">
        <f t="shared" ca="1" si="71"/>
        <v>-19206.585780989903</v>
      </c>
      <c r="J222" s="139">
        <f t="shared" ca="1" si="72"/>
        <v>1967048.049344253</v>
      </c>
      <c r="K222" s="77">
        <f t="shared" ca="1" si="73"/>
        <v>-1.6475975327873524E-2</v>
      </c>
      <c r="L222" s="137">
        <f t="shared" ca="1" si="74"/>
        <v>-32951.950655747052</v>
      </c>
      <c r="M222" s="139">
        <f t="shared" ca="1" si="75"/>
        <v>1947470.468172594</v>
      </c>
      <c r="N222" s="77">
        <f t="shared" ca="1" si="76"/>
        <v>-2.6264765913703005E-2</v>
      </c>
      <c r="O222" s="137">
        <f t="shared" ca="1" si="77"/>
        <v>-52529.531827406005</v>
      </c>
    </row>
    <row r="223" spans="1:15" ht="16.5" customHeight="1">
      <c r="A223" s="153">
        <v>12</v>
      </c>
      <c r="B223" s="153" t="str">
        <f>TEXT(투자전략!$G$1+11, "[$-ko-KR]yyyy.mm.dd")</f>
        <v>2021.06.12</v>
      </c>
      <c r="C223" s="135">
        <f t="shared" ca="1" si="65"/>
        <v>2000000</v>
      </c>
      <c r="D223" s="139">
        <f t="shared" ca="1" si="66"/>
        <v>1661917.7902544963</v>
      </c>
      <c r="E223" s="77">
        <f t="shared" ca="1" si="67"/>
        <v>-0.16904110487275176</v>
      </c>
      <c r="F223" s="137">
        <f t="shared" ca="1" si="68"/>
        <v>-338082.20974550338</v>
      </c>
      <c r="G223" s="139">
        <f t="shared" ca="1" si="69"/>
        <v>1640673.653757557</v>
      </c>
      <c r="H223" s="77">
        <f t="shared" ca="1" si="70"/>
        <v>-0.17966317312122151</v>
      </c>
      <c r="I223" s="137">
        <f t="shared" ca="1" si="71"/>
        <v>-359326.34624244308</v>
      </c>
      <c r="J223" s="139">
        <f t="shared" ca="1" si="72"/>
        <v>1648939.0916523738</v>
      </c>
      <c r="K223" s="77">
        <f t="shared" ca="1" si="73"/>
        <v>-0.17553045417381311</v>
      </c>
      <c r="L223" s="137">
        <f t="shared" ca="1" si="74"/>
        <v>-351060.90834762622</v>
      </c>
      <c r="M223" s="139">
        <f t="shared" ca="1" si="75"/>
        <v>1665715.4249414876</v>
      </c>
      <c r="N223" s="77">
        <f t="shared" ca="1" si="76"/>
        <v>-0.16714228752925622</v>
      </c>
      <c r="O223" s="137">
        <f t="shared" ca="1" si="77"/>
        <v>-334284.57505851251</v>
      </c>
    </row>
    <row r="224" spans="1:15" ht="16.5" customHeight="1">
      <c r="A224" s="153">
        <v>13</v>
      </c>
      <c r="B224" s="153" t="str">
        <f>TEXT(투자전략!$G$1+12, "[$-ko-KR]yyyy.mm.dd")</f>
        <v>2021.06.13</v>
      </c>
      <c r="C224" s="135">
        <f t="shared" ca="1" si="65"/>
        <v>2000000</v>
      </c>
      <c r="D224" s="139">
        <f t="shared" ca="1" si="66"/>
        <v>1894955.2435109406</v>
      </c>
      <c r="E224" s="77">
        <f t="shared" ca="1" si="67"/>
        <v>-5.2522378244529599E-2</v>
      </c>
      <c r="F224" s="137">
        <f t="shared" ca="1" si="68"/>
        <v>-105044.75648905917</v>
      </c>
      <c r="G224" s="139">
        <f t="shared" ca="1" si="69"/>
        <v>1925705.3455483387</v>
      </c>
      <c r="H224" s="77">
        <f t="shared" ca="1" si="70"/>
        <v>-3.7147327225830751E-2</v>
      </c>
      <c r="I224" s="137">
        <f t="shared" ca="1" si="71"/>
        <v>-74294.65445166151</v>
      </c>
      <c r="J224" s="139">
        <f t="shared" ca="1" si="72"/>
        <v>1935785.1221325544</v>
      </c>
      <c r="K224" s="77">
        <f t="shared" ca="1" si="73"/>
        <v>-3.2107438933722789E-2</v>
      </c>
      <c r="L224" s="137">
        <f t="shared" ca="1" si="74"/>
        <v>-64214.877867445568</v>
      </c>
      <c r="M224" s="139">
        <f t="shared" ca="1" si="75"/>
        <v>1928785.2997942937</v>
      </c>
      <c r="N224" s="77">
        <f t="shared" ca="1" si="76"/>
        <v>-3.5607350102853076E-2</v>
      </c>
      <c r="O224" s="137">
        <f t="shared" ca="1" si="77"/>
        <v>-71214.700205706147</v>
      </c>
    </row>
    <row r="225" spans="1:15" ht="16.5" customHeight="1" thickBot="1">
      <c r="A225" s="155">
        <v>14</v>
      </c>
      <c r="B225" s="155" t="str">
        <f>TEXT(투자전략!$G$1+13, "[$-ko-KR]yyyy.mm.dd")</f>
        <v>2021.06.14</v>
      </c>
      <c r="C225" s="136">
        <f t="shared" ca="1" si="65"/>
        <v>2000000</v>
      </c>
      <c r="D225" s="140">
        <f t="shared" ca="1" si="66"/>
        <v>2280587.6142844362</v>
      </c>
      <c r="E225" s="79">
        <f t="shared" ca="1" si="67"/>
        <v>0.14029380714221806</v>
      </c>
      <c r="F225" s="138">
        <f t="shared" ca="1" si="68"/>
        <v>280587.61428443616</v>
      </c>
      <c r="G225" s="140">
        <f t="shared" ca="1" si="69"/>
        <v>2343574.9515260803</v>
      </c>
      <c r="H225" s="79">
        <f t="shared" ca="1" si="70"/>
        <v>0.17178747576304015</v>
      </c>
      <c r="I225" s="138">
        <f t="shared" ca="1" si="71"/>
        <v>343574.95152608032</v>
      </c>
      <c r="J225" s="140">
        <f t="shared" ca="1" si="72"/>
        <v>2276463.0090671368</v>
      </c>
      <c r="K225" s="79">
        <f t="shared" ca="1" si="73"/>
        <v>0.13823150453356842</v>
      </c>
      <c r="L225" s="138">
        <f t="shared" ca="1" si="74"/>
        <v>276463.00906713679</v>
      </c>
      <c r="M225" s="140">
        <f t="shared" ca="1" si="75"/>
        <v>2265402.4480204913</v>
      </c>
      <c r="N225" s="79">
        <f t="shared" ca="1" si="76"/>
        <v>0.13270122401024573</v>
      </c>
      <c r="O225" s="138">
        <f t="shared" ca="1" si="77"/>
        <v>265402.4480204914</v>
      </c>
    </row>
    <row r="226" spans="1:15" ht="16.5" customHeight="1">
      <c r="A226" s="154">
        <v>15</v>
      </c>
      <c r="B226" s="154" t="str">
        <f>TEXT(투자전략!$G$1+14, "[$-ko-KR]yyyy.mm.dd")</f>
        <v>2021.06.15</v>
      </c>
      <c r="C226" s="135">
        <f t="shared" ca="1" si="65"/>
        <v>2000000</v>
      </c>
      <c r="D226" s="139">
        <f t="shared" ca="1" si="66"/>
        <v>2018741.1424675426</v>
      </c>
      <c r="E226" s="77">
        <f t="shared" ca="1" si="67"/>
        <v>9.370571233771172E-3</v>
      </c>
      <c r="F226" s="137">
        <f t="shared" ca="1" si="68"/>
        <v>18741.142467542337</v>
      </c>
      <c r="G226" s="139">
        <f t="shared" ca="1" si="69"/>
        <v>1998343.3978012616</v>
      </c>
      <c r="H226" s="77">
        <f t="shared" ca="1" si="70"/>
        <v>-8.2830109936911952E-4</v>
      </c>
      <c r="I226" s="137">
        <f t="shared" ca="1" si="71"/>
        <v>-1656.6021987382369</v>
      </c>
      <c r="J226" s="139">
        <f t="shared" ca="1" si="72"/>
        <v>1996596.8844234261</v>
      </c>
      <c r="K226" s="77">
        <f t="shared" ca="1" si="73"/>
        <v>-1.7015577882869906E-3</v>
      </c>
      <c r="L226" s="137">
        <f t="shared" ca="1" si="74"/>
        <v>-3403.1155765739809</v>
      </c>
      <c r="M226" s="139">
        <f t="shared" ca="1" si="75"/>
        <v>1991858.7614012887</v>
      </c>
      <c r="N226" s="77">
        <f t="shared" ca="1" si="76"/>
        <v>-4.070619299355668E-3</v>
      </c>
      <c r="O226" s="137">
        <f t="shared" ca="1" si="77"/>
        <v>-8141.2385987113339</v>
      </c>
    </row>
    <row r="227" spans="1:15" ht="16.5" customHeight="1">
      <c r="A227" s="153">
        <v>16</v>
      </c>
      <c r="B227" s="153" t="str">
        <f>TEXT(투자전략!$G$1+15, "[$-ko-KR]yyyy.mm.dd")</f>
        <v>2021.06.16</v>
      </c>
      <c r="C227" s="135">
        <f t="shared" ca="1" si="65"/>
        <v>2000000</v>
      </c>
      <c r="D227" s="139">
        <f t="shared" ca="1" si="66"/>
        <v>2000000</v>
      </c>
      <c r="E227" s="77">
        <f t="shared" ca="1" si="67"/>
        <v>0</v>
      </c>
      <c r="F227" s="137">
        <f t="shared" ca="1" si="68"/>
        <v>0</v>
      </c>
      <c r="G227" s="139">
        <f t="shared" ca="1" si="69"/>
        <v>2000000</v>
      </c>
      <c r="H227" s="77">
        <f t="shared" ca="1" si="70"/>
        <v>0</v>
      </c>
      <c r="I227" s="137">
        <f t="shared" ca="1" si="71"/>
        <v>0</v>
      </c>
      <c r="J227" s="139">
        <f t="shared" ca="1" si="72"/>
        <v>1938238.6089709885</v>
      </c>
      <c r="K227" s="77">
        <f t="shared" ca="1" si="73"/>
        <v>-3.0880695514505768E-2</v>
      </c>
      <c r="L227" s="137">
        <f t="shared" ca="1" si="74"/>
        <v>-61761.391029011545</v>
      </c>
      <c r="M227" s="139">
        <f t="shared" ca="1" si="75"/>
        <v>2000000</v>
      </c>
      <c r="N227" s="77">
        <f t="shared" ca="1" si="76"/>
        <v>0</v>
      </c>
      <c r="O227" s="137">
        <f t="shared" ca="1" si="77"/>
        <v>0</v>
      </c>
    </row>
    <row r="228" spans="1:15" ht="16.5" customHeight="1">
      <c r="A228" s="153">
        <v>17</v>
      </c>
      <c r="B228" s="153" t="str">
        <f>TEXT(투자전략!$G$1+16, "[$-ko-KR]yyyy.mm.dd")</f>
        <v>2021.06.17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2021.06.18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2021.06.19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2021.06.20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2021.06.21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2021.06.22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2021.06.23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2021.06.24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2021.06.25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2021.06.26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2021.06.27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2021.06.28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2021.06.29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2021.06.30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2021.07.01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74" t="s">
        <v>313</v>
      </c>
      <c r="B243" s="276"/>
      <c r="C243" s="132" t="s">
        <v>308</v>
      </c>
      <c r="D243" s="150" t="s">
        <v>309</v>
      </c>
      <c r="E243" s="151" t="s">
        <v>310</v>
      </c>
      <c r="F243" s="152" t="s">
        <v>311</v>
      </c>
      <c r="G243" s="150" t="s">
        <v>309</v>
      </c>
      <c r="H243" s="151" t="s">
        <v>310</v>
      </c>
      <c r="I243" s="152" t="s">
        <v>311</v>
      </c>
      <c r="J243" s="150" t="s">
        <v>309</v>
      </c>
      <c r="K243" s="151" t="s">
        <v>310</v>
      </c>
      <c r="L243" s="152" t="s">
        <v>311</v>
      </c>
      <c r="M243" s="150" t="s">
        <v>309</v>
      </c>
      <c r="N243" s="151" t="s">
        <v>310</v>
      </c>
      <c r="O243" s="152" t="s">
        <v>311</v>
      </c>
    </row>
    <row r="244" spans="1:15" ht="16.5" customHeight="1" thickBot="1">
      <c r="A244" s="267"/>
      <c r="B244" s="269"/>
      <c r="C244" s="136">
        <f ca="1">SUM(C212:C242)</f>
        <v>32000000</v>
      </c>
      <c r="D244" s="140">
        <f ca="1">SUM(D212:D242)</f>
        <v>31945464.817288212</v>
      </c>
      <c r="E244" s="79">
        <f ca="1">IFERROR(F244 / (SUM($C212:$C242) / COUNT($C212:$C242)), 0)</f>
        <v>-2.7267591355891657E-2</v>
      </c>
      <c r="F244" s="138">
        <f ca="1">SUM(F212:F242)</f>
        <v>-54535.182711783316</v>
      </c>
      <c r="G244" s="140">
        <f ca="1">SUM(G212:G242)</f>
        <v>31953981.983675744</v>
      </c>
      <c r="H244" s="79">
        <f ca="1">IFERROR(I244 / (SUM($C212:$C242) / COUNT($C212:$C242)), 0)</f>
        <v>-2.3009008162127767E-2</v>
      </c>
      <c r="I244" s="138">
        <f ca="1">SUM(I212:I242)</f>
        <v>-46018.016324255535</v>
      </c>
      <c r="J244" s="140">
        <f ca="1">SUM(J212:J242)</f>
        <v>31797620.166720219</v>
      </c>
      <c r="K244" s="79">
        <f ca="1">IFERROR(L244 / (SUM($C212:$C242) / COUNT($C212:$C242)), 0)</f>
        <v>-0.10118991663989335</v>
      </c>
      <c r="L244" s="138">
        <f ca="1">SUM(L212:L242)</f>
        <v>-202379.83327978669</v>
      </c>
      <c r="M244" s="140">
        <f ca="1">SUM(M212:M242)</f>
        <v>31733644.851427492</v>
      </c>
      <c r="N244" s="79">
        <f ca="1">IFERROR(O244 / (SUM($C212:$C242) / COUNT($C212:$C242)), 0)</f>
        <v>-0.13317757428625604</v>
      </c>
      <c r="O244" s="138">
        <f ca="1">SUM(O212:O242)</f>
        <v>-266355.14857251209</v>
      </c>
    </row>
    <row r="246" spans="1:15" ht="16.5" customHeight="1" thickBot="1"/>
    <row r="247" spans="1:15" ht="16.5" customHeight="1" thickBot="1">
      <c r="A247" s="246" t="str">
        <f>TEXT(투자전략!$G$1, "[$-ko-KR]yyyy년 mm월 ") &amp; "전일대비 상승률 Bottom20 월말결산"</f>
        <v>2021년 06월 전일대비 상승률 Bottom20 월말결산</v>
      </c>
      <c r="B247" s="247"/>
      <c r="C247" s="247"/>
      <c r="D247" s="247"/>
      <c r="E247" s="247"/>
      <c r="F247" s="247"/>
      <c r="G247" s="247"/>
      <c r="H247" s="247"/>
      <c r="I247" s="247"/>
      <c r="J247" s="247"/>
      <c r="K247" s="247"/>
      <c r="L247" s="247"/>
      <c r="M247" s="247"/>
      <c r="N247" s="247"/>
      <c r="O247" s="248"/>
    </row>
    <row r="248" spans="1:15" ht="16.5" customHeight="1" thickBot="1">
      <c r="A248" s="290" t="s">
        <v>314</v>
      </c>
      <c r="B248" s="267" t="s">
        <v>312</v>
      </c>
      <c r="C248" s="269"/>
      <c r="D248" s="267" t="s">
        <v>304</v>
      </c>
      <c r="E248" s="268"/>
      <c r="F248" s="269"/>
      <c r="G248" s="267" t="s">
        <v>305</v>
      </c>
      <c r="H248" s="268"/>
      <c r="I248" s="269"/>
      <c r="J248" s="267" t="s">
        <v>306</v>
      </c>
      <c r="K248" s="268"/>
      <c r="L248" s="269"/>
      <c r="M248" s="267" t="s">
        <v>307</v>
      </c>
      <c r="N248" s="268"/>
      <c r="O248" s="269"/>
    </row>
    <row r="249" spans="1:15" ht="16.5" customHeight="1" thickBot="1">
      <c r="A249" s="283"/>
      <c r="B249" s="154" t="s">
        <v>302</v>
      </c>
      <c r="C249" s="154" t="s">
        <v>42</v>
      </c>
      <c r="D249" s="121" t="s">
        <v>303</v>
      </c>
      <c r="E249" s="133" t="s">
        <v>40</v>
      </c>
      <c r="F249" s="156" t="s">
        <v>41</v>
      </c>
      <c r="G249" s="121" t="s">
        <v>303</v>
      </c>
      <c r="H249" s="133" t="s">
        <v>40</v>
      </c>
      <c r="I249" s="156" t="s">
        <v>41</v>
      </c>
      <c r="J249" s="121" t="s">
        <v>303</v>
      </c>
      <c r="K249" s="133" t="s">
        <v>40</v>
      </c>
      <c r="L249" s="156" t="s">
        <v>41</v>
      </c>
      <c r="M249" s="121" t="s">
        <v>303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2021.06.01</v>
      </c>
      <c r="C250" s="134">
        <f ca="1">IFERROR(COUNTA(INDIRECT($B250&amp;"!A179:A198")) * INDIRECT($B250&amp;"!B199"), "")</f>
        <v>2000000</v>
      </c>
      <c r="D250" s="142">
        <f ca="1">IFERROR($C250 * (1 + E250), "")</f>
        <v>2046865.9339079109</v>
      </c>
      <c r="E250" s="76">
        <f ca="1">IFERROR(INDIRECT($B250&amp;"!E199"), "")</f>
        <v>2.3432966953955501E-2</v>
      </c>
      <c r="F250" s="141">
        <f ca="1">IFERROR(INDIRECT($B250&amp;"!F199"), "")</f>
        <v>46865.933907911007</v>
      </c>
      <c r="G250" s="142">
        <f ca="1">IFERROR($C250 * (1 + H250), "")</f>
        <v>2013260.6126412256</v>
      </c>
      <c r="H250" s="76">
        <f ca="1">IFERROR(INDIRECT($B250&amp;"!H199"), "")</f>
        <v>6.6303063206126934E-3</v>
      </c>
      <c r="I250" s="141">
        <f ca="1">IFERROR(INDIRECT($B250&amp;"!I199"), "")</f>
        <v>13260.612641225391</v>
      </c>
      <c r="J250" s="142">
        <f ca="1">IFERROR($C250 * (1 + K250), "")</f>
        <v>2030178.323556009</v>
      </c>
      <c r="K250" s="76">
        <f ca="1">IFERROR(INDIRECT($B250&amp;"!K199"), "")</f>
        <v>1.5089161778004425E-2</v>
      </c>
      <c r="L250" s="141">
        <f ca="1">IFERROR(INDIRECT($B250&amp;"!L199"), "")</f>
        <v>30178.323556008861</v>
      </c>
      <c r="M250" s="142">
        <f ca="1">IFERROR($C250 * (1 + N250), "")</f>
        <v>2024905.2946338675</v>
      </c>
      <c r="N250" s="76">
        <f ca="1">IFERROR(INDIRECT($B250&amp;"!N199"), "")</f>
        <v>1.2452647316933779E-2</v>
      </c>
      <c r="O250" s="141">
        <f ca="1">IFERROR(INDIRECT($B250&amp;"!O199"), "")</f>
        <v>24905.294633867568</v>
      </c>
    </row>
    <row r="251" spans="1:15" ht="16.5" customHeight="1">
      <c r="A251" s="153">
        <v>2</v>
      </c>
      <c r="B251" s="153" t="str">
        <f>TEXT(투자전략!$G$1+1, "[$-ko-KR]yyyy.mm.dd")</f>
        <v>2021.06.02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2011431.3446041199</v>
      </c>
      <c r="E251" s="77">
        <f t="shared" ref="E251:E280" ca="1" si="80">IFERROR(INDIRECT($B251&amp;"!E199"), "")</f>
        <v>5.7156723020599185E-3</v>
      </c>
      <c r="F251" s="137">
        <f t="shared" ref="F251:F280" ca="1" si="81">IFERROR(INDIRECT($B251&amp;"!F199"), "")</f>
        <v>11431.344604119835</v>
      </c>
      <c r="G251" s="139">
        <f t="shared" ref="G251:G280" ca="1" si="82">IFERROR($C251 * (1 + H251), "")</f>
        <v>1997436.188104237</v>
      </c>
      <c r="H251" s="77">
        <f t="shared" ref="H251:H280" ca="1" si="83">IFERROR(INDIRECT($B251&amp;"!H199"), "")</f>
        <v>-1.2819059478814206E-3</v>
      </c>
      <c r="I251" s="137">
        <f t="shared" ref="I251:I280" ca="1" si="84">IFERROR(INDIRECT($B251&amp;"!I199"), "")</f>
        <v>-2563.8118957628412</v>
      </c>
      <c r="J251" s="139">
        <f t="shared" ref="J251:J280" ca="1" si="85">IFERROR($C251 * (1 + K251), "")</f>
        <v>1999865.5911005628</v>
      </c>
      <c r="K251" s="77">
        <f t="shared" ref="K251:K280" ca="1" si="86">IFERROR(INDIRECT($B251&amp;"!K199"), "")</f>
        <v>-6.7204449718674236E-5</v>
      </c>
      <c r="L251" s="137">
        <f t="shared" ref="L251:L280" ca="1" si="87">IFERROR(INDIRECT($B251&amp;"!L199"), "")</f>
        <v>-134.40889943734868</v>
      </c>
      <c r="M251" s="139">
        <f t="shared" ref="M251:M280" ca="1" si="88">IFERROR($C251 * (1 + N251), "")</f>
        <v>2041902.5905505258</v>
      </c>
      <c r="N251" s="77">
        <f t="shared" ref="N251:N280" ca="1" si="89">IFERROR(INDIRECT($B251&amp;"!N199"), "")</f>
        <v>2.0951295275262856E-2</v>
      </c>
      <c r="O251" s="137">
        <f t="shared" ref="O251:O280" ca="1" si="90">IFERROR(INDIRECT($B251&amp;"!O199"), "")</f>
        <v>41902.590550525711</v>
      </c>
    </row>
    <row r="252" spans="1:15" ht="16.5" customHeight="1">
      <c r="A252" s="153">
        <v>3</v>
      </c>
      <c r="B252" s="153" t="str">
        <f>TEXT(투자전략!$G$1+2, "[$-ko-KR]yyyy.mm.dd")</f>
        <v>2021.06.03</v>
      </c>
      <c r="C252" s="135">
        <f t="shared" ca="1" si="78"/>
        <v>2000000</v>
      </c>
      <c r="D252" s="139">
        <f t="shared" ca="1" si="79"/>
        <v>2035188.3233720942</v>
      </c>
      <c r="E252" s="77">
        <f t="shared" ca="1" si="80"/>
        <v>1.7594161686047095E-2</v>
      </c>
      <c r="F252" s="137">
        <f t="shared" ca="1" si="81"/>
        <v>35188.323372094193</v>
      </c>
      <c r="G252" s="139">
        <f t="shared" ca="1" si="82"/>
        <v>2071026.3040097563</v>
      </c>
      <c r="H252" s="77">
        <f t="shared" ca="1" si="83"/>
        <v>3.551315200487816E-2</v>
      </c>
      <c r="I252" s="137">
        <f t="shared" ca="1" si="84"/>
        <v>71026.304009756306</v>
      </c>
      <c r="J252" s="139">
        <f t="shared" ca="1" si="85"/>
        <v>2047440.9337807535</v>
      </c>
      <c r="K252" s="77">
        <f t="shared" ca="1" si="86"/>
        <v>2.3720466890376723E-2</v>
      </c>
      <c r="L252" s="137">
        <f t="shared" ca="1" si="87"/>
        <v>47440.933780753447</v>
      </c>
      <c r="M252" s="139">
        <f t="shared" ca="1" si="88"/>
        <v>2058239.5969649584</v>
      </c>
      <c r="N252" s="77">
        <f t="shared" ca="1" si="89"/>
        <v>2.9119798482479052E-2</v>
      </c>
      <c r="O252" s="137">
        <f t="shared" ca="1" si="90"/>
        <v>58239.596964958095</v>
      </c>
    </row>
    <row r="253" spans="1:15" ht="16.5" customHeight="1">
      <c r="A253" s="153">
        <v>4</v>
      </c>
      <c r="B253" s="153" t="str">
        <f>TEXT(투자전략!$G$1+3, "[$-ko-KR]yyyy.mm.dd")</f>
        <v>2021.06.04</v>
      </c>
      <c r="C253" s="135">
        <f t="shared" ca="1" si="78"/>
        <v>2000000</v>
      </c>
      <c r="D253" s="139">
        <f t="shared" ca="1" si="79"/>
        <v>1979432.965116835</v>
      </c>
      <c r="E253" s="77">
        <f t="shared" ca="1" si="80"/>
        <v>-1.0283517441582566E-2</v>
      </c>
      <c r="F253" s="137">
        <f t="shared" ca="1" si="81"/>
        <v>-20567.034883165135</v>
      </c>
      <c r="G253" s="139">
        <f t="shared" ca="1" si="82"/>
        <v>1916344.1277477148</v>
      </c>
      <c r="H253" s="77">
        <f t="shared" ca="1" si="83"/>
        <v>-4.1827936126142669E-2</v>
      </c>
      <c r="I253" s="137">
        <f t="shared" ca="1" si="84"/>
        <v>-83655.872252285306</v>
      </c>
      <c r="J253" s="139">
        <f t="shared" ca="1" si="85"/>
        <v>1868859.6448007741</v>
      </c>
      <c r="K253" s="77">
        <f t="shared" ca="1" si="86"/>
        <v>-6.5570177599612894E-2</v>
      </c>
      <c r="L253" s="137">
        <f t="shared" ca="1" si="87"/>
        <v>-131140.35519922574</v>
      </c>
      <c r="M253" s="139">
        <f t="shared" ca="1" si="88"/>
        <v>1912340.589950081</v>
      </c>
      <c r="N253" s="77">
        <f t="shared" ca="1" si="89"/>
        <v>-4.3829705024959545E-2</v>
      </c>
      <c r="O253" s="137">
        <f t="shared" ca="1" si="90"/>
        <v>-87659.410049919097</v>
      </c>
    </row>
    <row r="254" spans="1:15" ht="16.5" customHeight="1">
      <c r="A254" s="153">
        <v>5</v>
      </c>
      <c r="B254" s="153" t="str">
        <f>TEXT(투자전략!$G$1+4, "[$-ko-KR]yyyy.mm.dd")</f>
        <v>2021.06.05</v>
      </c>
      <c r="C254" s="135">
        <f t="shared" ca="1" si="78"/>
        <v>2000000</v>
      </c>
      <c r="D254" s="139">
        <f t="shared" ca="1" si="79"/>
        <v>2038590.5476962756</v>
      </c>
      <c r="E254" s="77">
        <f t="shared" ca="1" si="80"/>
        <v>1.9295273848137839E-2</v>
      </c>
      <c r="F254" s="137">
        <f t="shared" ca="1" si="81"/>
        <v>38590.547696275687</v>
      </c>
      <c r="G254" s="139">
        <f t="shared" ca="1" si="82"/>
        <v>1995643.6150510327</v>
      </c>
      <c r="H254" s="77">
        <f t="shared" ca="1" si="83"/>
        <v>-2.1781924744835395E-3</v>
      </c>
      <c r="I254" s="137">
        <f t="shared" ca="1" si="84"/>
        <v>-4356.3849489670774</v>
      </c>
      <c r="J254" s="139">
        <f t="shared" ca="1" si="85"/>
        <v>1940334.9740076172</v>
      </c>
      <c r="K254" s="77">
        <f t="shared" ca="1" si="86"/>
        <v>-2.9832512996191336E-2</v>
      </c>
      <c r="L254" s="137">
        <f t="shared" ca="1" si="87"/>
        <v>-59665.02599238266</v>
      </c>
      <c r="M254" s="139">
        <f t="shared" ca="1" si="88"/>
        <v>1955506.5356321174</v>
      </c>
      <c r="N254" s="77">
        <f t="shared" ca="1" si="89"/>
        <v>-2.2246732183941218E-2</v>
      </c>
      <c r="O254" s="137">
        <f t="shared" ca="1" si="90"/>
        <v>-44493.464367882429</v>
      </c>
    </row>
    <row r="255" spans="1:15" ht="16.5" customHeight="1">
      <c r="A255" s="153">
        <v>6</v>
      </c>
      <c r="B255" s="153" t="str">
        <f>TEXT(투자전략!$G$1+5, "[$-ko-KR]yyyy.mm.dd")</f>
        <v>2021.06.06</v>
      </c>
      <c r="C255" s="135">
        <f t="shared" ca="1" si="78"/>
        <v>2000000</v>
      </c>
      <c r="D255" s="139">
        <f t="shared" ca="1" si="79"/>
        <v>2017696.6209273513</v>
      </c>
      <c r="E255" s="77">
        <f t="shared" ca="1" si="80"/>
        <v>8.8483104636756064E-3</v>
      </c>
      <c r="F255" s="137">
        <f t="shared" ca="1" si="81"/>
        <v>17696.620927351207</v>
      </c>
      <c r="G255" s="139">
        <f t="shared" ca="1" si="82"/>
        <v>2061509.8895344115</v>
      </c>
      <c r="H255" s="77">
        <f t="shared" ca="1" si="83"/>
        <v>3.0754944767205646E-2</v>
      </c>
      <c r="I255" s="137">
        <f t="shared" ca="1" si="84"/>
        <v>61509.889534411297</v>
      </c>
      <c r="J255" s="139">
        <f t="shared" ca="1" si="85"/>
        <v>2058656.3262071679</v>
      </c>
      <c r="K255" s="77">
        <f t="shared" ca="1" si="86"/>
        <v>2.932816310358391E-2</v>
      </c>
      <c r="L255" s="137">
        <f t="shared" ca="1" si="87"/>
        <v>58656.326207167825</v>
      </c>
      <c r="M255" s="139">
        <f t="shared" ca="1" si="88"/>
        <v>2039877.7451772792</v>
      </c>
      <c r="N255" s="77">
        <f t="shared" ca="1" si="89"/>
        <v>1.9938872588639679E-2</v>
      </c>
      <c r="O255" s="137">
        <f t="shared" ca="1" si="90"/>
        <v>39877.74517727935</v>
      </c>
    </row>
    <row r="256" spans="1:15" ht="16.5" customHeight="1" thickBot="1">
      <c r="A256" s="155">
        <v>7</v>
      </c>
      <c r="B256" s="155" t="str">
        <f>TEXT(투자전략!$G$1+6, "[$-ko-KR]yyyy.mm.dd")</f>
        <v>2021.06.07</v>
      </c>
      <c r="C256" s="135">
        <f t="shared" ca="1" si="78"/>
        <v>2000000</v>
      </c>
      <c r="D256" s="139">
        <f t="shared" ca="1" si="79"/>
        <v>2025471.8893411944</v>
      </c>
      <c r="E256" s="77">
        <f t="shared" ca="1" si="80"/>
        <v>1.2735944670597238E-2</v>
      </c>
      <c r="F256" s="137">
        <f t="shared" ca="1" si="81"/>
        <v>25471.889341194474</v>
      </c>
      <c r="G256" s="139">
        <f t="shared" ca="1" si="82"/>
        <v>2023890.9237437604</v>
      </c>
      <c r="H256" s="77">
        <f t="shared" ca="1" si="83"/>
        <v>1.1945461871880256E-2</v>
      </c>
      <c r="I256" s="137">
        <f t="shared" ca="1" si="84"/>
        <v>23890.923743760515</v>
      </c>
      <c r="J256" s="139">
        <f t="shared" ca="1" si="85"/>
        <v>2031471.9726496513</v>
      </c>
      <c r="K256" s="77">
        <f t="shared" ca="1" si="86"/>
        <v>1.5735986324825642E-2</v>
      </c>
      <c r="L256" s="137">
        <f t="shared" ca="1" si="87"/>
        <v>31471.972649651296</v>
      </c>
      <c r="M256" s="139">
        <f t="shared" ca="1" si="88"/>
        <v>2032402.4892326125</v>
      </c>
      <c r="N256" s="77">
        <f t="shared" ca="1" si="89"/>
        <v>1.6201244616306221E-2</v>
      </c>
      <c r="O256" s="137">
        <f t="shared" ca="1" si="90"/>
        <v>32402.489232612439</v>
      </c>
    </row>
    <row r="257" spans="1:15" ht="16.5" customHeight="1">
      <c r="A257" s="154">
        <v>8</v>
      </c>
      <c r="B257" s="154" t="str">
        <f>TEXT(투자전략!$G$1+7, "[$-ko-KR]yyyy.mm.dd")</f>
        <v>2021.06.08</v>
      </c>
      <c r="C257" s="134">
        <f t="shared" ca="1" si="78"/>
        <v>2000000</v>
      </c>
      <c r="D257" s="142">
        <f t="shared" ca="1" si="79"/>
        <v>1742796.9657233078</v>
      </c>
      <c r="E257" s="76">
        <f t="shared" ca="1" si="80"/>
        <v>-0.12860151713834614</v>
      </c>
      <c r="F257" s="141">
        <f t="shared" ca="1" si="81"/>
        <v>-257203.03427669225</v>
      </c>
      <c r="G257" s="142">
        <f t="shared" ca="1" si="82"/>
        <v>1744004.5982798224</v>
      </c>
      <c r="H257" s="76">
        <f t="shared" ca="1" si="83"/>
        <v>-0.12799770086008874</v>
      </c>
      <c r="I257" s="141">
        <f t="shared" ca="1" si="84"/>
        <v>-255995.4017201775</v>
      </c>
      <c r="J257" s="142">
        <f t="shared" ca="1" si="85"/>
        <v>1757693.3004874215</v>
      </c>
      <c r="K257" s="76">
        <f t="shared" ca="1" si="86"/>
        <v>-0.12115334975628918</v>
      </c>
      <c r="L257" s="141">
        <f t="shared" ca="1" si="87"/>
        <v>-242306.6995125784</v>
      </c>
      <c r="M257" s="142">
        <f t="shared" ca="1" si="88"/>
        <v>1644302.3412608758</v>
      </c>
      <c r="N257" s="76">
        <f t="shared" ca="1" si="89"/>
        <v>-0.1778488293695622</v>
      </c>
      <c r="O257" s="141">
        <f t="shared" ca="1" si="90"/>
        <v>-355697.65873912442</v>
      </c>
    </row>
    <row r="258" spans="1:15" ht="16.5" customHeight="1">
      <c r="A258" s="153">
        <v>9</v>
      </c>
      <c r="B258" s="153" t="str">
        <f>TEXT(투자전략!$G$1+8, "[$-ko-KR]yyyy.mm.dd")</f>
        <v>2021.06.09</v>
      </c>
      <c r="C258" s="135">
        <f t="shared" ca="1" si="78"/>
        <v>2000000</v>
      </c>
      <c r="D258" s="139">
        <f t="shared" ca="1" si="79"/>
        <v>2110229.8150709337</v>
      </c>
      <c r="E258" s="77">
        <f t="shared" ca="1" si="80"/>
        <v>5.5114907535466995E-2</v>
      </c>
      <c r="F258" s="137">
        <f t="shared" ca="1" si="81"/>
        <v>110229.81507093401</v>
      </c>
      <c r="G258" s="139">
        <f t="shared" ca="1" si="82"/>
        <v>2113771.0866782754</v>
      </c>
      <c r="H258" s="77">
        <f t="shared" ca="1" si="83"/>
        <v>5.6885543339137742E-2</v>
      </c>
      <c r="I258" s="137">
        <f t="shared" ca="1" si="84"/>
        <v>113771.08667827549</v>
      </c>
      <c r="J258" s="139">
        <f t="shared" ca="1" si="85"/>
        <v>2136574.6955175758</v>
      </c>
      <c r="K258" s="77">
        <f t="shared" ca="1" si="86"/>
        <v>6.8287347758788003E-2</v>
      </c>
      <c r="L258" s="137">
        <f t="shared" ca="1" si="87"/>
        <v>136574.69551757604</v>
      </c>
      <c r="M258" s="139">
        <f t="shared" ca="1" si="88"/>
        <v>2123218.8757103398</v>
      </c>
      <c r="N258" s="77">
        <f t="shared" ca="1" si="89"/>
        <v>6.1609437855169827E-2</v>
      </c>
      <c r="O258" s="137">
        <f t="shared" ca="1" si="90"/>
        <v>123218.87571033965</v>
      </c>
    </row>
    <row r="259" spans="1:15" ht="16.5" customHeight="1">
      <c r="A259" s="153">
        <v>10</v>
      </c>
      <c r="B259" s="153" t="str">
        <f>TEXT(투자전략!$G$1+9, "[$-ko-KR]yyyy.mm.dd")</f>
        <v>2021.06.10</v>
      </c>
      <c r="C259" s="135">
        <f t="shared" ca="1" si="78"/>
        <v>2000000</v>
      </c>
      <c r="D259" s="139">
        <f t="shared" ca="1" si="79"/>
        <v>2125299.4439903707</v>
      </c>
      <c r="E259" s="77">
        <f t="shared" ca="1" si="80"/>
        <v>6.2649721995185315E-2</v>
      </c>
      <c r="F259" s="137">
        <f t="shared" ca="1" si="81"/>
        <v>125299.44399037061</v>
      </c>
      <c r="G259" s="139">
        <f t="shared" ca="1" si="82"/>
        <v>2184172.1891156849</v>
      </c>
      <c r="H259" s="77">
        <f t="shared" ca="1" si="83"/>
        <v>9.2086094557842502E-2</v>
      </c>
      <c r="I259" s="137">
        <f t="shared" ca="1" si="84"/>
        <v>184172.18911568506</v>
      </c>
      <c r="J259" s="139">
        <f t="shared" ca="1" si="85"/>
        <v>2176421.8470929619</v>
      </c>
      <c r="K259" s="77">
        <f t="shared" ca="1" si="86"/>
        <v>8.821092354648101E-2</v>
      </c>
      <c r="L259" s="137">
        <f t="shared" ca="1" si="87"/>
        <v>176421.84709296201</v>
      </c>
      <c r="M259" s="139">
        <f t="shared" ca="1" si="88"/>
        <v>2136633.4403005484</v>
      </c>
      <c r="N259" s="77">
        <f t="shared" ca="1" si="89"/>
        <v>6.8316720150274055E-2</v>
      </c>
      <c r="O259" s="137">
        <f t="shared" ca="1" si="90"/>
        <v>136633.4403005481</v>
      </c>
    </row>
    <row r="260" spans="1:15" ht="16.5" customHeight="1">
      <c r="A260" s="153">
        <v>11</v>
      </c>
      <c r="B260" s="153" t="str">
        <f>TEXT(투자전략!$G$1+10, "[$-ko-KR]yyyy.mm.dd")</f>
        <v>2021.06.11</v>
      </c>
      <c r="C260" s="135">
        <f t="shared" ca="1" si="78"/>
        <v>2000000</v>
      </c>
      <c r="D260" s="139">
        <f t="shared" ca="1" si="79"/>
        <v>1953899.9665056134</v>
      </c>
      <c r="E260" s="77">
        <f t="shared" ca="1" si="80"/>
        <v>-2.3050016747193276E-2</v>
      </c>
      <c r="F260" s="137">
        <f t="shared" ca="1" si="81"/>
        <v>-46100.033494386545</v>
      </c>
      <c r="G260" s="139">
        <f t="shared" ca="1" si="82"/>
        <v>1917723.2365163292</v>
      </c>
      <c r="H260" s="77">
        <f t="shared" ca="1" si="83"/>
        <v>-4.1138381741835317E-2</v>
      </c>
      <c r="I260" s="137">
        <f t="shared" ca="1" si="84"/>
        <v>-82276.763483670642</v>
      </c>
      <c r="J260" s="139">
        <f t="shared" ca="1" si="85"/>
        <v>1901941.7693825117</v>
      </c>
      <c r="K260" s="77">
        <f t="shared" ca="1" si="86"/>
        <v>-4.9029115308744112E-2</v>
      </c>
      <c r="L260" s="137">
        <f t="shared" ca="1" si="87"/>
        <v>-98058.23061748824</v>
      </c>
      <c r="M260" s="139">
        <f t="shared" ca="1" si="88"/>
        <v>1893510.0852790864</v>
      </c>
      <c r="N260" s="77">
        <f t="shared" ca="1" si="89"/>
        <v>-5.3244957360456889E-2</v>
      </c>
      <c r="O260" s="137">
        <f t="shared" ca="1" si="90"/>
        <v>-106489.9147209138</v>
      </c>
    </row>
    <row r="261" spans="1:15" ht="16.5" customHeight="1">
      <c r="A261" s="153">
        <v>12</v>
      </c>
      <c r="B261" s="153" t="str">
        <f>TEXT(투자전략!$G$1+11, "[$-ko-KR]yyyy.mm.dd")</f>
        <v>2021.06.12</v>
      </c>
      <c r="C261" s="135">
        <f t="shared" ca="1" si="78"/>
        <v>2000000</v>
      </c>
      <c r="D261" s="139">
        <f t="shared" ca="1" si="79"/>
        <v>1533834.3374388684</v>
      </c>
      <c r="E261" s="77">
        <f t="shared" ca="1" si="80"/>
        <v>-0.23308283128056581</v>
      </c>
      <c r="F261" s="137">
        <f t="shared" ca="1" si="81"/>
        <v>-466165.6625611317</v>
      </c>
      <c r="G261" s="139">
        <f t="shared" ca="1" si="82"/>
        <v>1515536.9164415728</v>
      </c>
      <c r="H261" s="77">
        <f t="shared" ca="1" si="83"/>
        <v>-0.24223154177921352</v>
      </c>
      <c r="I261" s="137">
        <f t="shared" ca="1" si="84"/>
        <v>-484463.08355842717</v>
      </c>
      <c r="J261" s="139">
        <f t="shared" ca="1" si="85"/>
        <v>1506863.295451863</v>
      </c>
      <c r="K261" s="77">
        <f t="shared" ca="1" si="86"/>
        <v>-0.24656835227406854</v>
      </c>
      <c r="L261" s="137">
        <f t="shared" ca="1" si="87"/>
        <v>-493136.70454813703</v>
      </c>
      <c r="M261" s="139">
        <f t="shared" ca="1" si="88"/>
        <v>1519660.7900452686</v>
      </c>
      <c r="N261" s="77">
        <f t="shared" ca="1" si="89"/>
        <v>-0.2401696049773657</v>
      </c>
      <c r="O261" s="137">
        <f t="shared" ca="1" si="90"/>
        <v>-480339.2099547314</v>
      </c>
    </row>
    <row r="262" spans="1:15" ht="16.5" customHeight="1">
      <c r="A262" s="153">
        <v>13</v>
      </c>
      <c r="B262" s="153" t="str">
        <f>TEXT(투자전략!$G$1+12, "[$-ko-KR]yyyy.mm.dd")</f>
        <v>2021.06.13</v>
      </c>
      <c r="C262" s="135">
        <f t="shared" ca="1" si="78"/>
        <v>2000000</v>
      </c>
      <c r="D262" s="139">
        <f t="shared" ca="1" si="79"/>
        <v>1709829.2661724919</v>
      </c>
      <c r="E262" s="77">
        <f t="shared" ca="1" si="80"/>
        <v>-0.14508536691375404</v>
      </c>
      <c r="F262" s="137">
        <f t="shared" ca="1" si="81"/>
        <v>-290170.73382750811</v>
      </c>
      <c r="G262" s="139">
        <f t="shared" ca="1" si="82"/>
        <v>1751155.8736734919</v>
      </c>
      <c r="H262" s="77">
        <f t="shared" ca="1" si="83"/>
        <v>-0.12442206316325415</v>
      </c>
      <c r="I262" s="137">
        <f t="shared" ca="1" si="84"/>
        <v>-248844.12632650833</v>
      </c>
      <c r="J262" s="139">
        <f t="shared" ca="1" si="85"/>
        <v>1738315.591795458</v>
      </c>
      <c r="K262" s="77">
        <f t="shared" ca="1" si="86"/>
        <v>-0.13084220410227104</v>
      </c>
      <c r="L262" s="137">
        <f t="shared" ca="1" si="87"/>
        <v>-261684.40820454204</v>
      </c>
      <c r="M262" s="139">
        <f t="shared" ca="1" si="88"/>
        <v>1743951.5895058869</v>
      </c>
      <c r="N262" s="77">
        <f t="shared" ca="1" si="89"/>
        <v>-0.1280242052470566</v>
      </c>
      <c r="O262" s="137">
        <f t="shared" ca="1" si="90"/>
        <v>-256048.41049411328</v>
      </c>
    </row>
    <row r="263" spans="1:15" ht="16.5" customHeight="1" thickBot="1">
      <c r="A263" s="155">
        <v>14</v>
      </c>
      <c r="B263" s="155" t="str">
        <f>TEXT(투자전략!$G$1+13, "[$-ko-KR]yyyy.mm.dd")</f>
        <v>2021.06.14</v>
      </c>
      <c r="C263" s="136">
        <f t="shared" ca="1" si="78"/>
        <v>2000000</v>
      </c>
      <c r="D263" s="140">
        <f t="shared" ca="1" si="79"/>
        <v>2393472.3939661933</v>
      </c>
      <c r="E263" s="79">
        <f t="shared" ca="1" si="80"/>
        <v>0.19673619698309666</v>
      </c>
      <c r="F263" s="138">
        <f t="shared" ca="1" si="81"/>
        <v>393472.39396619331</v>
      </c>
      <c r="G263" s="140">
        <f t="shared" ca="1" si="82"/>
        <v>2485197.5773686296</v>
      </c>
      <c r="H263" s="79">
        <f t="shared" ca="1" si="83"/>
        <v>0.24259878868431484</v>
      </c>
      <c r="I263" s="138">
        <f t="shared" ca="1" si="84"/>
        <v>485197.57736862963</v>
      </c>
      <c r="J263" s="140">
        <f t="shared" ca="1" si="85"/>
        <v>2332164.2886292669</v>
      </c>
      <c r="K263" s="79">
        <f t="shared" ca="1" si="86"/>
        <v>0.16608214431463342</v>
      </c>
      <c r="L263" s="138">
        <f t="shared" ca="1" si="87"/>
        <v>332164.28862926678</v>
      </c>
      <c r="M263" s="140">
        <f t="shared" ca="1" si="88"/>
        <v>2265833.4394825879</v>
      </c>
      <c r="N263" s="79">
        <f t="shared" ca="1" si="89"/>
        <v>0.13291671974129401</v>
      </c>
      <c r="O263" s="138">
        <f t="shared" ca="1" si="90"/>
        <v>265833.43948258803</v>
      </c>
    </row>
    <row r="264" spans="1:15" ht="16.5" customHeight="1">
      <c r="A264" s="154">
        <v>15</v>
      </c>
      <c r="B264" s="154" t="str">
        <f>TEXT(투자전략!$G$1+14, "[$-ko-KR]yyyy.mm.dd")</f>
        <v>2021.06.15</v>
      </c>
      <c r="C264" s="135">
        <f t="shared" ca="1" si="78"/>
        <v>2000000</v>
      </c>
      <c r="D264" s="139">
        <f t="shared" ca="1" si="79"/>
        <v>2017842.9258241088</v>
      </c>
      <c r="E264" s="77">
        <f t="shared" ca="1" si="80"/>
        <v>8.9214629120543763E-3</v>
      </c>
      <c r="F264" s="137">
        <f t="shared" ca="1" si="81"/>
        <v>17842.925824108752</v>
      </c>
      <c r="G264" s="139">
        <f t="shared" ca="1" si="82"/>
        <v>1997765.7204000377</v>
      </c>
      <c r="H264" s="77">
        <f t="shared" ca="1" si="83"/>
        <v>-1.1171397999811374E-3</v>
      </c>
      <c r="I264" s="137">
        <f t="shared" ca="1" si="84"/>
        <v>-2234.279599962274</v>
      </c>
      <c r="J264" s="139">
        <f t="shared" ca="1" si="85"/>
        <v>1997506.9963263401</v>
      </c>
      <c r="K264" s="77">
        <f t="shared" ca="1" si="86"/>
        <v>-1.2465018368299035E-3</v>
      </c>
      <c r="L264" s="137">
        <f t="shared" ca="1" si="87"/>
        <v>-2493.0036736598049</v>
      </c>
      <c r="M264" s="139">
        <f t="shared" ca="1" si="88"/>
        <v>1988337.6882478213</v>
      </c>
      <c r="N264" s="77">
        <f t="shared" ca="1" si="89"/>
        <v>-5.8311558760893618E-3</v>
      </c>
      <c r="O264" s="137">
        <f t="shared" ca="1" si="90"/>
        <v>-11662.311752178723</v>
      </c>
    </row>
    <row r="265" spans="1:15" ht="16.5" customHeight="1">
      <c r="A265" s="153">
        <v>16</v>
      </c>
      <c r="B265" s="153" t="str">
        <f>TEXT(투자전략!$G$1+15, "[$-ko-KR]yyyy.mm.dd")</f>
        <v>2021.06.16</v>
      </c>
      <c r="C265" s="135">
        <f t="shared" ca="1" si="78"/>
        <v>2000000</v>
      </c>
      <c r="D265" s="139">
        <f t="shared" ca="1" si="79"/>
        <v>2000000</v>
      </c>
      <c r="E265" s="77">
        <f t="shared" ca="1" si="80"/>
        <v>0</v>
      </c>
      <c r="F265" s="137">
        <f t="shared" ca="1" si="81"/>
        <v>0</v>
      </c>
      <c r="G265" s="139">
        <f t="shared" ca="1" si="82"/>
        <v>2000000</v>
      </c>
      <c r="H265" s="77">
        <f t="shared" ca="1" si="83"/>
        <v>0</v>
      </c>
      <c r="I265" s="137">
        <f t="shared" ca="1" si="84"/>
        <v>0</v>
      </c>
      <c r="J265" s="139">
        <f t="shared" ca="1" si="85"/>
        <v>1956943.2612095526</v>
      </c>
      <c r="K265" s="77">
        <f t="shared" ca="1" si="86"/>
        <v>-2.152836939522371E-2</v>
      </c>
      <c r="L265" s="137">
        <f t="shared" ca="1" si="87"/>
        <v>-43056.738790447424</v>
      </c>
      <c r="M265" s="139">
        <f t="shared" ca="1" si="88"/>
        <v>2000000</v>
      </c>
      <c r="N265" s="77">
        <f t="shared" ca="1" si="89"/>
        <v>0</v>
      </c>
      <c r="O265" s="137">
        <f t="shared" ca="1" si="90"/>
        <v>0</v>
      </c>
    </row>
    <row r="266" spans="1:15" ht="16.5" customHeight="1">
      <c r="A266" s="153">
        <v>17</v>
      </c>
      <c r="B266" s="153" t="str">
        <f>TEXT(투자전략!$G$1+16, "[$-ko-KR]yyyy.mm.dd")</f>
        <v>2021.06.17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2021.06.18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2021.06.19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2021.06.20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2021.06.21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2021.06.22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2021.06.23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2021.06.24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2021.06.25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2021.06.26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2021.06.27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2021.06.28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2021.06.29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2021.06.30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2021.07.01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74" t="s">
        <v>313</v>
      </c>
      <c r="B281" s="276"/>
      <c r="C281" s="132" t="s">
        <v>308</v>
      </c>
      <c r="D281" s="150" t="s">
        <v>309</v>
      </c>
      <c r="E281" s="151" t="s">
        <v>310</v>
      </c>
      <c r="F281" s="152" t="s">
        <v>311</v>
      </c>
      <c r="G281" s="150" t="s">
        <v>309</v>
      </c>
      <c r="H281" s="151" t="s">
        <v>310</v>
      </c>
      <c r="I281" s="152" t="s">
        <v>311</v>
      </c>
      <c r="J281" s="150" t="s">
        <v>309</v>
      </c>
      <c r="K281" s="151" t="s">
        <v>310</v>
      </c>
      <c r="L281" s="152" t="s">
        <v>311</v>
      </c>
      <c r="M281" s="150" t="s">
        <v>309</v>
      </c>
      <c r="N281" s="151" t="s">
        <v>310</v>
      </c>
      <c r="O281" s="152" t="s">
        <v>311</v>
      </c>
    </row>
    <row r="282" spans="1:15" ht="16.5" customHeight="1" thickBot="1">
      <c r="A282" s="267"/>
      <c r="B282" s="269"/>
      <c r="C282" s="136">
        <f ca="1">SUM(C250:C280)</f>
        <v>32000000</v>
      </c>
      <c r="D282" s="140">
        <f ca="1">SUM(D250:D280)</f>
        <v>31741882.73965767</v>
      </c>
      <c r="E282" s="79">
        <f ca="1">IFERROR(F282 / (SUM($C250:$C280) / COUNT($C250:$C280)), 0)</f>
        <v>-0.12905863017116534</v>
      </c>
      <c r="F282" s="138">
        <f ca="1">SUM(F250:F280)</f>
        <v>-258117.26034233067</v>
      </c>
      <c r="G282" s="140">
        <f ca="1">SUM(G250:G280)</f>
        <v>31788438.859305985</v>
      </c>
      <c r="H282" s="79">
        <f ca="1">IFERROR(I282 / (SUM($C250:$C280) / COUNT($C250:$C280)), 0)</f>
        <v>-0.10578057034700875</v>
      </c>
      <c r="I282" s="138">
        <f ca="1">SUM(I250:I280)</f>
        <v>-211561.14069401749</v>
      </c>
      <c r="J282" s="140">
        <f ca="1">SUM(J250:J280)</f>
        <v>31481232.811995484</v>
      </c>
      <c r="K282" s="79">
        <f ca="1">IFERROR(L282 / (SUM($C250:$C280) / COUNT($C250:$C280)), 0)</f>
        <v>-0.25938359400225625</v>
      </c>
      <c r="L282" s="138">
        <f ca="1">SUM(L250:L280)</f>
        <v>-518767.18800451246</v>
      </c>
      <c r="M282" s="140">
        <f ca="1">SUM(M250:M280)</f>
        <v>31380623.09197386</v>
      </c>
      <c r="N282" s="79">
        <f ca="1">IFERROR(O282 / (SUM($C250:$C280) / COUNT($C250:$C280)), 0)</f>
        <v>-0.30968845401307205</v>
      </c>
      <c r="O282" s="138">
        <f ca="1">SUM(O250:O280)</f>
        <v>-619376.90802614414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3099" priority="323">
      <formula>$E$54 &gt; 0</formula>
    </cfRule>
    <cfRule type="expression" dxfId="3098" priority="324">
      <formula>$E$54 = 0</formula>
    </cfRule>
    <cfRule type="expression" dxfId="3097" priority="325">
      <formula>$E$54 &lt; 0</formula>
    </cfRule>
  </conditionalFormatting>
  <conditionalFormatting sqref="G20:I21 H54:I54">
    <cfRule type="expression" dxfId="3096" priority="320">
      <formula>$H$54 &gt; 0</formula>
    </cfRule>
    <cfRule type="expression" dxfId="3095" priority="321">
      <formula>$H$54 = 0</formula>
    </cfRule>
    <cfRule type="expression" dxfId="3094" priority="322">
      <formula>$H$54 &lt; 0</formula>
    </cfRule>
  </conditionalFormatting>
  <conditionalFormatting sqref="J20:L21 K54:L54">
    <cfRule type="expression" dxfId="3093" priority="317">
      <formula>$K$54 &gt; 0</formula>
    </cfRule>
    <cfRule type="expression" dxfId="3092" priority="318">
      <formula>$K$54 = 0</formula>
    </cfRule>
    <cfRule type="expression" dxfId="3091" priority="319">
      <formula>$K$54 &lt; 0</formula>
    </cfRule>
  </conditionalFormatting>
  <conditionalFormatting sqref="M20:O21 N54:O54">
    <cfRule type="expression" dxfId="3090" priority="314">
      <formula>$N$54 &gt; 0</formula>
    </cfRule>
    <cfRule type="expression" dxfId="3089" priority="315">
      <formula>$N$54 = 0</formula>
    </cfRule>
    <cfRule type="expression" dxfId="3088" priority="316">
      <formula>$N$54 &lt; 0</formula>
    </cfRule>
  </conditionalFormatting>
  <conditionalFormatting sqref="D22:F52">
    <cfRule type="expression" dxfId="3087" priority="299">
      <formula>AND($E22 &gt; 0, ISNUMBER($E22))</formula>
    </cfRule>
    <cfRule type="expression" dxfId="3086" priority="300">
      <formula>AND($E22 = 0, ISNUMBER($E22))</formula>
    </cfRule>
    <cfRule type="expression" dxfId="3085" priority="301">
      <formula>AND($E22 &lt; 0, ISNUMBER($E22))</formula>
    </cfRule>
  </conditionalFormatting>
  <conditionalFormatting sqref="G22:I52">
    <cfRule type="expression" dxfId="3084" priority="296">
      <formula>AND($H22 &gt; 0, ISNUMBER($H22))</formula>
    </cfRule>
    <cfRule type="expression" dxfId="3083" priority="297">
      <formula>AND($H22 = 0, ISNUMBER($H22))</formula>
    </cfRule>
    <cfRule type="expression" dxfId="3082" priority="298">
      <formula>AND($H22 &lt; 0, ISNUMBER($H22))</formula>
    </cfRule>
  </conditionalFormatting>
  <conditionalFormatting sqref="J22:L52">
    <cfRule type="expression" dxfId="3081" priority="293">
      <formula>AND($K22 &gt; 0, ISNUMBER($K22))</formula>
    </cfRule>
    <cfRule type="expression" dxfId="3080" priority="294">
      <formula>AND($K22 = 0, ISNUMBER($K22))</formula>
    </cfRule>
    <cfRule type="expression" dxfId="3079" priority="295">
      <formula>AND($K22 &lt; 0, ISNUMBER($K22))</formula>
    </cfRule>
  </conditionalFormatting>
  <conditionalFormatting sqref="M22:O52">
    <cfRule type="expression" dxfId="3078" priority="290">
      <formula>AND($N22 &gt; 0, ISNUMBER($N22))</formula>
    </cfRule>
    <cfRule type="expression" dxfId="3077" priority="291">
      <formula>AND($N22 = 0, ISNUMBER($N22))</formula>
    </cfRule>
    <cfRule type="expression" dxfId="3076" priority="292">
      <formula>AND($N22 &lt; 0, ISNUMBER($N22))</formula>
    </cfRule>
  </conditionalFormatting>
  <conditionalFormatting sqref="D58:F59 E92:F92">
    <cfRule type="expression" dxfId="3075" priority="287">
      <formula>$E$92 &gt; 0</formula>
    </cfRule>
    <cfRule type="expression" dxfId="3074" priority="288">
      <formula>$E$92 = 0</formula>
    </cfRule>
    <cfRule type="expression" dxfId="3073" priority="289">
      <formula>$E$92 &lt; 0</formula>
    </cfRule>
  </conditionalFormatting>
  <conditionalFormatting sqref="G58:I59 H92:I92">
    <cfRule type="expression" dxfId="3072" priority="284">
      <formula>$H$92 &gt; 0</formula>
    </cfRule>
    <cfRule type="expression" dxfId="3071" priority="285">
      <formula>$H$92 = 0</formula>
    </cfRule>
    <cfRule type="expression" dxfId="3070" priority="286">
      <formula>$H$92 &lt; 0</formula>
    </cfRule>
  </conditionalFormatting>
  <conditionalFormatting sqref="J58:L59 K92:L92">
    <cfRule type="expression" dxfId="3069" priority="281">
      <formula>$K$92 &gt; 0</formula>
    </cfRule>
    <cfRule type="expression" dxfId="3068" priority="282">
      <formula>$K$92 = 0</formula>
    </cfRule>
    <cfRule type="expression" dxfId="3067" priority="283">
      <formula>$K$92 &lt; 0</formula>
    </cfRule>
  </conditionalFormatting>
  <conditionalFormatting sqref="M58:O59 N92:O92">
    <cfRule type="expression" dxfId="3066" priority="278">
      <formula>$N$92 &gt; 0</formula>
    </cfRule>
    <cfRule type="expression" dxfId="3065" priority="279">
      <formula>$N$92 = 0</formula>
    </cfRule>
    <cfRule type="expression" dxfId="3064" priority="280">
      <formula>$N$92 &lt; 0</formula>
    </cfRule>
  </conditionalFormatting>
  <conditionalFormatting sqref="D60:F90">
    <cfRule type="expression" dxfId="3063" priority="275">
      <formula>AND($E60 &gt; 0, ISNUMBER($E60))</formula>
    </cfRule>
    <cfRule type="expression" dxfId="3062" priority="276">
      <formula>AND($E60 = 0, ISNUMBER($E60))</formula>
    </cfRule>
    <cfRule type="expression" dxfId="3061" priority="277">
      <formula>AND($E60 &lt; 0, ISNUMBER($E60))</formula>
    </cfRule>
  </conditionalFormatting>
  <conditionalFormatting sqref="G60:I90">
    <cfRule type="expression" dxfId="3060" priority="272">
      <formula>AND($H60 &gt; 0, ISNUMBER($H60))</formula>
    </cfRule>
    <cfRule type="expression" dxfId="3059" priority="273">
      <formula>AND($H60 = 0, ISNUMBER($H60))</formula>
    </cfRule>
    <cfRule type="expression" dxfId="3058" priority="274">
      <formula>AND($H60 &lt; 0, ISNUMBER($H60))</formula>
    </cfRule>
  </conditionalFormatting>
  <conditionalFormatting sqref="J60:L90">
    <cfRule type="expression" dxfId="3057" priority="269">
      <formula>AND($K60 &gt; 0, ISNUMBER($K60))</formula>
    </cfRule>
    <cfRule type="expression" dxfId="3056" priority="270">
      <formula>AND($K60 = 0, ISNUMBER($K60))</formula>
    </cfRule>
    <cfRule type="expression" dxfId="3055" priority="271">
      <formula>AND($K60 &lt; 0, ISNUMBER($K60))</formula>
    </cfRule>
  </conditionalFormatting>
  <conditionalFormatting sqref="M60:O90">
    <cfRule type="expression" dxfId="3054" priority="266">
      <formula>AND($N60 &gt; 0, ISNUMBER($N60))</formula>
    </cfRule>
    <cfRule type="expression" dxfId="3053" priority="267">
      <formula>AND($N60 = 0, ISNUMBER($N60))</formula>
    </cfRule>
    <cfRule type="expression" dxfId="3052" priority="268">
      <formula>AND($N60 &lt; 0, ISNUMBER($N60))</formula>
    </cfRule>
  </conditionalFormatting>
  <conditionalFormatting sqref="D96:F97 E130:F130">
    <cfRule type="expression" dxfId="3051" priority="263">
      <formula>$E$130 &gt; 0</formula>
    </cfRule>
    <cfRule type="expression" dxfId="3050" priority="264">
      <formula>$E$130 = 0</formula>
    </cfRule>
    <cfRule type="expression" dxfId="3049" priority="265">
      <formula>$E$130 &lt; 0</formula>
    </cfRule>
  </conditionalFormatting>
  <conditionalFormatting sqref="G96:I97 H130:I130">
    <cfRule type="expression" dxfId="3048" priority="260">
      <formula>$H$130 &gt; 0</formula>
    </cfRule>
    <cfRule type="expression" dxfId="3047" priority="261">
      <formula>$H$130 = 0</formula>
    </cfRule>
    <cfRule type="expression" dxfId="3046" priority="262">
      <formula>$H$130 &lt; 0</formula>
    </cfRule>
  </conditionalFormatting>
  <conditionalFormatting sqref="J96:L97 K130:L130">
    <cfRule type="expression" dxfId="3045" priority="257">
      <formula>$K$130 &gt; 0</formula>
    </cfRule>
    <cfRule type="expression" dxfId="3044" priority="258">
      <formula>$K$130 = 0</formula>
    </cfRule>
    <cfRule type="expression" dxfId="3043" priority="259">
      <formula>$K$130 &lt; 0</formula>
    </cfRule>
  </conditionalFormatting>
  <conditionalFormatting sqref="M96:O97 N130:O130">
    <cfRule type="expression" dxfId="3042" priority="254">
      <formula>$N$130 &gt; 0</formula>
    </cfRule>
    <cfRule type="expression" dxfId="3041" priority="255">
      <formula>$N$130 = 0</formula>
    </cfRule>
    <cfRule type="expression" dxfId="3040" priority="256">
      <formula>$N$130 &lt; 0</formula>
    </cfRule>
  </conditionalFormatting>
  <conditionalFormatting sqref="D98:F128">
    <cfRule type="expression" dxfId="3039" priority="251">
      <formula>AND($E98 &gt; 0, ISNUMBER($E98))</formula>
    </cfRule>
    <cfRule type="expression" dxfId="3038" priority="252">
      <formula>AND($E98 = 0, ISNUMBER($E98))</formula>
    </cfRule>
    <cfRule type="expression" dxfId="3037" priority="253">
      <formula>AND($E98 &lt; 0, ISNUMBER($E98))</formula>
    </cfRule>
  </conditionalFormatting>
  <conditionalFormatting sqref="G98:I128">
    <cfRule type="expression" dxfId="3036" priority="248">
      <formula>AND($H98 &gt; 0, ISNUMBER($H98))</formula>
    </cfRule>
    <cfRule type="expression" dxfId="3035" priority="249">
      <formula>AND($H98 = 0, ISNUMBER($H98))</formula>
    </cfRule>
    <cfRule type="expression" dxfId="3034" priority="250">
      <formula>AND($H98 &lt; 0, ISNUMBER($H98))</formula>
    </cfRule>
  </conditionalFormatting>
  <conditionalFormatting sqref="J98:L128">
    <cfRule type="expression" dxfId="3033" priority="245">
      <formula>AND($K98 &gt; 0, ISNUMBER($K98))</formula>
    </cfRule>
    <cfRule type="expression" dxfId="3032" priority="246">
      <formula>AND($K98 = 0, ISNUMBER($K98))</formula>
    </cfRule>
    <cfRule type="expression" dxfId="3031" priority="247">
      <formula>AND($K98 &lt; 0, ISNUMBER($K98))</formula>
    </cfRule>
  </conditionalFormatting>
  <conditionalFormatting sqref="M98:O128">
    <cfRule type="expression" dxfId="3030" priority="242">
      <formula>AND($N98 &gt; 0, ISNUMBER($N98))</formula>
    </cfRule>
    <cfRule type="expression" dxfId="3029" priority="243">
      <formula>AND($N98 = 0, ISNUMBER($N98))</formula>
    </cfRule>
    <cfRule type="expression" dxfId="3028" priority="244">
      <formula>AND($N98 &lt; 0, ISNUMBER($N98))</formula>
    </cfRule>
  </conditionalFormatting>
  <conditionalFormatting sqref="D134:F135 E168:F168">
    <cfRule type="expression" dxfId="3027" priority="239">
      <formula>$E$168 &gt; 0</formula>
    </cfRule>
    <cfRule type="expression" dxfId="3026" priority="240">
      <formula>$E$168 = 0</formula>
    </cfRule>
    <cfRule type="expression" dxfId="3025" priority="241">
      <formula>$E$168 &lt; 0</formula>
    </cfRule>
  </conditionalFormatting>
  <conditionalFormatting sqref="G134:I135 H168:I168">
    <cfRule type="expression" dxfId="3024" priority="236">
      <formula>$H$168 &gt; 0</formula>
    </cfRule>
    <cfRule type="expression" dxfId="3023" priority="237">
      <formula>$H$168 = 0</formula>
    </cfRule>
    <cfRule type="expression" dxfId="3022" priority="238">
      <formula>$H$168 &lt; 0</formula>
    </cfRule>
  </conditionalFormatting>
  <conditionalFormatting sqref="J134:L135 K168:L168">
    <cfRule type="expression" dxfId="3021" priority="233">
      <formula>$K$168 &gt; 0</formula>
    </cfRule>
    <cfRule type="expression" dxfId="3020" priority="234">
      <formula>$K$168 = 0</formula>
    </cfRule>
    <cfRule type="expression" dxfId="3019" priority="235">
      <formula>$K$168 &lt; 0</formula>
    </cfRule>
  </conditionalFormatting>
  <conditionalFormatting sqref="M134:O135 N168:O168">
    <cfRule type="expression" dxfId="3018" priority="230">
      <formula>$N$168 &gt; 0</formula>
    </cfRule>
    <cfRule type="expression" dxfId="3017" priority="231">
      <formula>$N$168 = 0</formula>
    </cfRule>
    <cfRule type="expression" dxfId="3016" priority="232">
      <formula>$N$168 &lt; 0</formula>
    </cfRule>
  </conditionalFormatting>
  <conditionalFormatting sqref="D136:F166">
    <cfRule type="expression" dxfId="3015" priority="227">
      <formula>AND($E136 &gt; 0, ISNUMBER($E136))</formula>
    </cfRule>
    <cfRule type="expression" dxfId="3014" priority="228">
      <formula>AND($E136 = 0, ISNUMBER($E136))</formula>
    </cfRule>
    <cfRule type="expression" dxfId="3013" priority="229">
      <formula>AND($E136 &lt; 0, ISNUMBER($E136))</formula>
    </cfRule>
  </conditionalFormatting>
  <conditionalFormatting sqref="G136:I166">
    <cfRule type="expression" dxfId="3012" priority="224">
      <formula>AND($H136 &gt; 0, ISNUMBER($H136))</formula>
    </cfRule>
    <cfRule type="expression" dxfId="3011" priority="225">
      <formula>AND($H136 = 0, ISNUMBER($H136))</formula>
    </cfRule>
    <cfRule type="expression" dxfId="3010" priority="226">
      <formula>AND($H136 &lt; 0, ISNUMBER($H136))</formula>
    </cfRule>
  </conditionalFormatting>
  <conditionalFormatting sqref="J136:L166">
    <cfRule type="expression" dxfId="3009" priority="221">
      <formula>AND($K136 &gt; 0, ISNUMBER($K136))</formula>
    </cfRule>
    <cfRule type="expression" dxfId="3008" priority="222">
      <formula>AND($K136 = 0, ISNUMBER($K136))</formula>
    </cfRule>
    <cfRule type="expression" dxfId="3007" priority="223">
      <formula>AND($K136 &lt; 0, ISNUMBER($K136))</formula>
    </cfRule>
  </conditionalFormatting>
  <conditionalFormatting sqref="M136:O166">
    <cfRule type="expression" dxfId="3006" priority="218">
      <formula>AND($N136 &gt; 0, ISNUMBER($N136))</formula>
    </cfRule>
    <cfRule type="expression" dxfId="3005" priority="219">
      <formula>AND($N136 = 0, ISNUMBER($N136))</formula>
    </cfRule>
    <cfRule type="expression" dxfId="3004" priority="220">
      <formula>AND($N136 &lt; 0, ISNUMBER($N136))</formula>
    </cfRule>
  </conditionalFormatting>
  <conditionalFormatting sqref="D172:F173 E206:F206">
    <cfRule type="expression" dxfId="3003" priority="215">
      <formula>$E$206 &gt; 0</formula>
    </cfRule>
    <cfRule type="expression" dxfId="3002" priority="216">
      <formula>$E$206 = 0</formula>
    </cfRule>
    <cfRule type="expression" dxfId="3001" priority="217">
      <formula>$E$206 &lt; 0</formula>
    </cfRule>
  </conditionalFormatting>
  <conditionalFormatting sqref="G172:I173 H206:I206">
    <cfRule type="expression" dxfId="3000" priority="212">
      <formula>$H$206 &gt; 0</formula>
    </cfRule>
    <cfRule type="expression" dxfId="2999" priority="213">
      <formula>$H$206 = 0</formula>
    </cfRule>
    <cfRule type="expression" dxfId="2998" priority="214">
      <formula>$H$206 &lt; 0</formula>
    </cfRule>
  </conditionalFormatting>
  <conditionalFormatting sqref="J172:L173 K206:L206">
    <cfRule type="expression" dxfId="2997" priority="209">
      <formula>$K$206 &gt; 0</formula>
    </cfRule>
    <cfRule type="expression" dxfId="2996" priority="210">
      <formula>$K$206 = 0</formula>
    </cfRule>
    <cfRule type="expression" dxfId="2995" priority="211">
      <formula>$K$206 &lt; 0</formula>
    </cfRule>
  </conditionalFormatting>
  <conditionalFormatting sqref="M172:O173 N206:O206">
    <cfRule type="expression" dxfId="2994" priority="206">
      <formula>$N$206 &gt; 0</formula>
    </cfRule>
    <cfRule type="expression" dxfId="2993" priority="207">
      <formula>$N$206 = 0</formula>
    </cfRule>
    <cfRule type="expression" dxfId="2992" priority="208">
      <formula>$N$206 &lt; 0</formula>
    </cfRule>
  </conditionalFormatting>
  <conditionalFormatting sqref="D174:F204">
    <cfRule type="expression" dxfId="2991" priority="203">
      <formula>AND($E174 &gt; 0, ISNUMBER($E174))</formula>
    </cfRule>
    <cfRule type="expression" dxfId="2990" priority="204">
      <formula>AND($E174 = 0, ISNUMBER($E174))</formula>
    </cfRule>
    <cfRule type="expression" dxfId="2989" priority="205">
      <formula>AND($E174 &lt; 0, ISNUMBER($E174))</formula>
    </cfRule>
  </conditionalFormatting>
  <conditionalFormatting sqref="G174:I204">
    <cfRule type="expression" dxfId="2988" priority="200">
      <formula>AND($H174 &gt; 0, ISNUMBER($H174))</formula>
    </cfRule>
    <cfRule type="expression" dxfId="2987" priority="201">
      <formula>AND($H174 = 0, ISNUMBER($H174))</formula>
    </cfRule>
    <cfRule type="expression" dxfId="2986" priority="202">
      <formula>AND($H174 &lt; 0, ISNUMBER($H174))</formula>
    </cfRule>
  </conditionalFormatting>
  <conditionalFormatting sqref="J174:L204">
    <cfRule type="expression" dxfId="2985" priority="197">
      <formula>AND($K174 &gt; 0, ISNUMBER($K174))</formula>
    </cfRule>
    <cfRule type="expression" dxfId="2984" priority="198">
      <formula>AND($K174 = 0, ISNUMBER($K174))</formula>
    </cfRule>
    <cfRule type="expression" dxfId="2983" priority="199">
      <formula>AND($K174 &lt; 0, ISNUMBER($K174))</formula>
    </cfRule>
  </conditionalFormatting>
  <conditionalFormatting sqref="M174:O204">
    <cfRule type="expression" dxfId="2982" priority="194">
      <formula>AND($N174 &gt; 0, ISNUMBER($N174))</formula>
    </cfRule>
    <cfRule type="expression" dxfId="2981" priority="195">
      <formula>AND($N174 = 0, ISNUMBER($N174))</formula>
    </cfRule>
    <cfRule type="expression" dxfId="2980" priority="196">
      <formula>AND($N174 &lt; 0, ISNUMBER($N174))</formula>
    </cfRule>
  </conditionalFormatting>
  <conditionalFormatting sqref="D210:F211 E244:F244">
    <cfRule type="expression" dxfId="2979" priority="191">
      <formula>$E$244 &gt; 0</formula>
    </cfRule>
    <cfRule type="expression" dxfId="2978" priority="192">
      <formula>$E$244 = 0</formula>
    </cfRule>
    <cfRule type="expression" dxfId="2977" priority="193">
      <formula>$E$244 &lt; 0</formula>
    </cfRule>
  </conditionalFormatting>
  <conditionalFormatting sqref="G210:I211 H244:I244">
    <cfRule type="expression" dxfId="2976" priority="188">
      <formula>$H$244 &gt; 0</formula>
    </cfRule>
    <cfRule type="expression" dxfId="2975" priority="189">
      <formula>$H$244 = 0</formula>
    </cfRule>
    <cfRule type="expression" dxfId="2974" priority="190">
      <formula>$H$244 &lt; 0</formula>
    </cfRule>
  </conditionalFormatting>
  <conditionalFormatting sqref="J210:L211 K244:L244">
    <cfRule type="expression" dxfId="2973" priority="185">
      <formula>$K$244 &gt; 0</formula>
    </cfRule>
    <cfRule type="expression" dxfId="2972" priority="186">
      <formula>$K$244 = 0</formula>
    </cfRule>
    <cfRule type="expression" dxfId="2971" priority="187">
      <formula>$K$244 &lt; 0</formula>
    </cfRule>
  </conditionalFormatting>
  <conditionalFormatting sqref="M210:O211 N244:O244">
    <cfRule type="expression" dxfId="2970" priority="182">
      <formula>$N$244 &gt; 0</formula>
    </cfRule>
    <cfRule type="expression" dxfId="2969" priority="183">
      <formula>$N$244 = 0</formula>
    </cfRule>
    <cfRule type="expression" dxfId="2968" priority="184">
      <formula>$N$244 &lt; 0</formula>
    </cfRule>
  </conditionalFormatting>
  <conditionalFormatting sqref="D212:F242">
    <cfRule type="expression" dxfId="2967" priority="179">
      <formula>AND($E212 &gt; 0, ISNUMBER($E212))</formula>
    </cfRule>
    <cfRule type="expression" dxfId="2966" priority="180">
      <formula>AND($E212 = 0, ISNUMBER($E212))</formula>
    </cfRule>
    <cfRule type="expression" dxfId="2965" priority="181">
      <formula>AND($E212 &lt; 0, ISNUMBER($E212))</formula>
    </cfRule>
  </conditionalFormatting>
  <conditionalFormatting sqref="G212:I242">
    <cfRule type="expression" dxfId="2964" priority="176">
      <formula>AND($H212 &gt; 0, ISNUMBER($H212))</formula>
    </cfRule>
    <cfRule type="expression" dxfId="2963" priority="177">
      <formula>AND($H212 = 0, ISNUMBER($H212))</formula>
    </cfRule>
    <cfRule type="expression" dxfId="2962" priority="178">
      <formula>AND($H212 &lt; 0, ISNUMBER($H212))</formula>
    </cfRule>
  </conditionalFormatting>
  <conditionalFormatting sqref="J212:L242">
    <cfRule type="expression" dxfId="2961" priority="173">
      <formula>AND($K212 &gt; 0, ISNUMBER($K212))</formula>
    </cfRule>
    <cfRule type="expression" dxfId="2960" priority="174">
      <formula>AND($K212 = 0, ISNUMBER($K212))</formula>
    </cfRule>
    <cfRule type="expression" dxfId="2959" priority="175">
      <formula>AND($K212 &lt; 0, ISNUMBER($K212))</formula>
    </cfRule>
  </conditionalFormatting>
  <conditionalFormatting sqref="M212:O242">
    <cfRule type="expression" dxfId="2958" priority="170">
      <formula>AND($N212 &gt; 0, ISNUMBER($N212))</formula>
    </cfRule>
    <cfRule type="expression" dxfId="2957" priority="171">
      <formula>AND($N212 = 0, ISNUMBER($N212))</formula>
    </cfRule>
    <cfRule type="expression" dxfId="2956" priority="172">
      <formula>AND($N212 &lt; 0, ISNUMBER($N212))</formula>
    </cfRule>
  </conditionalFormatting>
  <conditionalFormatting sqref="D248:F249 E282:F282">
    <cfRule type="expression" dxfId="2955" priority="167">
      <formula>$E$282 &gt; 0</formula>
    </cfRule>
    <cfRule type="expression" dxfId="2954" priority="168">
      <formula>$E$282 = 0</formula>
    </cfRule>
    <cfRule type="expression" dxfId="2953" priority="169">
      <formula>$E$282 &lt; 0</formula>
    </cfRule>
  </conditionalFormatting>
  <conditionalFormatting sqref="G248:I249 H282:I282">
    <cfRule type="expression" dxfId="2952" priority="164">
      <formula>$H$282 &gt; 0</formula>
    </cfRule>
    <cfRule type="expression" dxfId="2951" priority="165">
      <formula>$H$282 = 0</formula>
    </cfRule>
    <cfRule type="expression" dxfId="2950" priority="166">
      <formula>$H$282 &lt; 0</formula>
    </cfRule>
  </conditionalFormatting>
  <conditionalFormatting sqref="J248:L249 K282:L282">
    <cfRule type="expression" dxfId="2949" priority="161">
      <formula>$K$282 &gt; 0</formula>
    </cfRule>
    <cfRule type="expression" dxfId="2948" priority="162">
      <formula>$K$282 = 0</formula>
    </cfRule>
    <cfRule type="expression" dxfId="2947" priority="163">
      <formula>$K$282 &lt; 0</formula>
    </cfRule>
  </conditionalFormatting>
  <conditionalFormatting sqref="M248:O249 N282:O282">
    <cfRule type="expression" dxfId="2946" priority="158">
      <formula>$N$282 &gt; 0</formula>
    </cfRule>
    <cfRule type="expression" dxfId="2945" priority="159">
      <formula>$N$282 = 0</formula>
    </cfRule>
    <cfRule type="expression" dxfId="2944" priority="160">
      <formula>$N$282 &lt; 0</formula>
    </cfRule>
  </conditionalFormatting>
  <conditionalFormatting sqref="D250:F280">
    <cfRule type="expression" dxfId="2943" priority="155">
      <formula>AND($E250 &gt; 0, ISNUMBER($E250))</formula>
    </cfRule>
    <cfRule type="expression" dxfId="2942" priority="156">
      <formula>AND($E250 = 0, ISNUMBER($E250))</formula>
    </cfRule>
    <cfRule type="expression" dxfId="2941" priority="157">
      <formula>AND($E250 &lt; 0, ISNUMBER($E250))</formula>
    </cfRule>
  </conditionalFormatting>
  <conditionalFormatting sqref="G250:I280">
    <cfRule type="expression" dxfId="2940" priority="152">
      <formula>AND($H250 &gt; 0, ISNUMBER($H250))</formula>
    </cfRule>
    <cfRule type="expression" dxfId="2939" priority="153">
      <formula>AND($H250 = 0, ISNUMBER($H250))</formula>
    </cfRule>
    <cfRule type="expression" dxfId="2938" priority="154">
      <formula>AND($H250 &lt; 0, ISNUMBER($H250))</formula>
    </cfRule>
  </conditionalFormatting>
  <conditionalFormatting sqref="J250:L280">
    <cfRule type="expression" dxfId="2937" priority="149">
      <formula>AND($K250 &gt; 0, ISNUMBER($K250))</formula>
    </cfRule>
    <cfRule type="expression" dxfId="2936" priority="150">
      <formula>AND($K250 = 0, ISNUMBER($K250))</formula>
    </cfRule>
    <cfRule type="expression" dxfId="2935" priority="151">
      <formula>AND($K250 &lt; 0, ISNUMBER($K250))</formula>
    </cfRule>
  </conditionalFormatting>
  <conditionalFormatting sqref="M250:O280">
    <cfRule type="expression" dxfId="2934" priority="146">
      <formula>AND($N250 &gt; 0, ISNUMBER($N250))</formula>
    </cfRule>
    <cfRule type="expression" dxfId="2933" priority="147">
      <formula>AND($N250 = 0, ISNUMBER($N250))</formula>
    </cfRule>
    <cfRule type="expression" dxfId="2932" priority="148">
      <formula>AND($N250 &lt; 0, ISNUMBER($N250))</formula>
    </cfRule>
  </conditionalFormatting>
  <conditionalFormatting sqref="D5:F6">
    <cfRule type="expression" dxfId="2931" priority="143">
      <formula>$F$130 &gt; 0</formula>
    </cfRule>
    <cfRule type="expression" dxfId="2930" priority="144">
      <formula>$F$130 = 0</formula>
    </cfRule>
    <cfRule type="expression" dxfId="2929" priority="145">
      <formula>$F$130 &lt; 0</formula>
    </cfRule>
  </conditionalFormatting>
  <conditionalFormatting sqref="D7:F8">
    <cfRule type="expression" dxfId="2928" priority="140">
      <formula>$F$206 &gt; 0</formula>
    </cfRule>
    <cfRule type="expression" dxfId="2927" priority="141">
      <formula>$F$206 = 0</formula>
    </cfRule>
    <cfRule type="expression" dxfId="2926" priority="142">
      <formula>$F$206 &lt; 0</formula>
    </cfRule>
  </conditionalFormatting>
  <conditionalFormatting sqref="D9:F10">
    <cfRule type="expression" dxfId="2925" priority="137">
      <formula>$F$244 &gt; 0</formula>
    </cfRule>
    <cfRule type="expression" dxfId="2924" priority="138">
      <formula>$F$244 = 0</formula>
    </cfRule>
    <cfRule type="expression" dxfId="2923" priority="139">
      <formula>$F$244 &lt; 0</formula>
    </cfRule>
  </conditionalFormatting>
  <conditionalFormatting sqref="D11:F12">
    <cfRule type="expression" dxfId="2922" priority="134">
      <formula>$F$168 &gt; 0</formula>
    </cfRule>
    <cfRule type="expression" dxfId="2921" priority="135">
      <formula>$F$168 = 0</formula>
    </cfRule>
    <cfRule type="expression" dxfId="2920" priority="136">
      <formula>$F$168 &lt; 0</formula>
    </cfRule>
  </conditionalFormatting>
  <conditionalFormatting sqref="D13:F14">
    <cfRule type="expression" dxfId="2919" priority="92">
      <formula>$F$282 &gt; 0</formula>
    </cfRule>
    <cfRule type="expression" dxfId="2918" priority="93">
      <formula>$F$282 = 0</formula>
    </cfRule>
    <cfRule type="expression" dxfId="2917" priority="94">
      <formula>$F$282 &lt; 0</formula>
    </cfRule>
  </conditionalFormatting>
  <conditionalFormatting sqref="D15:F16">
    <cfRule type="expression" dxfId="2916" priority="77">
      <formula>$F$54 &gt; 0</formula>
    </cfRule>
    <cfRule type="expression" dxfId="2915" priority="78">
      <formula>$F$54 = 0</formula>
    </cfRule>
    <cfRule type="expression" dxfId="2914" priority="79">
      <formula>$F$54 &lt; 0</formula>
    </cfRule>
  </conditionalFormatting>
  <conditionalFormatting sqref="G5:I6">
    <cfRule type="expression" dxfId="2913" priority="65">
      <formula>$I$130 &gt; 0</formula>
    </cfRule>
    <cfRule type="expression" dxfId="2912" priority="66">
      <formula>$I$130 = 0</formula>
    </cfRule>
    <cfRule type="expression" dxfId="2911" priority="67">
      <formula>$I$130 &lt; 0</formula>
    </cfRule>
  </conditionalFormatting>
  <conditionalFormatting sqref="G7:I8">
    <cfRule type="expression" dxfId="2910" priority="62">
      <formula>$I$206 &gt; 0</formula>
    </cfRule>
    <cfRule type="expression" dxfId="2909" priority="63">
      <formula>$I$206 = 0</formula>
    </cfRule>
    <cfRule type="expression" dxfId="2908" priority="64">
      <formula>$I$206 &lt; 0</formula>
    </cfRule>
  </conditionalFormatting>
  <conditionalFormatting sqref="G9:I10">
    <cfRule type="expression" dxfId="2907" priority="59">
      <formula>$I$244 &gt; 0</formula>
    </cfRule>
    <cfRule type="expression" dxfId="2906" priority="60">
      <formula>$I$244 = 0</formula>
    </cfRule>
    <cfRule type="expression" dxfId="2905" priority="61">
      <formula>$I$244 &lt; 0</formula>
    </cfRule>
  </conditionalFormatting>
  <conditionalFormatting sqref="G11:I12">
    <cfRule type="expression" dxfId="2904" priority="56">
      <formula>$I$168 &gt; 0</formula>
    </cfRule>
    <cfRule type="expression" dxfId="2903" priority="57">
      <formula>$I$168 = 0</formula>
    </cfRule>
    <cfRule type="expression" dxfId="2902" priority="58">
      <formula>$I$168 &lt; 0</formula>
    </cfRule>
  </conditionalFormatting>
  <conditionalFormatting sqref="G13:I14">
    <cfRule type="expression" dxfId="2901" priority="53">
      <formula>$I$282 &gt; 0</formula>
    </cfRule>
    <cfRule type="expression" dxfId="2900" priority="54">
      <formula>$I$282 = 0</formula>
    </cfRule>
    <cfRule type="expression" dxfId="2899" priority="55">
      <formula>$I$282 &lt; 0</formula>
    </cfRule>
  </conditionalFormatting>
  <conditionalFormatting sqref="G15:I16">
    <cfRule type="expression" dxfId="2898" priority="50">
      <formula>$I$54 &gt; 0</formula>
    </cfRule>
    <cfRule type="expression" dxfId="2897" priority="51">
      <formula>$I$54 = 0</formula>
    </cfRule>
    <cfRule type="expression" dxfId="2896" priority="52">
      <formula>$I$54 &lt; 0</formula>
    </cfRule>
  </conditionalFormatting>
  <conditionalFormatting sqref="J5:L6">
    <cfRule type="expression" dxfId="2895" priority="47">
      <formula>$L$130 &gt; 0</formula>
    </cfRule>
    <cfRule type="expression" dxfId="2894" priority="48">
      <formula>$L$130 = 0</formula>
    </cfRule>
    <cfRule type="expression" dxfId="2893" priority="49">
      <formula>$L$130 &lt; 0</formula>
    </cfRule>
  </conditionalFormatting>
  <conditionalFormatting sqref="J7:L8">
    <cfRule type="expression" dxfId="2892" priority="44">
      <formula>$L$206 &gt; 0</formula>
    </cfRule>
    <cfRule type="expression" dxfId="2891" priority="45">
      <formula>$L$206 = 0</formula>
    </cfRule>
    <cfRule type="expression" dxfId="2890" priority="46">
      <formula>$L$206 &lt; 0</formula>
    </cfRule>
  </conditionalFormatting>
  <conditionalFormatting sqref="J9:L10">
    <cfRule type="expression" dxfId="2889" priority="41">
      <formula>$L$244 &gt; 0</formula>
    </cfRule>
    <cfRule type="expression" dxfId="2888" priority="42">
      <formula>$L$244 = 0</formula>
    </cfRule>
    <cfRule type="expression" dxfId="2887" priority="43">
      <formula>$L$244 &lt; 0</formula>
    </cfRule>
  </conditionalFormatting>
  <conditionalFormatting sqref="J11:L12">
    <cfRule type="expression" dxfId="2886" priority="38">
      <formula>$L$168 &gt; 0</formula>
    </cfRule>
    <cfRule type="expression" dxfId="2885" priority="39">
      <formula>$L$168 = 0</formula>
    </cfRule>
    <cfRule type="expression" dxfId="2884" priority="40">
      <formula>$L$168 &lt; 0</formula>
    </cfRule>
  </conditionalFormatting>
  <conditionalFormatting sqref="J13:L14">
    <cfRule type="expression" dxfId="2883" priority="35">
      <formula>$L$282 &gt; 0</formula>
    </cfRule>
    <cfRule type="expression" dxfId="2882" priority="36">
      <formula>$L$282 = 0</formula>
    </cfRule>
    <cfRule type="expression" dxfId="2881" priority="37">
      <formula>$L$282 &lt; 0</formula>
    </cfRule>
  </conditionalFormatting>
  <conditionalFormatting sqref="J15:L16">
    <cfRule type="expression" dxfId="2880" priority="32">
      <formula>$L$54 &gt; 0</formula>
    </cfRule>
    <cfRule type="expression" dxfId="2879" priority="33">
      <formula>$L$54 = 0</formula>
    </cfRule>
    <cfRule type="expression" dxfId="2878" priority="34">
      <formula>$L$54 &lt; 0</formula>
    </cfRule>
  </conditionalFormatting>
  <conditionalFormatting sqref="M5:O6">
    <cfRule type="expression" dxfId="2877" priority="29">
      <formula>$O$130 &gt; 0</formula>
    </cfRule>
    <cfRule type="expression" dxfId="2876" priority="30">
      <formula>$O$130 = 0</formula>
    </cfRule>
    <cfRule type="expression" dxfId="2875" priority="31">
      <formula>$O$130 &lt; 0</formula>
    </cfRule>
  </conditionalFormatting>
  <conditionalFormatting sqref="M7:O8">
    <cfRule type="expression" dxfId="2874" priority="26">
      <formula>$O$206 &gt; 0</formula>
    </cfRule>
    <cfRule type="expression" dxfId="2873" priority="27">
      <formula>$O$206 = 0</formula>
    </cfRule>
    <cfRule type="expression" dxfId="2872" priority="28">
      <formula>$O$206 &lt; 0</formula>
    </cfRule>
  </conditionalFormatting>
  <conditionalFormatting sqref="M9:O10">
    <cfRule type="expression" dxfId="2871" priority="23">
      <formula>$O$244 &gt; 0</formula>
    </cfRule>
    <cfRule type="expression" dxfId="2870" priority="24">
      <formula>$O$244 = 0</formula>
    </cfRule>
    <cfRule type="expression" dxfId="2869" priority="25">
      <formula>$O$244 &lt; 0</formula>
    </cfRule>
  </conditionalFormatting>
  <conditionalFormatting sqref="M11:O12">
    <cfRule type="expression" dxfId="2868" priority="20">
      <formula>$O$168 &gt; 0</formula>
    </cfRule>
    <cfRule type="expression" dxfId="2867" priority="21">
      <formula>$O$168 = 0</formula>
    </cfRule>
    <cfRule type="expression" dxfId="2866" priority="22">
      <formula>$O$168 &lt; 0</formula>
    </cfRule>
  </conditionalFormatting>
  <conditionalFormatting sqref="M13:O14">
    <cfRule type="expression" dxfId="2865" priority="17">
      <formula>$O$282 &gt; 0</formula>
    </cfRule>
    <cfRule type="expression" dxfId="2864" priority="18">
      <formula>$O$282 = 0</formula>
    </cfRule>
    <cfRule type="expression" dxfId="2863" priority="19">
      <formula>$O$282 &lt; 0</formula>
    </cfRule>
  </conditionalFormatting>
  <conditionalFormatting sqref="M15:O16">
    <cfRule type="expression" dxfId="2862" priority="14">
      <formula>$O$54 &gt; 0</formula>
    </cfRule>
    <cfRule type="expression" dxfId="2861" priority="15">
      <formula>$O$54 = 0</formula>
    </cfRule>
    <cfRule type="expression" dxfId="2860" priority="16">
      <formula>$O$54 &lt; 0</formula>
    </cfRule>
  </conditionalFormatting>
  <conditionalFormatting sqref="D3:F4">
    <cfRule type="expression" dxfId="2859" priority="13">
      <formula>$F$92 &lt; 0</formula>
    </cfRule>
    <cfRule type="expression" dxfId="2858" priority="12">
      <formula>$F$92 = 0</formula>
    </cfRule>
    <cfRule type="expression" dxfId="2857" priority="11">
      <formula>$F$92 &gt; 0</formula>
    </cfRule>
  </conditionalFormatting>
  <conditionalFormatting sqref="G3:I4">
    <cfRule type="expression" dxfId="2856" priority="10">
      <formula>$I$92 &lt; 0</formula>
    </cfRule>
    <cfRule type="expression" dxfId="2855" priority="9">
      <formula>$I$92 = 0</formula>
    </cfRule>
    <cfRule type="expression" dxfId="2854" priority="8">
      <formula>$I$92 &gt; 0</formula>
    </cfRule>
  </conditionalFormatting>
  <conditionalFormatting sqref="J3:L4">
    <cfRule type="expression" dxfId="2853" priority="5">
      <formula>$L$92 &gt; 0</formula>
    </cfRule>
    <cfRule type="expression" dxfId="2852" priority="6">
      <formula>$L$92 = 0</formula>
    </cfRule>
    <cfRule type="expression" dxfId="2851" priority="7">
      <formula>$L$92 &lt; 0</formula>
    </cfRule>
  </conditionalFormatting>
  <conditionalFormatting sqref="M3:O4">
    <cfRule type="expression" dxfId="2850" priority="2">
      <formula>$O$92 &gt; 0</formula>
    </cfRule>
    <cfRule type="expression" dxfId="2849" priority="3">
      <formula>$O$92 = 0</formula>
    </cfRule>
    <cfRule type="expression" dxfId="2848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381DE-183D-41A3-92E4-9F46AF5C8C9A}">
  <sheetPr codeName="Sheet6"/>
  <dimension ref="A1:S199"/>
  <sheetViews>
    <sheetView topLeftCell="A9" zoomScaleNormal="100" workbookViewId="0">
      <selection activeCell="A17" sqref="A17:A2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6" t="s">
        <v>0</v>
      </c>
      <c r="B1" s="247"/>
      <c r="C1" s="247"/>
      <c r="D1" s="247"/>
      <c r="E1" s="247"/>
      <c r="F1" s="248"/>
      <c r="G1" s="277">
        <v>44348</v>
      </c>
      <c r="H1" s="278"/>
      <c r="I1" s="279"/>
      <c r="J1" s="246" t="s">
        <v>1</v>
      </c>
      <c r="K1" s="247"/>
      <c r="L1" s="247"/>
      <c r="M1" s="247"/>
      <c r="N1" s="247"/>
      <c r="O1" s="248"/>
      <c r="Q1" s="246" t="s">
        <v>2</v>
      </c>
      <c r="R1" s="248"/>
    </row>
    <row r="2" spans="1:19" ht="17.25" customHeight="1">
      <c r="A2" s="117" t="s">
        <v>3</v>
      </c>
      <c r="B2" s="280" t="s">
        <v>8</v>
      </c>
      <c r="C2" s="281"/>
      <c r="D2" s="281"/>
      <c r="E2" s="281"/>
      <c r="F2" s="282"/>
      <c r="G2" s="274" t="s">
        <v>46</v>
      </c>
      <c r="H2" s="275"/>
      <c r="I2" s="276"/>
      <c r="J2" s="1" t="s">
        <v>3</v>
      </c>
      <c r="K2" s="280" t="s">
        <v>350</v>
      </c>
      <c r="L2" s="281"/>
      <c r="M2" s="281"/>
      <c r="N2" s="281"/>
      <c r="O2" s="282"/>
      <c r="Q2" s="2" t="s">
        <v>6</v>
      </c>
      <c r="R2" s="3">
        <v>0.375</v>
      </c>
    </row>
    <row r="3" spans="1:19" ht="17.25" customHeight="1" thickBot="1">
      <c r="A3" s="118" t="s">
        <v>7</v>
      </c>
      <c r="B3" s="271" t="s">
        <v>358</v>
      </c>
      <c r="C3" s="272"/>
      <c r="D3" s="272"/>
      <c r="E3" s="272"/>
      <c r="F3" s="273"/>
      <c r="G3" s="26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40,489 KRW (2.02%)</v>
      </c>
      <c r="H3" s="268"/>
      <c r="I3" s="269"/>
      <c r="J3" s="4" t="s">
        <v>7</v>
      </c>
      <c r="K3" s="271" t="s">
        <v>351</v>
      </c>
      <c r="L3" s="272"/>
      <c r="M3" s="272"/>
      <c r="N3" s="272"/>
      <c r="O3" s="27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1" t="s">
        <v>16</v>
      </c>
      <c r="C4" s="272"/>
      <c r="D4" s="272"/>
      <c r="E4" s="272"/>
      <c r="F4" s="273"/>
      <c r="G4" s="274" t="s">
        <v>44</v>
      </c>
      <c r="H4" s="275"/>
      <c r="I4" s="276"/>
      <c r="J4" s="4" t="s">
        <v>11</v>
      </c>
      <c r="K4" s="271" t="s">
        <v>352</v>
      </c>
      <c r="L4" s="272"/>
      <c r="M4" s="272"/>
      <c r="N4" s="272"/>
      <c r="O4" s="27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1" t="s">
        <v>349</v>
      </c>
      <c r="C5" s="272"/>
      <c r="D5" s="272"/>
      <c r="E5" s="272"/>
      <c r="F5" s="273"/>
      <c r="G5" s="26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-952 KRW (-0.05%)</v>
      </c>
      <c r="H5" s="268"/>
      <c r="I5" s="269"/>
      <c r="J5" s="4" t="s">
        <v>15</v>
      </c>
      <c r="K5" s="271" t="s">
        <v>353</v>
      </c>
      <c r="L5" s="272"/>
      <c r="M5" s="272"/>
      <c r="N5" s="272"/>
      <c r="O5" s="273"/>
    </row>
    <row r="6" spans="1:19">
      <c r="A6" s="118" t="s">
        <v>18</v>
      </c>
      <c r="B6" s="271"/>
      <c r="C6" s="272"/>
      <c r="D6" s="272"/>
      <c r="E6" s="272"/>
      <c r="F6" s="273"/>
      <c r="G6" s="274" t="s">
        <v>45</v>
      </c>
      <c r="H6" s="275"/>
      <c r="I6" s="276"/>
      <c r="J6" s="4" t="s">
        <v>18</v>
      </c>
      <c r="K6" s="271" t="s">
        <v>354</v>
      </c>
      <c r="L6" s="272"/>
      <c r="M6" s="272"/>
      <c r="N6" s="272"/>
      <c r="O6" s="273"/>
    </row>
    <row r="7" spans="1:19" ht="17.25" thickBot="1">
      <c r="A7" s="118" t="s">
        <v>21</v>
      </c>
      <c r="B7" s="271"/>
      <c r="C7" s="272"/>
      <c r="D7" s="272"/>
      <c r="E7" s="272"/>
      <c r="F7" s="273"/>
      <c r="G7" s="26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43,367 KRW (2.17%)</v>
      </c>
      <c r="H7" s="268"/>
      <c r="I7" s="269"/>
      <c r="J7" s="4" t="s">
        <v>21</v>
      </c>
      <c r="K7" s="271" t="s">
        <v>355</v>
      </c>
      <c r="L7" s="272"/>
      <c r="M7" s="272"/>
      <c r="N7" s="272"/>
      <c r="O7" s="273"/>
    </row>
    <row r="8" spans="1:19" ht="17.25" thickBot="1">
      <c r="A8" s="118" t="s">
        <v>24</v>
      </c>
      <c r="B8" s="271"/>
      <c r="C8" s="272"/>
      <c r="D8" s="272"/>
      <c r="E8" s="272"/>
      <c r="F8" s="273"/>
      <c r="G8" s="274" t="s">
        <v>285</v>
      </c>
      <c r="H8" s="275"/>
      <c r="I8" s="276"/>
      <c r="J8" s="4" t="s">
        <v>24</v>
      </c>
      <c r="K8" s="271"/>
      <c r="L8" s="272"/>
      <c r="M8" s="272"/>
      <c r="N8" s="272"/>
      <c r="O8" s="273"/>
      <c r="Q8" s="246" t="s">
        <v>27</v>
      </c>
      <c r="R8" s="248"/>
    </row>
    <row r="9" spans="1:19" ht="17.25" thickBot="1">
      <c r="A9" s="118" t="s">
        <v>28</v>
      </c>
      <c r="B9" s="271"/>
      <c r="C9" s="272"/>
      <c r="D9" s="272"/>
      <c r="E9" s="272"/>
      <c r="F9" s="273"/>
      <c r="G9" s="26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24,905 KRW (1.25%)</v>
      </c>
      <c r="H9" s="268"/>
      <c r="I9" s="269"/>
      <c r="J9" s="4" t="s">
        <v>28</v>
      </c>
      <c r="K9" s="271"/>
      <c r="L9" s="272"/>
      <c r="M9" s="272"/>
      <c r="N9" s="272"/>
      <c r="O9" s="273"/>
      <c r="Q9" s="2" t="s">
        <v>29</v>
      </c>
      <c r="R9" s="6">
        <v>10</v>
      </c>
    </row>
    <row r="10" spans="1:19">
      <c r="A10" s="118" t="s">
        <v>30</v>
      </c>
      <c r="B10" s="271"/>
      <c r="C10" s="272"/>
      <c r="D10" s="272"/>
      <c r="E10" s="272"/>
      <c r="F10" s="273"/>
      <c r="G10" s="274" t="s">
        <v>47</v>
      </c>
      <c r="H10" s="275"/>
      <c r="I10" s="276"/>
      <c r="J10" s="4" t="s">
        <v>30</v>
      </c>
      <c r="K10" s="271" t="s">
        <v>356</v>
      </c>
      <c r="L10" s="272"/>
      <c r="M10" s="272"/>
      <c r="N10" s="272"/>
      <c r="O10" s="273"/>
      <c r="Q10" s="2" t="s">
        <v>31</v>
      </c>
      <c r="R10" s="6">
        <v>100</v>
      </c>
    </row>
    <row r="11" spans="1:19" ht="17.25" thickBot="1">
      <c r="A11" s="119" t="s">
        <v>32</v>
      </c>
      <c r="B11" s="264" t="s">
        <v>357</v>
      </c>
      <c r="C11" s="265"/>
      <c r="D11" s="265"/>
      <c r="E11" s="265"/>
      <c r="F11" s="266"/>
      <c r="G11" s="26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-662 KRW (-0.11%)</v>
      </c>
      <c r="H11" s="268"/>
      <c r="I11" s="269"/>
      <c r="J11" s="7" t="s">
        <v>32</v>
      </c>
      <c r="K11" s="264" t="s">
        <v>348</v>
      </c>
      <c r="L11" s="265"/>
      <c r="M11" s="265"/>
      <c r="N11" s="265"/>
      <c r="O11" s="266"/>
      <c r="Q11" s="65" t="s">
        <v>33</v>
      </c>
      <c r="R11" s="8">
        <v>1000</v>
      </c>
    </row>
    <row r="12" spans="1:19" ht="17.25" thickBot="1"/>
    <row r="13" spans="1:19" ht="17.25" customHeight="1" thickBot="1">
      <c r="A13" s="246" t="s">
        <v>34</v>
      </c>
      <c r="B13" s="247"/>
      <c r="C13" s="247"/>
      <c r="D13" s="247"/>
      <c r="E13" s="247"/>
      <c r="F13" s="247"/>
      <c r="G13" s="247"/>
      <c r="H13" s="247"/>
      <c r="I13" s="247"/>
      <c r="J13" s="247"/>
      <c r="K13" s="247"/>
      <c r="L13" s="247"/>
      <c r="M13" s="247"/>
      <c r="N13" s="247"/>
      <c r="O13" s="248"/>
      <c r="Q13" s="245"/>
      <c r="R13" s="245"/>
      <c r="S13" s="245"/>
    </row>
    <row r="14" spans="1:19" ht="17.25" customHeight="1" thickBot="1">
      <c r="A14" s="157" t="s">
        <v>35</v>
      </c>
      <c r="B14" s="246" t="s">
        <v>36</v>
      </c>
      <c r="C14" s="248"/>
      <c r="D14" s="246" t="s">
        <v>37</v>
      </c>
      <c r="E14" s="247"/>
      <c r="F14" s="248"/>
      <c r="G14" s="249">
        <f>_xlfn.IFNA(VLOOKUP(B14, 현재가테이블!$B$2:$D$200, 2, FALSE), "-")</f>
        <v>45335000</v>
      </c>
      <c r="H14" s="250"/>
      <c r="I14" s="251"/>
      <c r="J14" s="246" t="s">
        <v>38</v>
      </c>
      <c r="K14" s="247"/>
      <c r="L14" s="248"/>
      <c r="M14" s="252">
        <f>_xlfn.IFNA(VLOOKUP(B14, 현재가테이블!$B$2:$D$200, 3, FALSE), "-")</f>
        <v>-2.27209037E-2</v>
      </c>
      <c r="N14" s="253"/>
      <c r="O14" s="254"/>
      <c r="Q14" s="245"/>
      <c r="R14" s="245"/>
      <c r="S14" s="245"/>
    </row>
    <row r="15" spans="1:19" ht="17.25" customHeight="1" thickBot="1">
      <c r="A15" s="283" t="s">
        <v>39</v>
      </c>
      <c r="B15" s="284" t="str">
        <f>TEXT($G$1, "[$-ko-KR]yyyy-mm-dd(ddd) ") &amp; "오전 00:00"</f>
        <v>2021-06-01(화) 오전 00:00</v>
      </c>
      <c r="C15" s="285"/>
      <c r="D15" s="259" t="str">
        <f>TEXT($G$1, "[$-ko-KR]yyyy-mm-dd(ddd) ") &amp; "오후 14:00"</f>
        <v>2021-06-01(화) 오후 14:00</v>
      </c>
      <c r="E15" s="260"/>
      <c r="F15" s="261"/>
      <c r="G15" s="259" t="str">
        <f>TEXT($G$1, "[$-ko-KR]yyyy-mm-dd(ddd) ") &amp; "오후 19:00"</f>
        <v>2021-06-01(화) 오후 19:00</v>
      </c>
      <c r="H15" s="260"/>
      <c r="I15" s="261"/>
      <c r="J15" s="259" t="str">
        <f>TEXT($G$1, "[$-ko-KR]yyyy-mm-dd(ddd) ") &amp; "오후 21:00"</f>
        <v>2021-06-01(화) 오후 21:00</v>
      </c>
      <c r="K15" s="260"/>
      <c r="L15" s="261"/>
      <c r="M15" s="259" t="str">
        <f>TEXT($G$1+1, "[$-ko-KR]yyyy-mm-dd(ddd) ") &amp; "오전 00:00"</f>
        <v>2021-06-02(수) 오전 00:00</v>
      </c>
      <c r="N15" s="260"/>
      <c r="O15" s="261"/>
      <c r="Q15" s="245"/>
      <c r="R15" s="245"/>
      <c r="S15" s="245"/>
    </row>
    <row r="16" spans="1:19" ht="17.25" customHeight="1" thickBot="1">
      <c r="A16" s="28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5"/>
      <c r="R16" s="235"/>
      <c r="S16" s="235"/>
    </row>
    <row r="17" spans="1:19" ht="17.25" customHeight="1" thickBot="1">
      <c r="A17" s="161" t="s">
        <v>359</v>
      </c>
      <c r="B17" s="124">
        <f>IF(NOT(ISBLANK(_xlfn.IFNA(VLOOKUP($A17, $A$40:$O$199, 2, FALSE), ))), _xlfn.IFNA(VLOOKUP($A17, $A$40:$O$199, 2, FALSE), ), "")</f>
        <v>94.9</v>
      </c>
      <c r="C17" s="76">
        <f>IF(NOT(ISBLANK(_xlfn.IFNA(VLOOKUP($A17, $A$40:$O$199, 3, FALSE), ))), _xlfn.IFNA(VLOOKUP($A17, $A$40:$O$199, 3, FALSE), ), "")</f>
        <v>-2.9652351699999999E-2</v>
      </c>
      <c r="D17" s="13">
        <f>IF(NOT(ISBLANK(_xlfn.IFNA(VLOOKUP($A17, $A$40:$O$199, 4, FALSE), ))), _xlfn.IFNA(VLOOKUP($A17, $A$40:$O$199, 4, FALSE), ), "")</f>
        <v>95.4</v>
      </c>
      <c r="E17" s="14">
        <f>IF(NOT(ISBLANK(_xlfn.IFNA(VLOOKUP($A17, $A$40:$O$199, 5, FALSE), ))), _xlfn.IFNA(VLOOKUP($A17, $A$40:$O$199, 5, FALSE), ), "")</f>
        <v>5.268703898840885E-3</v>
      </c>
      <c r="F17" s="16">
        <f>IF(NOT(ISBLANK(_xlfn.IFNA(VLOOKUP($A17, $A$40:$O$199, 6, FALSE), ))), _xlfn.IFNA(VLOOKUP($A17, $A$40:$O$199, 6, FALSE), ), "")</f>
        <v>526.87038988408847</v>
      </c>
      <c r="G17" s="29">
        <f>IF(NOT(ISBLANK(_xlfn.IFNA(VLOOKUP($A17, $A$40:$O$199, 7, FALSE), ))), _xlfn.IFNA(VLOOKUP($A17, $A$40:$O$199, 7, FALSE), ), "")</f>
        <v>93.6</v>
      </c>
      <c r="H17" s="14">
        <f>IF(NOT(ISBLANK(_xlfn.IFNA(VLOOKUP($A17, $A$40:$O$199, 8, FALSE), ))), _xlfn.IFNA(VLOOKUP($A17, $A$40:$O$199, 8, FALSE), ), "")</f>
        <v>-1.369863013698642E-2</v>
      </c>
      <c r="I17" s="100">
        <f>IF(NOT(ISBLANK(_xlfn.IFNA(VLOOKUP($A17, $A$40:$O$199, 9, FALSE), ))), _xlfn.IFNA(VLOOKUP($A17, $A$40:$O$199, 9, FALSE), ), "")</f>
        <v>-1369.8630136986421</v>
      </c>
      <c r="J17" s="13">
        <f>IF(NOT(ISBLANK(_xlfn.IFNA(VLOOKUP($A17, $A$40:$O$199, 10, FALSE), ))), _xlfn.IFNA(VLOOKUP($A17, $A$40:$O$199, 10, FALSE), ), "")</f>
        <v>94.4</v>
      </c>
      <c r="K17" s="14">
        <f>IF(NOT(ISBLANK(_xlfn.IFNA(VLOOKUP($A17, $A$40:$O$199, 11, FALSE), ))), _xlfn.IFNA(VLOOKUP($A17, $A$40:$O$199, 11, FALSE), ), "")</f>
        <v>-5.268703898840885E-3</v>
      </c>
      <c r="L17" s="16">
        <f>IF(NOT(ISBLANK(_xlfn.IFNA(VLOOKUP($A17, $A$40:$O$199, 12, FALSE), ))), _xlfn.IFNA(VLOOKUP($A17, $A$40:$O$199, 12, FALSE), ), "")</f>
        <v>-526.87038988408847</v>
      </c>
      <c r="M17" s="29">
        <f>IF(NOT(ISBLANK(_xlfn.IFNA(VLOOKUP($A17, $A$40:$O$199, 13, FALSE), ))), _xlfn.IFNA(VLOOKUP($A17, $A$40:$O$199, 13, FALSE), ), "")</f>
        <v>94.1</v>
      </c>
      <c r="N17" s="14">
        <f>IF(NOT(ISBLANK(_xlfn.IFNA(VLOOKUP($A17, $A$40:$O$199, 14, FALSE), ))), _xlfn.IFNA(VLOOKUP($A17, $A$40:$O$199, 14, FALSE), ), "")</f>
        <v>-8.4299262381455353E-3</v>
      </c>
      <c r="O17" s="16">
        <f>IF(NOT(ISBLANK(_xlfn.IFNA(VLOOKUP($A17, $A$40:$O$199, 15, FALSE), ))), _xlfn.IFNA(VLOOKUP($A17, $A$40:$O$199, 15, FALSE), ), "")</f>
        <v>-842.99262381455355</v>
      </c>
      <c r="Q17" s="245"/>
      <c r="R17" s="245"/>
      <c r="S17" s="245"/>
    </row>
    <row r="18" spans="1:19" ht="17.25" customHeight="1" thickBot="1">
      <c r="A18" s="162" t="s">
        <v>360</v>
      </c>
      <c r="B18" s="126">
        <f t="shared" ref="B18:B36" si="0">IF(NOT(ISBLANK(_xlfn.IFNA(VLOOKUP($A18, $A$40:$O$199, 2, FALSE), ))), _xlfn.IFNA(VLOOKUP($A18, $A$40:$O$199, 2, FALSE), ), "")</f>
        <v>146</v>
      </c>
      <c r="C18" s="77">
        <f t="shared" ref="C18:C36" si="1">IF(NOT(ISBLANK(_xlfn.IFNA(VLOOKUP($A18, $A$40:$O$199, 3, FALSE), ))), _xlfn.IFNA(VLOOKUP($A18, $A$40:$O$199, 3, FALSE), ), "")</f>
        <v>7.35294118E-2</v>
      </c>
      <c r="D18" s="15">
        <f t="shared" ref="D18:D36" si="2">IF(NOT(ISBLANK(_xlfn.IFNA(VLOOKUP($A18, $A$40:$O$199, 4, FALSE), ))), _xlfn.IFNA(VLOOKUP($A18, $A$40:$O$199, 4, FALSE), ), "")</f>
        <v>147</v>
      </c>
      <c r="E18" s="32">
        <f t="shared" ref="E18:E36" si="3">IF(NOT(ISBLANK(_xlfn.IFNA(VLOOKUP($A18, $A$40:$O$199, 5, FALSE), ))), _xlfn.IFNA(VLOOKUP($A18, $A$40:$O$199, 5, FALSE), ), "")</f>
        <v>6.8493150684931503E-3</v>
      </c>
      <c r="F18" s="18">
        <f t="shared" ref="F18:F36" si="4">IF(NOT(ISBLANK(_xlfn.IFNA(VLOOKUP($A18, $A$40:$O$199, 6, FALSE), ))), _xlfn.IFNA(VLOOKUP($A18, $A$40:$O$199, 6, FALSE), ), "")</f>
        <v>684.93150684931504</v>
      </c>
      <c r="G18" s="31">
        <f t="shared" ref="G18:G36" si="5">IF(NOT(ISBLANK(_xlfn.IFNA(VLOOKUP($A18, $A$40:$O$199, 7, FALSE), ))), _xlfn.IFNA(VLOOKUP($A18, $A$40:$O$199, 7, FALSE), ), "")</f>
        <v>144</v>
      </c>
      <c r="H18" s="32">
        <f t="shared" ref="H18:H36" si="6">IF(NOT(ISBLANK(_xlfn.IFNA(VLOOKUP($A18, $A$40:$O$199, 8, FALSE), ))), _xlfn.IFNA(VLOOKUP($A18, $A$40:$O$199, 8, FALSE), ), "")</f>
        <v>-1.3698630136986301E-2</v>
      </c>
      <c r="I18" s="101">
        <f t="shared" ref="I18:I36" si="7">IF(NOT(ISBLANK(_xlfn.IFNA(VLOOKUP($A18, $A$40:$O$199, 9, FALSE), ))), _xlfn.IFNA(VLOOKUP($A18, $A$40:$O$199, 9, FALSE), ), "")</f>
        <v>-1369.8630136986301</v>
      </c>
      <c r="J18" s="15">
        <f t="shared" ref="J18:J36" si="8">IF(NOT(ISBLANK(_xlfn.IFNA(VLOOKUP($A18, $A$40:$O$199, 10, FALSE), ))), _xlfn.IFNA(VLOOKUP($A18, $A$40:$O$199, 10, FALSE), ), "")</f>
        <v>146</v>
      </c>
      <c r="K18" s="32">
        <f t="shared" ref="K18:K36" si="9">IF(NOT(ISBLANK(_xlfn.IFNA(VLOOKUP($A18, $A$40:$O$199, 11, FALSE), ))), _xlfn.IFNA(VLOOKUP($A18, $A$40:$O$199, 11, FALSE), ), "")</f>
        <v>0</v>
      </c>
      <c r="L18" s="18">
        <f t="shared" ref="L18:L36" si="10">IF(NOT(ISBLANK(_xlfn.IFNA(VLOOKUP($A18, $A$40:$O$199, 12, FALSE), ))), _xlfn.IFNA(VLOOKUP($A18, $A$40:$O$199, 12, FALSE), ), "")</f>
        <v>0</v>
      </c>
      <c r="M18" s="31">
        <f t="shared" ref="M18:M36" si="11">IF(NOT(ISBLANK(_xlfn.IFNA(VLOOKUP($A18, $A$40:$O$199, 13, FALSE), ))), _xlfn.IFNA(VLOOKUP($A18, $A$40:$O$199, 13, FALSE), ), "")</f>
        <v>144</v>
      </c>
      <c r="N18" s="32">
        <f t="shared" ref="N18:N36" si="12">IF(NOT(ISBLANK(_xlfn.IFNA(VLOOKUP($A18, $A$40:$O$199, 14, FALSE), ))), _xlfn.IFNA(VLOOKUP($A18, $A$40:$O$199, 14, FALSE), ), "")</f>
        <v>-1.3698630136986301E-2</v>
      </c>
      <c r="O18" s="18">
        <f t="shared" ref="O18:O36" si="13">IF(NOT(ISBLANK(_xlfn.IFNA(VLOOKUP($A18, $A$40:$O$199, 15, FALSE), ))), _xlfn.IFNA(VLOOKUP($A18, $A$40:$O$199, 15, FALSE), ), "")</f>
        <v>-1369.8630136986301</v>
      </c>
      <c r="Q18" s="245"/>
      <c r="R18" s="245"/>
      <c r="S18" s="245"/>
    </row>
    <row r="19" spans="1:19" ht="17.25" customHeight="1" thickBot="1">
      <c r="A19" s="162" t="s">
        <v>361</v>
      </c>
      <c r="B19" s="126">
        <f t="shared" si="0"/>
        <v>308</v>
      </c>
      <c r="C19" s="77">
        <f t="shared" si="1"/>
        <v>-5.8103975500000002E-2</v>
      </c>
      <c r="D19" s="15">
        <f t="shared" si="2"/>
        <v>313</v>
      </c>
      <c r="E19" s="32">
        <f t="shared" si="3"/>
        <v>1.6233766233766232E-2</v>
      </c>
      <c r="F19" s="18">
        <f t="shared" si="4"/>
        <v>1623.3766233766232</v>
      </c>
      <c r="G19" s="31">
        <f t="shared" si="5"/>
        <v>310</v>
      </c>
      <c r="H19" s="32">
        <f t="shared" si="6"/>
        <v>6.4935064935064939E-3</v>
      </c>
      <c r="I19" s="101">
        <f t="shared" si="7"/>
        <v>649.35064935064941</v>
      </c>
      <c r="J19" s="15">
        <f t="shared" si="8"/>
        <v>312</v>
      </c>
      <c r="K19" s="32">
        <f t="shared" si="9"/>
        <v>1.2987012987012988E-2</v>
      </c>
      <c r="L19" s="18">
        <f t="shared" si="10"/>
        <v>1298.7012987012988</v>
      </c>
      <c r="M19" s="31">
        <f t="shared" si="11"/>
        <v>311</v>
      </c>
      <c r="N19" s="32">
        <f t="shared" si="12"/>
        <v>9.74025974025974E-3</v>
      </c>
      <c r="O19" s="18">
        <f t="shared" si="13"/>
        <v>974.02597402597405</v>
      </c>
      <c r="Q19" s="235"/>
      <c r="R19" s="235"/>
      <c r="S19" s="235"/>
    </row>
    <row r="20" spans="1:19" ht="17.25" customHeight="1" thickBot="1">
      <c r="A20" s="162" t="s">
        <v>362</v>
      </c>
      <c r="B20" s="126">
        <f t="shared" si="0"/>
        <v>161</v>
      </c>
      <c r="C20" s="77">
        <f t="shared" si="1"/>
        <v>-2.4242424200000001E-2</v>
      </c>
      <c r="D20" s="15">
        <f t="shared" si="2"/>
        <v>165</v>
      </c>
      <c r="E20" s="32">
        <f t="shared" si="3"/>
        <v>2.4844720496894408E-2</v>
      </c>
      <c r="F20" s="18">
        <f t="shared" si="4"/>
        <v>2484.4720496894406</v>
      </c>
      <c r="G20" s="31">
        <f t="shared" si="5"/>
        <v>161</v>
      </c>
      <c r="H20" s="32">
        <f t="shared" si="6"/>
        <v>0</v>
      </c>
      <c r="I20" s="101">
        <f t="shared" si="7"/>
        <v>0</v>
      </c>
      <c r="J20" s="15">
        <f t="shared" si="8"/>
        <v>162</v>
      </c>
      <c r="K20" s="32">
        <f t="shared" si="9"/>
        <v>6.2111801242236021E-3</v>
      </c>
      <c r="L20" s="18">
        <f t="shared" si="10"/>
        <v>621.11801242236015</v>
      </c>
      <c r="M20" s="31">
        <f t="shared" si="11"/>
        <v>161</v>
      </c>
      <c r="N20" s="32">
        <f t="shared" si="12"/>
        <v>0</v>
      </c>
      <c r="O20" s="18">
        <f t="shared" si="13"/>
        <v>0</v>
      </c>
      <c r="Q20" s="235"/>
      <c r="R20" s="235"/>
      <c r="S20" s="235"/>
    </row>
    <row r="21" spans="1:19" ht="17.25" customHeight="1" thickBot="1">
      <c r="A21" s="163" t="s">
        <v>363</v>
      </c>
      <c r="B21" s="128">
        <f t="shared" si="0"/>
        <v>120</v>
      </c>
      <c r="C21" s="78">
        <f t="shared" si="1"/>
        <v>-0.04</v>
      </c>
      <c r="D21" s="20">
        <f t="shared" si="2"/>
        <v>124</v>
      </c>
      <c r="E21" s="21">
        <f t="shared" si="3"/>
        <v>3.3333333333333333E-2</v>
      </c>
      <c r="F21" s="22">
        <f t="shared" si="4"/>
        <v>3333.3333333333335</v>
      </c>
      <c r="G21" s="30">
        <f t="shared" si="5"/>
        <v>120</v>
      </c>
      <c r="H21" s="21">
        <f t="shared" si="6"/>
        <v>0</v>
      </c>
      <c r="I21" s="105">
        <f t="shared" si="7"/>
        <v>0</v>
      </c>
      <c r="J21" s="20">
        <f t="shared" si="8"/>
        <v>121</v>
      </c>
      <c r="K21" s="21">
        <f t="shared" si="9"/>
        <v>8.3333333333333332E-3</v>
      </c>
      <c r="L21" s="22">
        <f t="shared" si="10"/>
        <v>833.33333333333337</v>
      </c>
      <c r="M21" s="30">
        <f t="shared" si="11"/>
        <v>121</v>
      </c>
      <c r="N21" s="21">
        <f t="shared" si="12"/>
        <v>8.3333333333333332E-3</v>
      </c>
      <c r="O21" s="22">
        <f t="shared" si="13"/>
        <v>833.33333333333337</v>
      </c>
      <c r="Q21" s="235"/>
      <c r="R21" s="235"/>
      <c r="S21" s="235"/>
    </row>
    <row r="22" spans="1:19" ht="17.25" customHeight="1" thickBot="1">
      <c r="A22" s="162" t="s">
        <v>364</v>
      </c>
      <c r="B22" s="129">
        <f t="shared" si="0"/>
        <v>77.900000000000006</v>
      </c>
      <c r="C22" s="80">
        <f t="shared" si="1"/>
        <v>-3.4696406399999997E-2</v>
      </c>
      <c r="D22" s="106">
        <f t="shared" si="2"/>
        <v>79.2</v>
      </c>
      <c r="E22" s="107">
        <f t="shared" si="3"/>
        <v>1.6688061617458241E-2</v>
      </c>
      <c r="F22" s="108">
        <f t="shared" si="4"/>
        <v>1668.8061617458241</v>
      </c>
      <c r="G22" s="109">
        <f t="shared" si="5"/>
        <v>77.7</v>
      </c>
      <c r="H22" s="107">
        <f t="shared" si="6"/>
        <v>-2.5673940949936178E-3</v>
      </c>
      <c r="I22" s="110">
        <f t="shared" si="7"/>
        <v>-256.73940949936178</v>
      </c>
      <c r="J22" s="106">
        <f t="shared" si="8"/>
        <v>78.5</v>
      </c>
      <c r="K22" s="107">
        <f t="shared" si="9"/>
        <v>7.7021822849806711E-3</v>
      </c>
      <c r="L22" s="108">
        <f t="shared" si="10"/>
        <v>770.21822849806711</v>
      </c>
      <c r="M22" s="109">
        <f t="shared" si="11"/>
        <v>77.7</v>
      </c>
      <c r="N22" s="107">
        <f t="shared" si="12"/>
        <v>-2.5673940949936178E-3</v>
      </c>
      <c r="O22" s="108">
        <f t="shared" si="13"/>
        <v>-256.73940949936178</v>
      </c>
      <c r="Q22" s="235"/>
      <c r="R22" s="235"/>
      <c r="S22" s="23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5"/>
      <c r="R23" s="235"/>
      <c r="S23" s="23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5"/>
      <c r="R24" s="235"/>
      <c r="S24" s="23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6"/>
      <c r="R26" s="237"/>
      <c r="S26" s="23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9"/>
      <c r="R27" s="240"/>
      <c r="S27" s="24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2"/>
      <c r="R28" s="243"/>
      <c r="S28" s="24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5"/>
      <c r="R29" s="235"/>
      <c r="S29" s="23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5"/>
      <c r="R30" s="245"/>
      <c r="S30" s="245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5"/>
      <c r="R31" s="245"/>
      <c r="S31" s="245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5"/>
      <c r="R32" s="235"/>
      <c r="S32" s="23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5"/>
      <c r="R33" s="235"/>
      <c r="S33" s="23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5"/>
      <c r="R34" s="235"/>
      <c r="S34" s="23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4"/>
      <c r="R35" s="225"/>
      <c r="S35" s="22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7"/>
      <c r="R36" s="228"/>
      <c r="S36" s="229"/>
    </row>
    <row r="37" spans="1:19" ht="17.25" customHeight="1" thickBot="1">
      <c r="A37" s="132" t="s">
        <v>42</v>
      </c>
      <c r="B37" s="288">
        <v>100000</v>
      </c>
      <c r="C37" s="289"/>
      <c r="D37" s="26" t="s">
        <v>43</v>
      </c>
      <c r="E37" s="27">
        <f>IF(COUNT(E17:E36), SUM(E17:E36) / COUNT(E17:E36), 0)</f>
        <v>1.7202983441464374E-2</v>
      </c>
      <c r="F37" s="28">
        <f>SUM(F17:F36)</f>
        <v>10321.790064878625</v>
      </c>
      <c r="G37" s="26" t="s">
        <v>43</v>
      </c>
      <c r="H37" s="27">
        <f>IF(COUNT(H17:H36), SUM(H17:H36) / COUNT(H17:H36), 0)</f>
        <v>-3.9118579792433066E-3</v>
      </c>
      <c r="I37" s="28">
        <f>SUM(I17:I36)</f>
        <v>-2347.1147875459851</v>
      </c>
      <c r="J37" s="26" t="s">
        <v>43</v>
      </c>
      <c r="K37" s="27">
        <f>IF(COUNT(K17:K36), SUM(K17:K36) / COUNT(K17:K36), 0)</f>
        <v>4.9941674717849521E-3</v>
      </c>
      <c r="L37" s="28">
        <f>SUM(L17:L36)</f>
        <v>2996.5004830709713</v>
      </c>
      <c r="M37" s="26" t="s">
        <v>43</v>
      </c>
      <c r="N37" s="27">
        <f>IF(COUNT(N17:N36), SUM(N17:N36) / COUNT(N17:N36), 0)</f>
        <v>-1.1037262327553967E-3</v>
      </c>
      <c r="O37" s="28">
        <f>SUM(O17:O36)</f>
        <v>-662.2357396532384</v>
      </c>
      <c r="Q37" s="230"/>
      <c r="R37" s="231"/>
      <c r="S37" s="232"/>
    </row>
    <row r="38" spans="1:19" ht="17.25" customHeight="1"/>
    <row r="39" spans="1:19" ht="17.25" customHeight="1" thickBot="1"/>
    <row r="40" spans="1:19" ht="17.25" customHeight="1" thickBot="1">
      <c r="A40" s="246" t="s">
        <v>44</v>
      </c>
      <c r="B40" s="247"/>
      <c r="C40" s="247"/>
      <c r="D40" s="247"/>
      <c r="E40" s="247"/>
      <c r="F40" s="247"/>
      <c r="G40" s="247"/>
      <c r="H40" s="247"/>
      <c r="I40" s="247"/>
      <c r="J40" s="247"/>
      <c r="K40" s="247"/>
      <c r="L40" s="247"/>
      <c r="M40" s="247"/>
      <c r="N40" s="247"/>
      <c r="O40" s="248"/>
      <c r="Q40" s="245"/>
      <c r="R40" s="245"/>
      <c r="S40" s="245"/>
    </row>
    <row r="41" spans="1:19" ht="17.25" customHeight="1" thickBot="1">
      <c r="A41" s="157" t="s">
        <v>297</v>
      </c>
      <c r="B41" s="246" t="s">
        <v>49</v>
      </c>
      <c r="C41" s="248"/>
      <c r="D41" s="246" t="s">
        <v>58</v>
      </c>
      <c r="E41" s="247"/>
      <c r="F41" s="248"/>
      <c r="G41" s="249">
        <f>_xlfn.IFNA(VLOOKUP(B41, 현재가테이블!$B$2:$D$200, 2, FALSE), "-")</f>
        <v>45335000</v>
      </c>
      <c r="H41" s="250"/>
      <c r="I41" s="251"/>
      <c r="J41" s="246" t="s">
        <v>59</v>
      </c>
      <c r="K41" s="247"/>
      <c r="L41" s="248"/>
      <c r="M41" s="252">
        <f>_xlfn.IFNA(VLOOKUP(B41, 현재가테이블!$B$2:$D$200, 3, FALSE), "-")</f>
        <v>-2.27209037E-2</v>
      </c>
      <c r="N41" s="253"/>
      <c r="O41" s="254"/>
      <c r="Q41" s="245"/>
      <c r="R41" s="245"/>
      <c r="S41" s="245"/>
    </row>
    <row r="42" spans="1:19" ht="17.25" customHeight="1" thickBot="1">
      <c r="A42" s="290" t="s">
        <v>55</v>
      </c>
      <c r="B42" s="286" t="str">
        <f>TEXT($G$1, "[$-ko-KR]yyyy-mm-dd(ddd) ") &amp; "오전 00:00"</f>
        <v>2021-06-01(화) 오전 00:00</v>
      </c>
      <c r="C42" s="287"/>
      <c r="D42" s="259" t="str">
        <f>TEXT($G$1, "[$-ko-KR]yyyy-mm-dd(ddd) ") &amp; "오후 14:00"</f>
        <v>2021-06-01(화) 오후 14:00</v>
      </c>
      <c r="E42" s="260"/>
      <c r="F42" s="261"/>
      <c r="G42" s="259" t="str">
        <f>TEXT($G$1, "[$-ko-KR]yyyy-mm-dd(ddd) ") &amp; "오후 19:00"</f>
        <v>2021-06-01(화) 오후 19:00</v>
      </c>
      <c r="H42" s="260"/>
      <c r="I42" s="261"/>
      <c r="J42" s="259" t="str">
        <f>TEXT($G$1, "[$-ko-KR]yyyy-mm-dd(ddd) ") &amp; "오후 21:00"</f>
        <v>2021-06-01(화) 오후 21:00</v>
      </c>
      <c r="K42" s="260"/>
      <c r="L42" s="261"/>
      <c r="M42" s="259" t="str">
        <f>TEXT($G$1+1, "[$-ko-KR]yyyy-mm-dd(ddd) ") &amp; "오전 00:00"</f>
        <v>2021-06-02(수) 오전 00:00</v>
      </c>
      <c r="N42" s="260"/>
      <c r="O42" s="261"/>
      <c r="Q42" s="245"/>
      <c r="R42" s="245"/>
      <c r="S42" s="245"/>
    </row>
    <row r="43" spans="1:19" ht="17.25" customHeight="1" thickBot="1">
      <c r="A43" s="291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58" t="s">
        <v>58</v>
      </c>
      <c r="H43" s="159" t="s">
        <v>298</v>
      </c>
      <c r="I43" s="160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5"/>
      <c r="R43" s="235"/>
      <c r="S43" s="235"/>
    </row>
    <row r="44" spans="1:19" ht="17.25" customHeight="1" thickBot="1">
      <c r="A44" s="123" t="s">
        <v>126</v>
      </c>
      <c r="B44" s="124">
        <v>29.9</v>
      </c>
      <c r="C44" s="76">
        <v>2.74914089E-2</v>
      </c>
      <c r="D44" s="13">
        <v>30</v>
      </c>
      <c r="E44" s="14">
        <f>IF(ISNUMBER(D44), (D44 - $B44) / $B44, "")</f>
        <v>3.3444816053512182E-3</v>
      </c>
      <c r="F44" s="16">
        <f>IF(ISNUMBER(D44), $B64 * E44, "")</f>
        <v>334.44816053512181</v>
      </c>
      <c r="G44" s="29">
        <v>28.8</v>
      </c>
      <c r="H44" s="14">
        <f>IF(ISNUMBER(G44), (G44 - $B44) / $B44, "")</f>
        <v>-3.678929765886281E-2</v>
      </c>
      <c r="I44" s="100">
        <f>IF(ISNUMBER(G44), $B64 * H44, "")</f>
        <v>-3678.9297658862811</v>
      </c>
      <c r="J44" s="13">
        <v>29.3</v>
      </c>
      <c r="K44" s="14">
        <f>IF(ISNUMBER(J44), (J44 - $B44) / $B44, "")</f>
        <v>-2.0066889632106955E-2</v>
      </c>
      <c r="L44" s="16">
        <f>IF(ISNUMBER(J44), $B64 * K44, "")</f>
        <v>-2006.6889632106954</v>
      </c>
      <c r="M44" s="29">
        <v>28.8</v>
      </c>
      <c r="N44" s="14">
        <f>IF(ISNUMBER(M44), (M44 - $B44) / $B44, "")</f>
        <v>-3.678929765886281E-2</v>
      </c>
      <c r="O44" s="16">
        <f>IF(ISNUMBER(M44), $B64 * N44, "")</f>
        <v>-3678.9297658862811</v>
      </c>
      <c r="Q44" s="245"/>
      <c r="R44" s="245"/>
      <c r="S44" s="245"/>
    </row>
    <row r="45" spans="1:19" ht="17.25" customHeight="1" thickBot="1">
      <c r="A45" s="125" t="s">
        <v>278</v>
      </c>
      <c r="B45" s="126">
        <v>78.5</v>
      </c>
      <c r="C45" s="77">
        <v>1.9480519500000001E-2</v>
      </c>
      <c r="D45" s="15">
        <v>80.400000000000006</v>
      </c>
      <c r="E45" s="32">
        <f t="shared" ref="E45:E48" si="14">IF(ISNUMBER(D45), (D45 - $B45) / $B45, "")</f>
        <v>2.4203821656051026E-2</v>
      </c>
      <c r="F45" s="18">
        <f>IF(ISNUMBER(D45), $B64 * E45, "")</f>
        <v>2420.3821656051027</v>
      </c>
      <c r="G45" s="31">
        <v>78.8</v>
      </c>
      <c r="H45" s="32">
        <f t="shared" ref="H45:H48" si="15">IF(ISNUMBER(G45), (G45 - $B45) / $B45, "")</f>
        <v>3.8216560509553776E-3</v>
      </c>
      <c r="I45" s="101">
        <f>IF(ISNUMBER(G45), $B64 * H45, "")</f>
        <v>382.16560509553779</v>
      </c>
      <c r="J45" s="15">
        <v>79.099999999999994</v>
      </c>
      <c r="K45" s="32">
        <f t="shared" ref="K45:K48" si="16">IF(ISNUMBER(J45), (J45 - $B45) / $B45, "")</f>
        <v>7.6433121019107552E-3</v>
      </c>
      <c r="L45" s="18">
        <f>IF(ISNUMBER(J45), $B64 * K45, "")</f>
        <v>764.33121019107557</v>
      </c>
      <c r="M45" s="31">
        <v>78.8</v>
      </c>
      <c r="N45" s="32">
        <f t="shared" ref="N45:N48" si="17">IF(ISNUMBER(M45), (M45 - $B45) / $B45, "")</f>
        <v>3.8216560509553776E-3</v>
      </c>
      <c r="O45" s="18">
        <f>IF(ISNUMBER(M45), $B64 * N45, "")</f>
        <v>382.16560509553779</v>
      </c>
      <c r="Q45" s="245"/>
      <c r="R45" s="245"/>
      <c r="S45" s="245"/>
    </row>
    <row r="46" spans="1:19" ht="17.25" customHeight="1" thickBot="1">
      <c r="A46" s="125" t="s">
        <v>156</v>
      </c>
      <c r="B46" s="126">
        <v>88.1</v>
      </c>
      <c r="C46" s="77">
        <v>9.1638029999999999E-3</v>
      </c>
      <c r="D46" s="15">
        <v>90.6</v>
      </c>
      <c r="E46" s="32">
        <f t="shared" si="14"/>
        <v>2.8376844494892171E-2</v>
      </c>
      <c r="F46" s="18">
        <f>IF(ISNUMBER(D46), $B64 * E46, "")</f>
        <v>2837.6844494892171</v>
      </c>
      <c r="G46" s="31">
        <v>88.4</v>
      </c>
      <c r="H46" s="32">
        <f t="shared" si="15"/>
        <v>3.4052213393871893E-3</v>
      </c>
      <c r="I46" s="101">
        <f>IF(ISNUMBER(G46), $B64 * H46, "")</f>
        <v>340.52213393871892</v>
      </c>
      <c r="J46" s="15">
        <v>89</v>
      </c>
      <c r="K46" s="32">
        <f t="shared" si="16"/>
        <v>1.0215664018161246E-2</v>
      </c>
      <c r="L46" s="18">
        <f>IF(ISNUMBER(J46), $B64 * K46, "")</f>
        <v>1021.5664018161247</v>
      </c>
      <c r="M46" s="31">
        <v>88.7</v>
      </c>
      <c r="N46" s="32">
        <f t="shared" si="17"/>
        <v>6.8104426787742173E-3</v>
      </c>
      <c r="O46" s="18">
        <f>IF(ISNUMBER(M46), $B64 * N46, "")</f>
        <v>681.0442678774217</v>
      </c>
      <c r="Q46" s="235"/>
      <c r="R46" s="235"/>
      <c r="S46" s="235"/>
    </row>
    <row r="47" spans="1:19" ht="17.25" customHeight="1" thickBot="1">
      <c r="A47" s="125" t="s">
        <v>122</v>
      </c>
      <c r="B47" s="126">
        <v>71.599999999999994</v>
      </c>
      <c r="C47" s="77">
        <v>7.0323488000000002E-3</v>
      </c>
      <c r="D47" s="15">
        <v>71</v>
      </c>
      <c r="E47" s="32">
        <f t="shared" si="14"/>
        <v>-8.3798882681563464E-3</v>
      </c>
      <c r="F47" s="18">
        <f>IF(ISNUMBER(D47), $B64 * E47, "")</f>
        <v>-837.98882681563464</v>
      </c>
      <c r="G47" s="31">
        <v>69.8</v>
      </c>
      <c r="H47" s="32">
        <f t="shared" si="15"/>
        <v>-2.5139664804469237E-2</v>
      </c>
      <c r="I47" s="101">
        <f>IF(ISNUMBER(G47), $B64 * H47, "")</f>
        <v>-2513.9664804469235</v>
      </c>
      <c r="J47" s="15">
        <v>70.099999999999994</v>
      </c>
      <c r="K47" s="32">
        <f t="shared" si="16"/>
        <v>-2.0949720670391064E-2</v>
      </c>
      <c r="L47" s="18">
        <f>IF(ISNUMBER(J47), $B64 * K47, "")</f>
        <v>-2094.9720670391062</v>
      </c>
      <c r="M47" s="31">
        <v>70</v>
      </c>
      <c r="N47" s="32">
        <f t="shared" si="17"/>
        <v>-2.234636871508372E-2</v>
      </c>
      <c r="O47" s="18">
        <f>IF(ISNUMBER(M47), $B64 * N47, "")</f>
        <v>-2234.6368715083718</v>
      </c>
      <c r="Q47" s="235"/>
      <c r="R47" s="235"/>
      <c r="S47" s="235"/>
    </row>
    <row r="48" spans="1:19" ht="17.25" customHeight="1" thickBot="1">
      <c r="A48" s="127" t="s">
        <v>65</v>
      </c>
      <c r="B48" s="128">
        <v>36.9</v>
      </c>
      <c r="C48" s="78">
        <v>2.7173913000000001E-3</v>
      </c>
      <c r="D48" s="20">
        <v>38</v>
      </c>
      <c r="E48" s="21">
        <f t="shared" si="14"/>
        <v>2.9810298102981071E-2</v>
      </c>
      <c r="F48" s="22">
        <f>IF(ISNUMBER(D48), $B64 * E48, "")</f>
        <v>2981.0298102981069</v>
      </c>
      <c r="G48" s="30">
        <v>36.700000000000003</v>
      </c>
      <c r="H48" s="21">
        <f t="shared" si="15"/>
        <v>-5.4200542005418901E-3</v>
      </c>
      <c r="I48" s="105">
        <f>IF(ISNUMBER(G48), $B64 * H48, "")</f>
        <v>-542.00542005418902</v>
      </c>
      <c r="J48" s="20">
        <v>37.4</v>
      </c>
      <c r="K48" s="21">
        <f t="shared" si="16"/>
        <v>1.3550135501355014E-2</v>
      </c>
      <c r="L48" s="22">
        <f>IF(ISNUMBER(J48), $B64 * K48, "")</f>
        <v>1355.0135501355014</v>
      </c>
      <c r="M48" s="30">
        <v>37</v>
      </c>
      <c r="N48" s="21">
        <f t="shared" si="17"/>
        <v>2.7100271002710413E-3</v>
      </c>
      <c r="O48" s="22">
        <f>IF(ISNUMBER(M48), $B64 * N48, "")</f>
        <v>271.00271002710411</v>
      </c>
      <c r="Q48" s="235"/>
      <c r="R48" s="235"/>
      <c r="S48" s="235"/>
    </row>
    <row r="49" spans="1:19" ht="17.25" customHeight="1" thickBot="1">
      <c r="A49" s="125" t="s">
        <v>222</v>
      </c>
      <c r="B49" s="129">
        <v>11.8</v>
      </c>
      <c r="C49" s="80">
        <v>0</v>
      </c>
      <c r="D49" s="106">
        <v>11.8</v>
      </c>
      <c r="E49" s="107">
        <f>IF(ISNUMBER(D49), (D49 - $B49) / $B49, "")</f>
        <v>0</v>
      </c>
      <c r="F49" s="108">
        <f>IF(ISNUMBER(D49), $B64 * E49, "")</f>
        <v>0</v>
      </c>
      <c r="G49" s="109">
        <v>11.4</v>
      </c>
      <c r="H49" s="107">
        <f>IF(ISNUMBER(G49), (G49 - $B49) / $B49, "")</f>
        <v>-3.389830508474579E-2</v>
      </c>
      <c r="I49" s="110">
        <f>IF(ISNUMBER(G49), $B64 * H49, "")</f>
        <v>-3389.8305084745789</v>
      </c>
      <c r="J49" s="106">
        <v>11.6</v>
      </c>
      <c r="K49" s="107">
        <f>IF(ISNUMBER(J49), (J49 - $B49) / $B49, "")</f>
        <v>-1.6949152542372972E-2</v>
      </c>
      <c r="L49" s="108">
        <f>IF(ISNUMBER(J49), $B64 * K49, "")</f>
        <v>-1694.9152542372972</v>
      </c>
      <c r="M49" s="109">
        <v>11.6</v>
      </c>
      <c r="N49" s="107">
        <f>IF(ISNUMBER(M49), (M49 - $B49) / $B49, "")</f>
        <v>-1.6949152542372972E-2</v>
      </c>
      <c r="O49" s="108">
        <f>IF(ISNUMBER(M49), $B64 * N49, "")</f>
        <v>-1694.9152542372972</v>
      </c>
      <c r="Q49" s="235"/>
      <c r="R49" s="235"/>
      <c r="S49" s="235"/>
    </row>
    <row r="50" spans="1:19" ht="17.25" customHeight="1" thickBot="1">
      <c r="A50" s="125" t="s">
        <v>260</v>
      </c>
      <c r="B50" s="126">
        <v>80.900000000000006</v>
      </c>
      <c r="C50" s="77">
        <v>-6.1425061000000003E-3</v>
      </c>
      <c r="D50" s="15">
        <v>82.7</v>
      </c>
      <c r="E50" s="32">
        <f t="shared" ref="E50:E53" si="18">IF(ISNUMBER(D50), (D50 - $B50) / $B50, "")</f>
        <v>2.2249690976514178E-2</v>
      </c>
      <c r="F50" s="18">
        <f>IF(ISNUMBER(D50), $B64 * E50, "")</f>
        <v>2224.9690976514175</v>
      </c>
      <c r="G50" s="31">
        <v>80.5</v>
      </c>
      <c r="H50" s="32">
        <f t="shared" ref="H50:H53" si="19">IF(ISNUMBER(G50), (G50 - $B50) / $B50, "")</f>
        <v>-4.9443757725587843E-3</v>
      </c>
      <c r="I50" s="101">
        <f>IF(ISNUMBER(G50), $B64 * H50, "")</f>
        <v>-494.43757725587841</v>
      </c>
      <c r="J50" s="15">
        <v>81.400000000000006</v>
      </c>
      <c r="K50" s="32">
        <f t="shared" ref="K50:K53" si="20">IF(ISNUMBER(J50), (J50 - $B50) / $B50, "")</f>
        <v>6.180469715698393E-3</v>
      </c>
      <c r="L50" s="18">
        <f>IF(ISNUMBER(J50), $B64 * K50, "")</f>
        <v>618.04697156983934</v>
      </c>
      <c r="M50" s="31">
        <v>81</v>
      </c>
      <c r="N50" s="32">
        <f t="shared" ref="N50:N53" si="21">IF(ISNUMBER(M50), (M50 - $B50) / $B50, "")</f>
        <v>1.2360939431396083E-3</v>
      </c>
      <c r="O50" s="18">
        <f>IF(ISNUMBER(M50), $B64 * N50, "")</f>
        <v>123.60939431396082</v>
      </c>
      <c r="Q50" s="235"/>
      <c r="R50" s="235"/>
      <c r="S50" s="235"/>
    </row>
    <row r="51" spans="1:19" ht="17.25" customHeight="1" thickBot="1">
      <c r="A51" s="125" t="s">
        <v>100</v>
      </c>
      <c r="B51" s="126">
        <v>4.37</v>
      </c>
      <c r="C51" s="77">
        <v>-1.13122172E-2</v>
      </c>
      <c r="D51" s="15">
        <v>4.53</v>
      </c>
      <c r="E51" s="32">
        <f t="shared" si="18"/>
        <v>3.6613272311212849E-2</v>
      </c>
      <c r="F51" s="18">
        <f>IF(ISNUMBER(D51), $B64 * E51, "")</f>
        <v>3661.327231121285</v>
      </c>
      <c r="G51" s="31">
        <v>4.41</v>
      </c>
      <c r="H51" s="32">
        <f t="shared" si="19"/>
        <v>9.1533180778032124E-3</v>
      </c>
      <c r="I51" s="101">
        <f>IF(ISNUMBER(G51), $B64 * H51, "")</f>
        <v>915.33180778032124</v>
      </c>
      <c r="J51" s="15">
        <v>4.43</v>
      </c>
      <c r="K51" s="32">
        <f t="shared" si="20"/>
        <v>1.3729977116704716E-2</v>
      </c>
      <c r="L51" s="18">
        <f>IF(ISNUMBER(J51), $B64 * K51, "")</f>
        <v>1372.9977116704715</v>
      </c>
      <c r="M51" s="31">
        <v>4.43</v>
      </c>
      <c r="N51" s="32">
        <f t="shared" si="21"/>
        <v>1.3729977116704716E-2</v>
      </c>
      <c r="O51" s="18">
        <f>IF(ISNUMBER(M51), $B64 * N51, "")</f>
        <v>1372.9977116704715</v>
      </c>
      <c r="Q51" s="235"/>
      <c r="R51" s="235"/>
      <c r="S51" s="235"/>
    </row>
    <row r="52" spans="1:19" ht="17.25" customHeight="1" thickBot="1">
      <c r="A52" s="125" t="s">
        <v>154</v>
      </c>
      <c r="B52" s="126">
        <v>11</v>
      </c>
      <c r="C52" s="77">
        <v>-1.7857142900000001E-2</v>
      </c>
      <c r="D52" s="15">
        <v>11.1</v>
      </c>
      <c r="E52" s="32">
        <f t="shared" si="18"/>
        <v>9.0909090909090592E-3</v>
      </c>
      <c r="F52" s="18">
        <f>IF(ISNUMBER(D52), $B64 * E52, "")</f>
        <v>909.09090909090594</v>
      </c>
      <c r="G52" s="31">
        <v>10.8</v>
      </c>
      <c r="H52" s="32">
        <f t="shared" si="19"/>
        <v>-1.8181818181818118E-2</v>
      </c>
      <c r="I52" s="101">
        <f>IF(ISNUMBER(G52), $B64 * H52, "")</f>
        <v>-1818.1818181818119</v>
      </c>
      <c r="J52" s="15">
        <v>10.9</v>
      </c>
      <c r="K52" s="32">
        <f t="shared" si="20"/>
        <v>-9.0909090909090592E-3</v>
      </c>
      <c r="L52" s="18">
        <f>IF(ISNUMBER(J52), $B64 * K52, "")</f>
        <v>-909.09090909090594</v>
      </c>
      <c r="M52" s="31">
        <v>11</v>
      </c>
      <c r="N52" s="32">
        <f t="shared" si="21"/>
        <v>0</v>
      </c>
      <c r="O52" s="18">
        <f>IF(ISNUMBER(M52), $B64 * N52, "")</f>
        <v>0</v>
      </c>
      <c r="Q52" s="33"/>
      <c r="R52" s="33"/>
    </row>
    <row r="53" spans="1:19" ht="17.25" customHeight="1" thickBot="1">
      <c r="A53" s="130" t="s">
        <v>152</v>
      </c>
      <c r="B53" s="131">
        <v>20.3</v>
      </c>
      <c r="C53" s="79">
        <v>-1.93236715E-2</v>
      </c>
      <c r="D53" s="24">
        <v>20.8</v>
      </c>
      <c r="E53" s="25">
        <f t="shared" si="18"/>
        <v>2.463054187192118E-2</v>
      </c>
      <c r="F53" s="104">
        <f>IF(ISNUMBER(D53), $B64 * E53, "")</f>
        <v>2463.0541871921182</v>
      </c>
      <c r="G53" s="102">
        <v>20.100000000000001</v>
      </c>
      <c r="H53" s="25">
        <f t="shared" si="19"/>
        <v>-9.8522167487684383E-3</v>
      </c>
      <c r="I53" s="103">
        <f>IF(ISNUMBER(G53), $B64 * H53, "")</f>
        <v>-985.22167487684385</v>
      </c>
      <c r="J53" s="24">
        <v>20.3</v>
      </c>
      <c r="K53" s="25">
        <f t="shared" si="20"/>
        <v>0</v>
      </c>
      <c r="L53" s="104">
        <f>IF(ISNUMBER(J53), $B64 * K53, "")</f>
        <v>0</v>
      </c>
      <c r="M53" s="102">
        <v>20.2</v>
      </c>
      <c r="N53" s="25">
        <f t="shared" si="21"/>
        <v>-4.9261083743843059E-3</v>
      </c>
      <c r="O53" s="104">
        <f>IF(ISNUMBER(M53), $B64 * N53, "")</f>
        <v>-492.61083743843056</v>
      </c>
      <c r="Q53" s="236"/>
      <c r="R53" s="237"/>
      <c r="S53" s="238"/>
    </row>
    <row r="54" spans="1:19" ht="17.25" customHeight="1">
      <c r="A54" s="123" t="s">
        <v>196</v>
      </c>
      <c r="B54" s="124">
        <v>11.5</v>
      </c>
      <c r="C54" s="76">
        <v>-2.54237288E-2</v>
      </c>
      <c r="D54" s="13">
        <v>11.8</v>
      </c>
      <c r="E54" s="14">
        <f>IF(ISNUMBER(D54), (D54 - $B54) / $B54, "")</f>
        <v>2.6086956521739191E-2</v>
      </c>
      <c r="F54" s="16">
        <f>IF(ISNUMBER(D54), $B64 * E54, "")</f>
        <v>2608.6956521739194</v>
      </c>
      <c r="G54" s="29">
        <v>11.5</v>
      </c>
      <c r="H54" s="14">
        <f>IF(ISNUMBER(G54), (G54 - $B54) / $B54, "")</f>
        <v>0</v>
      </c>
      <c r="I54" s="100">
        <f>IF(ISNUMBER(G54), $B64 * H54, "")</f>
        <v>0</v>
      </c>
      <c r="J54" s="13">
        <v>11.7</v>
      </c>
      <c r="K54" s="14">
        <f>IF(ISNUMBER(J54), (J54 - $B54) / $B54, "")</f>
        <v>1.7391304347826025E-2</v>
      </c>
      <c r="L54" s="16">
        <f>IF(ISNUMBER(J54), $B64 * K54, "")</f>
        <v>1739.1304347826024</v>
      </c>
      <c r="M54" s="29">
        <v>11.6</v>
      </c>
      <c r="N54" s="14">
        <f>IF(ISNUMBER(M54), (M54 - $B54) / $B54, "")</f>
        <v>8.6956521739130124E-3</v>
      </c>
      <c r="O54" s="16">
        <f>IF(ISNUMBER(M54), $B64 * N54, "")</f>
        <v>869.56521739130119</v>
      </c>
      <c r="Q54" s="239"/>
      <c r="R54" s="240"/>
      <c r="S54" s="241"/>
    </row>
    <row r="55" spans="1:19" ht="17.25" customHeight="1" thickBot="1">
      <c r="A55" s="125" t="s">
        <v>198</v>
      </c>
      <c r="B55" s="126">
        <v>16.8</v>
      </c>
      <c r="C55" s="77">
        <v>-2.89017341E-2</v>
      </c>
      <c r="D55" s="15">
        <v>17</v>
      </c>
      <c r="E55" s="32">
        <f t="shared" ref="E55:E58" si="22">IF(ISNUMBER(D55), (D55 - $B55) / $B55, "")</f>
        <v>1.1904761904761862E-2</v>
      </c>
      <c r="F55" s="18">
        <f>IF(ISNUMBER(D55), $B64 * E55, "")</f>
        <v>1190.4761904761863</v>
      </c>
      <c r="G55" s="31">
        <v>16.600000000000001</v>
      </c>
      <c r="H55" s="32">
        <f t="shared" ref="H55:H58" si="23">IF(ISNUMBER(G55), (G55 - $B55) / $B55, "")</f>
        <v>-1.1904761904761862E-2</v>
      </c>
      <c r="I55" s="101">
        <f>IF(ISNUMBER(G55), $B64 * H55, "")</f>
        <v>-1190.4761904761863</v>
      </c>
      <c r="J55" s="15">
        <v>16.7</v>
      </c>
      <c r="K55" s="32">
        <f t="shared" ref="K55:K58" si="24">IF(ISNUMBER(J55), (J55 - $B55) / $B55, "")</f>
        <v>-5.9523809523810371E-3</v>
      </c>
      <c r="L55" s="18">
        <f>IF(ISNUMBER(J55), $B64 * K55, "")</f>
        <v>-595.23809523810371</v>
      </c>
      <c r="M55" s="31">
        <v>16.7</v>
      </c>
      <c r="N55" s="32">
        <f t="shared" ref="N55:N58" si="25">IF(ISNUMBER(M55), (M55 - $B55) / $B55, "")</f>
        <v>-5.9523809523810371E-3</v>
      </c>
      <c r="O55" s="18">
        <f>IF(ISNUMBER(M55), $B64 * N55, "")</f>
        <v>-595.23809523810371</v>
      </c>
      <c r="Q55" s="242"/>
      <c r="R55" s="243"/>
      <c r="S55" s="244"/>
    </row>
    <row r="56" spans="1:19" ht="17.25" customHeight="1" thickBot="1">
      <c r="A56" s="125" t="s">
        <v>134</v>
      </c>
      <c r="B56" s="126">
        <v>94.9</v>
      </c>
      <c r="C56" s="77">
        <v>-2.9652351699999999E-2</v>
      </c>
      <c r="D56" s="15">
        <v>95.4</v>
      </c>
      <c r="E56" s="32">
        <f t="shared" si="22"/>
        <v>5.268703898840885E-3</v>
      </c>
      <c r="F56" s="18">
        <f>IF(ISNUMBER(D56), $B64 * E56, "")</f>
        <v>526.87038988408847</v>
      </c>
      <c r="G56" s="31">
        <v>93.6</v>
      </c>
      <c r="H56" s="32">
        <f t="shared" si="23"/>
        <v>-1.369863013698642E-2</v>
      </c>
      <c r="I56" s="101">
        <f>IF(ISNUMBER(G56), $B64 * H56, "")</f>
        <v>-1369.8630136986421</v>
      </c>
      <c r="J56" s="15">
        <v>94.4</v>
      </c>
      <c r="K56" s="32">
        <f t="shared" si="24"/>
        <v>-5.268703898840885E-3</v>
      </c>
      <c r="L56" s="18">
        <f>IF(ISNUMBER(J56), $B64 * K56, "")</f>
        <v>-526.87038988408847</v>
      </c>
      <c r="M56" s="31">
        <v>94.1</v>
      </c>
      <c r="N56" s="32">
        <f t="shared" si="25"/>
        <v>-8.4299262381455353E-3</v>
      </c>
      <c r="O56" s="18">
        <f>IF(ISNUMBER(M56), $B64 * N56, "")</f>
        <v>-842.99262381455355</v>
      </c>
      <c r="Q56" s="235"/>
      <c r="R56" s="235"/>
      <c r="S56" s="235"/>
    </row>
    <row r="57" spans="1:19" ht="17.25" customHeight="1" thickBot="1">
      <c r="A57" s="125" t="s">
        <v>214</v>
      </c>
      <c r="B57" s="126">
        <v>14.1</v>
      </c>
      <c r="C57" s="77">
        <v>-3.4246575299999998E-2</v>
      </c>
      <c r="D57" s="15">
        <v>14.4</v>
      </c>
      <c r="E57" s="32">
        <f t="shared" si="22"/>
        <v>2.1276595744680903E-2</v>
      </c>
      <c r="F57" s="18">
        <f>IF(ISNUMBER(D57), $B64 * E57, "")</f>
        <v>2127.6595744680903</v>
      </c>
      <c r="G57" s="31">
        <v>14.1</v>
      </c>
      <c r="H57" s="32">
        <f t="shared" si="23"/>
        <v>0</v>
      </c>
      <c r="I57" s="101">
        <f>IF(ISNUMBER(G57), $B64 * H57, "")</f>
        <v>0</v>
      </c>
      <c r="J57" s="15">
        <v>14.3</v>
      </c>
      <c r="K57" s="32">
        <f t="shared" si="24"/>
        <v>1.4184397163120643E-2</v>
      </c>
      <c r="L57" s="18">
        <f>IF(ISNUMBER(J57), $B64 * K57, "")</f>
        <v>1418.4397163120643</v>
      </c>
      <c r="M57" s="31">
        <v>14.2</v>
      </c>
      <c r="N57" s="32">
        <f t="shared" si="25"/>
        <v>7.0921985815602584E-3</v>
      </c>
      <c r="O57" s="18">
        <f>IF(ISNUMBER(M57), $B64 * N57, "")</f>
        <v>709.21985815602579</v>
      </c>
      <c r="Q57" s="245"/>
      <c r="R57" s="245"/>
      <c r="S57" s="245"/>
    </row>
    <row r="58" spans="1:19" ht="17.25" customHeight="1" thickBot="1">
      <c r="A58" s="127" t="s">
        <v>212</v>
      </c>
      <c r="B58" s="128">
        <v>77.900000000000006</v>
      </c>
      <c r="C58" s="78">
        <v>-3.4696406399999997E-2</v>
      </c>
      <c r="D58" s="20">
        <v>79.2</v>
      </c>
      <c r="E58" s="21">
        <f t="shared" si="22"/>
        <v>1.6688061617458241E-2</v>
      </c>
      <c r="F58" s="22">
        <f>IF(ISNUMBER(D58), $B64 * E58, "")</f>
        <v>1668.8061617458241</v>
      </c>
      <c r="G58" s="30">
        <v>77.7</v>
      </c>
      <c r="H58" s="21">
        <f t="shared" si="23"/>
        <v>-2.5673940949936178E-3</v>
      </c>
      <c r="I58" s="105">
        <f>IF(ISNUMBER(G58), $B64 * H58, "")</f>
        <v>-256.73940949936178</v>
      </c>
      <c r="J58" s="20">
        <v>78.5</v>
      </c>
      <c r="K58" s="21">
        <f t="shared" si="24"/>
        <v>7.7021822849806711E-3</v>
      </c>
      <c r="L58" s="22">
        <f>IF(ISNUMBER(J58), $B64 * K58, "")</f>
        <v>770.21822849806711</v>
      </c>
      <c r="M58" s="30">
        <v>77.7</v>
      </c>
      <c r="N58" s="21">
        <f t="shared" si="25"/>
        <v>-2.5673940949936178E-3</v>
      </c>
      <c r="O58" s="22">
        <f>IF(ISNUMBER(M58), $B64 * N58, "")</f>
        <v>-256.73940949936178</v>
      </c>
      <c r="Q58" s="245"/>
      <c r="R58" s="245"/>
      <c r="S58" s="245"/>
    </row>
    <row r="59" spans="1:19" ht="17.25" customHeight="1" thickBot="1">
      <c r="A59" s="125" t="s">
        <v>186</v>
      </c>
      <c r="B59" s="129">
        <v>13.4</v>
      </c>
      <c r="C59" s="80">
        <v>-3.5971222999999997E-2</v>
      </c>
      <c r="D59" s="106">
        <v>13.7</v>
      </c>
      <c r="E59" s="107">
        <f>IF(ISNUMBER(D59), (D59 - $B59) / $B59, "")</f>
        <v>2.2388059701492456E-2</v>
      </c>
      <c r="F59" s="108">
        <f>IF(ISNUMBER(D59), $B64 * E59, "")</f>
        <v>2238.8059701492457</v>
      </c>
      <c r="G59" s="109">
        <v>13.4</v>
      </c>
      <c r="H59" s="107">
        <f>IF(ISNUMBER(G59), (G59 - $B59) / $B59, "")</f>
        <v>0</v>
      </c>
      <c r="I59" s="110">
        <f>IF(ISNUMBER(G59), $B64 * H59, "")</f>
        <v>0</v>
      </c>
      <c r="J59" s="106">
        <v>13.6</v>
      </c>
      <c r="K59" s="107">
        <f>IF(ISNUMBER(J59), (J59 - $B59) / $B59, "")</f>
        <v>1.4925373134328304E-2</v>
      </c>
      <c r="L59" s="108">
        <f>IF(ISNUMBER(J59), $B64 * K59, "")</f>
        <v>1492.5373134328304</v>
      </c>
      <c r="M59" s="109">
        <v>13.7</v>
      </c>
      <c r="N59" s="107">
        <f>IF(ISNUMBER(M59), (M59 - $B59) / $B59, "")</f>
        <v>2.2388059701492456E-2</v>
      </c>
      <c r="O59" s="108">
        <f>IF(ISNUMBER(M59), $B64 * N59, "")</f>
        <v>2238.8059701492457</v>
      </c>
      <c r="Q59" s="235"/>
      <c r="R59" s="235"/>
      <c r="S59" s="235"/>
    </row>
    <row r="60" spans="1:19" ht="17.25" customHeight="1" thickBot="1">
      <c r="A60" s="125" t="s">
        <v>228</v>
      </c>
      <c r="B60" s="126">
        <v>10.7</v>
      </c>
      <c r="C60" s="77">
        <v>-3.6036036E-2</v>
      </c>
      <c r="D60" s="15">
        <v>10.9</v>
      </c>
      <c r="E60" s="32">
        <f t="shared" ref="E60:E63" si="26">IF(ISNUMBER(D60), (D60 - $B60) / $B60, "")</f>
        <v>1.8691588785046828E-2</v>
      </c>
      <c r="F60" s="18">
        <f>IF(ISNUMBER(D60), $B64 * E60, "")</f>
        <v>1869.1588785046829</v>
      </c>
      <c r="G60" s="31">
        <v>10.7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10.7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10.7</v>
      </c>
      <c r="N60" s="32">
        <f t="shared" ref="N60:N63" si="29">IF(ISNUMBER(M60), (M60 - $B60) / $B60, "")</f>
        <v>0</v>
      </c>
      <c r="O60" s="18">
        <f>IF(ISNUMBER(M60), $B64 * N60, "")</f>
        <v>0</v>
      </c>
      <c r="Q60" s="235"/>
      <c r="R60" s="235"/>
      <c r="S60" s="235"/>
    </row>
    <row r="61" spans="1:19" ht="17.25" customHeight="1" thickBot="1">
      <c r="A61" s="125" t="s">
        <v>236</v>
      </c>
      <c r="B61" s="126">
        <v>52.2</v>
      </c>
      <c r="C61" s="77">
        <v>-3.6900369000000002E-2</v>
      </c>
      <c r="D61" s="15">
        <v>52.8</v>
      </c>
      <c r="E61" s="32">
        <f t="shared" si="26"/>
        <v>1.1494252873563109E-2</v>
      </c>
      <c r="F61" s="18">
        <f>IF(ISNUMBER(D61), $B64 * E61, "")</f>
        <v>1149.4252873563109</v>
      </c>
      <c r="G61" s="31">
        <v>52.3</v>
      </c>
      <c r="H61" s="32">
        <f t="shared" si="27"/>
        <v>1.9157088122604274E-3</v>
      </c>
      <c r="I61" s="101">
        <f>IF(ISNUMBER(G61), $B64 * H61, "")</f>
        <v>191.57088122604276</v>
      </c>
      <c r="J61" s="15">
        <v>52.5</v>
      </c>
      <c r="K61" s="32">
        <f t="shared" si="28"/>
        <v>5.7471264367815545E-3</v>
      </c>
      <c r="L61" s="18">
        <f>IF(ISNUMBER(J61), $B64 * K61, "")</f>
        <v>574.71264367815547</v>
      </c>
      <c r="M61" s="31">
        <v>52.7</v>
      </c>
      <c r="N61" s="32">
        <f t="shared" si="29"/>
        <v>9.5785440613026813E-3</v>
      </c>
      <c r="O61" s="18">
        <f>IF(ISNUMBER(M61), $B64 * N61, "")</f>
        <v>957.8544061302681</v>
      </c>
      <c r="Q61" s="235"/>
      <c r="R61" s="235"/>
      <c r="S61" s="235"/>
    </row>
    <row r="62" spans="1:19" ht="17.25" customHeight="1">
      <c r="A62" s="125" t="s">
        <v>266</v>
      </c>
      <c r="B62" s="126">
        <v>58.5</v>
      </c>
      <c r="C62" s="77">
        <v>-3.78289474E-2</v>
      </c>
      <c r="D62" s="15">
        <v>60</v>
      </c>
      <c r="E62" s="32">
        <f t="shared" si="26"/>
        <v>2.564102564102564E-2</v>
      </c>
      <c r="F62" s="18">
        <f>IF(ISNUMBER(D62), $B64 * E62, "")</f>
        <v>2564.102564102564</v>
      </c>
      <c r="G62" s="31">
        <v>59.2</v>
      </c>
      <c r="H62" s="32">
        <f t="shared" si="27"/>
        <v>1.1965811965812015E-2</v>
      </c>
      <c r="I62" s="101">
        <f>IF(ISNUMBER(G62), $B64 * H62, "")</f>
        <v>1196.5811965812015</v>
      </c>
      <c r="J62" s="15">
        <v>59.4</v>
      </c>
      <c r="K62" s="32">
        <f t="shared" si="28"/>
        <v>1.5384615384615361E-2</v>
      </c>
      <c r="L62" s="18">
        <f>IF(ISNUMBER(J62), $B64 * K62, "")</f>
        <v>1538.4615384615361</v>
      </c>
      <c r="M62" s="31">
        <v>59</v>
      </c>
      <c r="N62" s="32">
        <f t="shared" si="29"/>
        <v>8.5470085470085479E-3</v>
      </c>
      <c r="O62" s="18">
        <f>IF(ISNUMBER(M62), $B64 * N62, "")</f>
        <v>854.70085470085473</v>
      </c>
      <c r="Q62" s="224"/>
      <c r="R62" s="225"/>
      <c r="S62" s="226"/>
    </row>
    <row r="63" spans="1:19" ht="17.25" customHeight="1" thickBot="1">
      <c r="A63" s="130" t="s">
        <v>254</v>
      </c>
      <c r="B63" s="131">
        <v>52.2</v>
      </c>
      <c r="C63" s="79">
        <v>-3.8674033099999998E-2</v>
      </c>
      <c r="D63" s="24">
        <v>52.6</v>
      </c>
      <c r="E63" s="25">
        <f t="shared" si="26"/>
        <v>7.6628352490421183E-3</v>
      </c>
      <c r="F63" s="104">
        <f>IF(ISNUMBER(D63), $B64 * E63, "")</f>
        <v>766.28352490421184</v>
      </c>
      <c r="G63" s="102">
        <v>52.1</v>
      </c>
      <c r="H63" s="25">
        <f t="shared" si="27"/>
        <v>-1.9157088122605636E-3</v>
      </c>
      <c r="I63" s="103">
        <f>IF(ISNUMBER(G63), $B64 * H63, "")</f>
        <v>-191.57088122605637</v>
      </c>
      <c r="J63" s="24">
        <v>52.3</v>
      </c>
      <c r="K63" s="25">
        <f t="shared" si="28"/>
        <v>1.9157088122604274E-3</v>
      </c>
      <c r="L63" s="104">
        <f>IF(ISNUMBER(J63), $B64 * K63, "")</f>
        <v>191.57088122604276</v>
      </c>
      <c r="M63" s="102">
        <v>52.4</v>
      </c>
      <c r="N63" s="25">
        <f t="shared" si="29"/>
        <v>3.8314176245209911E-3</v>
      </c>
      <c r="O63" s="104">
        <f>IF(ISNUMBER(M63), $B64 * N63, "")</f>
        <v>383.1417624520991</v>
      </c>
      <c r="Q63" s="227"/>
      <c r="R63" s="228"/>
      <c r="S63" s="229"/>
    </row>
    <row r="64" spans="1:19" ht="17.25" customHeight="1" thickBot="1">
      <c r="A64" s="132" t="s">
        <v>300</v>
      </c>
      <c r="B64" s="288">
        <f>$B$37</f>
        <v>100000</v>
      </c>
      <c r="C64" s="289"/>
      <c r="D64" s="26" t="s">
        <v>301</v>
      </c>
      <c r="E64" s="27">
        <f>IF(COUNT(E44:E63), SUM(E44:E63) / COUNT(E44:E63), 0)</f>
        <v>1.6852140688966382E-2</v>
      </c>
      <c r="F64" s="28">
        <f>SUM(F44:F63)</f>
        <v>33704.281377932763</v>
      </c>
      <c r="G64" s="26" t="s">
        <v>301</v>
      </c>
      <c r="H64" s="27">
        <f>IF(COUNT(H44:H63), SUM(H44:H63) / COUNT(H44:H63), 0)</f>
        <v>-6.7025255577274649E-3</v>
      </c>
      <c r="I64" s="28">
        <f>SUM(I44:I63)</f>
        <v>-13405.051115454931</v>
      </c>
      <c r="J64" s="26" t="s">
        <v>301</v>
      </c>
      <c r="K64" s="27">
        <f>IF(COUNT(K44:K63), SUM(K44:K63) / COUNT(K44:K63), 0)</f>
        <v>2.5146254615370572E-3</v>
      </c>
      <c r="L64" s="28">
        <f>SUM(L44:L63)</f>
        <v>5029.2509230741143</v>
      </c>
      <c r="M64" s="26" t="s">
        <v>301</v>
      </c>
      <c r="N64" s="27">
        <f>IF(COUNT(N44:N63), SUM(N44:N63) / COUNT(N44:N63), 0)</f>
        <v>-4.7597754982905483E-4</v>
      </c>
      <c r="O64" s="28">
        <f>SUM(O44:O63)</f>
        <v>-951.95509965810902</v>
      </c>
      <c r="Q64" s="230"/>
      <c r="R64" s="231"/>
      <c r="S64" s="232"/>
    </row>
    <row r="65" spans="1:19" ht="17.25" customHeight="1"/>
    <row r="66" spans="1:19" ht="17.25" customHeight="1" thickBot="1"/>
    <row r="67" spans="1:19" ht="17.25" thickBot="1">
      <c r="A67" s="246" t="s">
        <v>45</v>
      </c>
      <c r="B67" s="247"/>
      <c r="C67" s="247"/>
      <c r="D67" s="247"/>
      <c r="E67" s="247"/>
      <c r="F67" s="247"/>
      <c r="G67" s="247"/>
      <c r="H67" s="247"/>
      <c r="I67" s="247"/>
      <c r="J67" s="247"/>
      <c r="K67" s="247"/>
      <c r="L67" s="247"/>
      <c r="M67" s="247"/>
      <c r="N67" s="247"/>
      <c r="O67" s="248"/>
      <c r="Q67" s="245"/>
      <c r="R67" s="245"/>
      <c r="S67" s="245"/>
    </row>
    <row r="68" spans="1:19" ht="17.25" thickBot="1">
      <c r="A68" s="157" t="s">
        <v>297</v>
      </c>
      <c r="B68" s="246" t="s">
        <v>49</v>
      </c>
      <c r="C68" s="248"/>
      <c r="D68" s="246" t="s">
        <v>58</v>
      </c>
      <c r="E68" s="247"/>
      <c r="F68" s="248"/>
      <c r="G68" s="249">
        <f>_xlfn.IFNA(VLOOKUP(B68, 현재가테이블!$B$2:$D$200, 2, FALSE), "-")</f>
        <v>45335000</v>
      </c>
      <c r="H68" s="250"/>
      <c r="I68" s="251"/>
      <c r="J68" s="246" t="s">
        <v>59</v>
      </c>
      <c r="K68" s="247"/>
      <c r="L68" s="248"/>
      <c r="M68" s="252">
        <f>_xlfn.IFNA(VLOOKUP(B68, 현재가테이블!$B$2:$D$200, 3, FALSE), "-")</f>
        <v>-2.27209037E-2</v>
      </c>
      <c r="N68" s="253"/>
      <c r="O68" s="254"/>
      <c r="Q68" s="245"/>
      <c r="R68" s="245"/>
      <c r="S68" s="245"/>
    </row>
    <row r="69" spans="1:19" ht="17.25" thickBot="1">
      <c r="A69" s="290" t="s">
        <v>55</v>
      </c>
      <c r="B69" s="286" t="str">
        <f>TEXT($G$1, "[$-ko-KR]yyyy-mm-dd(ddd) ") &amp; "오전 00:00"</f>
        <v>2021-06-01(화) 오전 00:00</v>
      </c>
      <c r="C69" s="287"/>
      <c r="D69" s="259" t="str">
        <f>TEXT($G$1, "[$-ko-KR]yyyy-mm-dd(ddd) ") &amp; "오후 14:00"</f>
        <v>2021-06-01(화) 오후 14:00</v>
      </c>
      <c r="E69" s="260"/>
      <c r="F69" s="261"/>
      <c r="G69" s="259" t="str">
        <f>TEXT($G$1, "[$-ko-KR]yyyy-mm-dd(ddd) ") &amp; "오후 19:00"</f>
        <v>2021-06-01(화) 오후 19:00</v>
      </c>
      <c r="H69" s="260"/>
      <c r="I69" s="261"/>
      <c r="J69" s="259" t="str">
        <f>TEXT($G$1, "[$-ko-KR]yyyy-mm-dd(ddd) ") &amp; "오후 21:00"</f>
        <v>2021-06-01(화) 오후 21:00</v>
      </c>
      <c r="K69" s="260"/>
      <c r="L69" s="261"/>
      <c r="M69" s="259" t="str">
        <f>TEXT($G$1+1, "[$-ko-KR]yyyy-mm-dd(ddd) ") &amp; "오전 00:00"</f>
        <v>2021-06-02(수) 오전 00:00</v>
      </c>
      <c r="N69" s="260"/>
      <c r="O69" s="261"/>
      <c r="Q69" s="245"/>
      <c r="R69" s="245"/>
      <c r="S69" s="245"/>
    </row>
    <row r="70" spans="1:19" ht="17.25" thickBot="1">
      <c r="A70" s="291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58" t="s">
        <v>58</v>
      </c>
      <c r="H70" s="159" t="s">
        <v>298</v>
      </c>
      <c r="I70" s="160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5"/>
      <c r="R70" s="235"/>
      <c r="S70" s="235"/>
    </row>
    <row r="71" spans="1:19" ht="17.25" thickBot="1">
      <c r="A71" s="123" t="s">
        <v>120</v>
      </c>
      <c r="B71" s="124">
        <v>146</v>
      </c>
      <c r="C71" s="76">
        <v>7.35294118E-2</v>
      </c>
      <c r="D71" s="13">
        <v>147</v>
      </c>
      <c r="E71" s="14">
        <f>IF(ISNUMBER(D71), (D71 - $B71) / $B71, "")</f>
        <v>6.8493150684931503E-3</v>
      </c>
      <c r="F71" s="16">
        <f>IF(ISNUMBER(D71), $B91 * E71, "")</f>
        <v>684.93150684931504</v>
      </c>
      <c r="G71" s="29">
        <v>144</v>
      </c>
      <c r="H71" s="14">
        <f>IF(ISNUMBER(G71), (G71 - $B71) / $B71, "")</f>
        <v>-1.3698630136986301E-2</v>
      </c>
      <c r="I71" s="100">
        <f>IF(ISNUMBER(G71), $B91 * H71, "")</f>
        <v>-1369.8630136986301</v>
      </c>
      <c r="J71" s="13">
        <v>146</v>
      </c>
      <c r="K71" s="14">
        <f>IF(ISNUMBER(J71), (J71 - $B71) / $B71, "")</f>
        <v>0</v>
      </c>
      <c r="L71" s="16">
        <f>IF(ISNUMBER(J71), $B91 * K71, "")</f>
        <v>0</v>
      </c>
      <c r="M71" s="29">
        <v>144</v>
      </c>
      <c r="N71" s="14">
        <f>IF(ISNUMBER(M71), (M71 - $B71) / $B71, "")</f>
        <v>-1.3698630136986301E-2</v>
      </c>
      <c r="O71" s="16">
        <f>IF(ISNUMBER(M71), $B91 * N71, "")</f>
        <v>-1369.8630136986301</v>
      </c>
      <c r="Q71" s="245"/>
      <c r="R71" s="245"/>
      <c r="S71" s="245"/>
    </row>
    <row r="72" spans="1:19" ht="17.25" thickBot="1">
      <c r="A72" s="125" t="s">
        <v>132</v>
      </c>
      <c r="B72" s="126">
        <v>139</v>
      </c>
      <c r="C72" s="77">
        <v>6.10687023E-2</v>
      </c>
      <c r="D72" s="15">
        <v>148</v>
      </c>
      <c r="E72" s="32">
        <f t="shared" ref="E72:E75" si="30">IF(ISNUMBER(D72), (D72 - $B72) / $B72, "")</f>
        <v>6.4748201438848921E-2</v>
      </c>
      <c r="F72" s="18">
        <f>IF(ISNUMBER(D72), $B91 * E72, "")</f>
        <v>6474.8201438848919</v>
      </c>
      <c r="G72" s="31">
        <v>144</v>
      </c>
      <c r="H72" s="32">
        <f t="shared" ref="H72:H75" si="31">IF(ISNUMBER(G72), (G72 - $B72) / $B72, "")</f>
        <v>3.5971223021582732E-2</v>
      </c>
      <c r="I72" s="101">
        <f>IF(ISNUMBER(G72), $B91 * H72, "")</f>
        <v>3597.1223021582732</v>
      </c>
      <c r="J72" s="15">
        <v>145</v>
      </c>
      <c r="K72" s="32">
        <f t="shared" ref="K72:K75" si="32">IF(ISNUMBER(J72), (J72 - $B72) / $B72, "")</f>
        <v>4.3165467625899283E-2</v>
      </c>
      <c r="L72" s="18">
        <f>IF(ISNUMBER(J72), $B91 * K72, "")</f>
        <v>4316.5467625899282</v>
      </c>
      <c r="M72" s="31">
        <v>145</v>
      </c>
      <c r="N72" s="32">
        <f t="shared" ref="N72:N75" si="33">IF(ISNUMBER(M72), (M72 - $B72) / $B72, "")</f>
        <v>4.3165467625899283E-2</v>
      </c>
      <c r="O72" s="18">
        <f>IF(ISNUMBER(M72), $B91 * N72, "")</f>
        <v>4316.5467625899282</v>
      </c>
      <c r="Q72" s="245"/>
      <c r="R72" s="245"/>
      <c r="S72" s="245"/>
    </row>
    <row r="73" spans="1:19" ht="17.25" thickBot="1">
      <c r="A73" s="125" t="s">
        <v>148</v>
      </c>
      <c r="B73" s="126">
        <v>125</v>
      </c>
      <c r="C73" s="77">
        <v>3.3057851200000002E-2</v>
      </c>
      <c r="D73" s="15">
        <v>129</v>
      </c>
      <c r="E73" s="32">
        <f t="shared" si="30"/>
        <v>3.2000000000000001E-2</v>
      </c>
      <c r="F73" s="18">
        <f>IF(ISNUMBER(D73), $B91 * E73, "")</f>
        <v>3200</v>
      </c>
      <c r="G73" s="31">
        <v>125</v>
      </c>
      <c r="H73" s="32">
        <f t="shared" si="31"/>
        <v>0</v>
      </c>
      <c r="I73" s="101">
        <f>IF(ISNUMBER(G73), $B91 * H73, "")</f>
        <v>0</v>
      </c>
      <c r="J73" s="15">
        <v>126</v>
      </c>
      <c r="K73" s="32">
        <f t="shared" si="32"/>
        <v>8.0000000000000002E-3</v>
      </c>
      <c r="L73" s="18">
        <f>IF(ISNUMBER(J73), $B91 * K73, "")</f>
        <v>800</v>
      </c>
      <c r="M73" s="31">
        <v>126</v>
      </c>
      <c r="N73" s="32">
        <f t="shared" si="33"/>
        <v>8.0000000000000002E-3</v>
      </c>
      <c r="O73" s="18">
        <f>IF(ISNUMBER(M73), $B91 * N73, "")</f>
        <v>800</v>
      </c>
      <c r="Q73" s="235"/>
      <c r="R73" s="235"/>
      <c r="S73" s="235"/>
    </row>
    <row r="74" spans="1:19" ht="17.25" thickBot="1">
      <c r="A74" s="125" t="s">
        <v>168</v>
      </c>
      <c r="B74" s="126">
        <v>107</v>
      </c>
      <c r="C74" s="77">
        <v>2.88461538E-2</v>
      </c>
      <c r="D74" s="15">
        <v>111</v>
      </c>
      <c r="E74" s="32">
        <f t="shared" si="30"/>
        <v>3.7383177570093455E-2</v>
      </c>
      <c r="F74" s="18">
        <f>IF(ISNUMBER(D74), $B91 * E74, "")</f>
        <v>3738.3177570093453</v>
      </c>
      <c r="G74" s="31">
        <v>109</v>
      </c>
      <c r="H74" s="32">
        <f t="shared" si="31"/>
        <v>1.8691588785046728E-2</v>
      </c>
      <c r="I74" s="101">
        <f>IF(ISNUMBER(G74), $B91 * H74, "")</f>
        <v>1869.1588785046727</v>
      </c>
      <c r="J74" s="15">
        <v>111</v>
      </c>
      <c r="K74" s="32">
        <f t="shared" si="32"/>
        <v>3.7383177570093455E-2</v>
      </c>
      <c r="L74" s="18">
        <f>IF(ISNUMBER(J74), $B91 * K74, "")</f>
        <v>3738.3177570093453</v>
      </c>
      <c r="M74" s="31">
        <v>112</v>
      </c>
      <c r="N74" s="32">
        <f t="shared" si="33"/>
        <v>4.6728971962616821E-2</v>
      </c>
      <c r="O74" s="18">
        <f>IF(ISNUMBER(M74), $B91 * N74, "")</f>
        <v>4672.8971962616824</v>
      </c>
      <c r="Q74" s="235"/>
      <c r="R74" s="235"/>
      <c r="S74" s="235"/>
    </row>
    <row r="75" spans="1:19" ht="17.25" thickBot="1">
      <c r="A75" s="127" t="s">
        <v>51</v>
      </c>
      <c r="B75" s="128">
        <v>465</v>
      </c>
      <c r="C75" s="78">
        <v>2.1978022E-2</v>
      </c>
      <c r="D75" s="20">
        <v>476</v>
      </c>
      <c r="E75" s="21">
        <f t="shared" si="30"/>
        <v>2.3655913978494623E-2</v>
      </c>
      <c r="F75" s="22">
        <f>IF(ISNUMBER(D75), $B91 * E75, "")</f>
        <v>2365.5913978494623</v>
      </c>
      <c r="G75" s="30">
        <v>467</v>
      </c>
      <c r="H75" s="21">
        <f t="shared" si="31"/>
        <v>4.3010752688172043E-3</v>
      </c>
      <c r="I75" s="105">
        <f>IF(ISNUMBER(G75), $B91 * H75, "")</f>
        <v>430.10752688172045</v>
      </c>
      <c r="J75" s="20">
        <v>468</v>
      </c>
      <c r="K75" s="21">
        <f t="shared" si="32"/>
        <v>6.4516129032258064E-3</v>
      </c>
      <c r="L75" s="22">
        <f>IF(ISNUMBER(J75), $B91 * K75, "")</f>
        <v>645.16129032258061</v>
      </c>
      <c r="M75" s="30">
        <v>513</v>
      </c>
      <c r="N75" s="21">
        <f t="shared" si="33"/>
        <v>0.1032258064516129</v>
      </c>
      <c r="O75" s="22">
        <f>IF(ISNUMBER(M75), $B91 * N75, "")</f>
        <v>10322.58064516129</v>
      </c>
      <c r="Q75" s="235"/>
      <c r="R75" s="235"/>
      <c r="S75" s="235"/>
    </row>
    <row r="76" spans="1:19" ht="17.25" thickBot="1">
      <c r="A76" s="125" t="s">
        <v>142</v>
      </c>
      <c r="B76" s="129">
        <v>376</v>
      </c>
      <c r="C76" s="80">
        <v>1.6216216200000001E-2</v>
      </c>
      <c r="D76" s="106">
        <v>412</v>
      </c>
      <c r="E76" s="107">
        <f>IF(ISNUMBER(D76), (D76 - $B76) / $B76, "")</f>
        <v>9.5744680851063829E-2</v>
      </c>
      <c r="F76" s="108">
        <f>IF(ISNUMBER(D76), $B91 * E76, "")</f>
        <v>9574.4680851063822</v>
      </c>
      <c r="G76" s="109">
        <v>402</v>
      </c>
      <c r="H76" s="107">
        <f>IF(ISNUMBER(G76), (G76 - $B76) / $B76, "")</f>
        <v>6.9148936170212769E-2</v>
      </c>
      <c r="I76" s="110">
        <f>IF(ISNUMBER(G76), $B91 * H76, "")</f>
        <v>6914.8936170212764</v>
      </c>
      <c r="J76" s="106">
        <v>417</v>
      </c>
      <c r="K76" s="107">
        <f>IF(ISNUMBER(J76), (J76 - $B76) / $B76, "")</f>
        <v>0.10904255319148937</v>
      </c>
      <c r="L76" s="108">
        <f>IF(ISNUMBER(J76), $B91 * K76, "")</f>
        <v>10904.255319148937</v>
      </c>
      <c r="M76" s="109">
        <v>411</v>
      </c>
      <c r="N76" s="107">
        <f>IF(ISNUMBER(M76), (M76 - $B76) / $B76, "")</f>
        <v>9.3085106382978719E-2</v>
      </c>
      <c r="O76" s="108">
        <f>IF(ISNUMBER(M76), $B91 * N76, "")</f>
        <v>9308.510638297872</v>
      </c>
      <c r="Q76" s="235"/>
      <c r="R76" s="235"/>
      <c r="S76" s="235"/>
    </row>
    <row r="77" spans="1:19" ht="17.25" thickBot="1">
      <c r="A77" s="125" t="s">
        <v>136</v>
      </c>
      <c r="B77" s="126">
        <v>130</v>
      </c>
      <c r="C77" s="77">
        <v>1.5625E-2</v>
      </c>
      <c r="D77" s="15">
        <v>134</v>
      </c>
      <c r="E77" s="32">
        <f t="shared" ref="E77:E80" si="34">IF(ISNUMBER(D77), (D77 - $B77) / $B77, "")</f>
        <v>3.0769230769230771E-2</v>
      </c>
      <c r="F77" s="18">
        <f>IF(ISNUMBER(D77), $B91 * E77, "")</f>
        <v>3076.9230769230771</v>
      </c>
      <c r="G77" s="31">
        <v>135</v>
      </c>
      <c r="H77" s="32">
        <f t="shared" ref="H77:H80" si="35">IF(ISNUMBER(G77), (G77 - $B77) / $B77, "")</f>
        <v>3.8461538461538464E-2</v>
      </c>
      <c r="I77" s="101">
        <f>IF(ISNUMBER(G77), $B91 * H77, "")</f>
        <v>3846.1538461538462</v>
      </c>
      <c r="J77" s="15">
        <v>138</v>
      </c>
      <c r="K77" s="32">
        <f t="shared" ref="K77:K80" si="36">IF(ISNUMBER(J77), (J77 - $B77) / $B77, "")</f>
        <v>6.1538461538461542E-2</v>
      </c>
      <c r="L77" s="18">
        <f>IF(ISNUMBER(J77), $B91 * K77, "")</f>
        <v>6153.8461538461543</v>
      </c>
      <c r="M77" s="31">
        <v>140</v>
      </c>
      <c r="N77" s="32">
        <f t="shared" ref="N77:N80" si="37">IF(ISNUMBER(M77), (M77 - $B77) / $B77, "")</f>
        <v>7.6923076923076927E-2</v>
      </c>
      <c r="O77" s="18">
        <f>IF(ISNUMBER(M77), $B91 * N77, "")</f>
        <v>7692.3076923076924</v>
      </c>
      <c r="Q77" s="235"/>
      <c r="R77" s="235"/>
      <c r="S77" s="235"/>
    </row>
    <row r="78" spans="1:19" ht="17.25" thickBot="1">
      <c r="A78" s="125" t="s">
        <v>80</v>
      </c>
      <c r="B78" s="126">
        <v>870</v>
      </c>
      <c r="C78" s="77">
        <v>1.51691949E-2</v>
      </c>
      <c r="D78" s="15">
        <v>895</v>
      </c>
      <c r="E78" s="32">
        <f t="shared" si="34"/>
        <v>2.8735632183908046E-2</v>
      </c>
      <c r="F78" s="18">
        <f>IF(ISNUMBER(D78), $B91 * E78, "")</f>
        <v>2873.5632183908046</v>
      </c>
      <c r="G78" s="31">
        <v>872</v>
      </c>
      <c r="H78" s="32">
        <f t="shared" si="35"/>
        <v>2.2988505747126436E-3</v>
      </c>
      <c r="I78" s="101">
        <f>IF(ISNUMBER(G78), $B91 * H78, "")</f>
        <v>229.88505747126436</v>
      </c>
      <c r="J78" s="15">
        <v>879</v>
      </c>
      <c r="K78" s="32">
        <f t="shared" si="36"/>
        <v>1.0344827586206896E-2</v>
      </c>
      <c r="L78" s="18">
        <f>IF(ISNUMBER(J78), $B91 * K78, "")</f>
        <v>1034.4827586206895</v>
      </c>
      <c r="M78" s="31">
        <v>871</v>
      </c>
      <c r="N78" s="32">
        <f t="shared" si="37"/>
        <v>1.1494252873563218E-3</v>
      </c>
      <c r="O78" s="18">
        <f>IF(ISNUMBER(M78), $B91 * N78, "")</f>
        <v>114.94252873563218</v>
      </c>
      <c r="Q78" s="235"/>
      <c r="R78" s="235"/>
      <c r="S78" s="235"/>
    </row>
    <row r="79" spans="1:19" ht="17.25" thickBot="1">
      <c r="A79" s="125" t="s">
        <v>230</v>
      </c>
      <c r="B79" s="126">
        <v>116</v>
      </c>
      <c r="C79" s="77">
        <v>8.6956522000000008E-3</v>
      </c>
      <c r="D79" s="15">
        <v>116</v>
      </c>
      <c r="E79" s="32">
        <f t="shared" si="34"/>
        <v>0</v>
      </c>
      <c r="F79" s="18">
        <f>IF(ISNUMBER(D79), $B91 * E79, "")</f>
        <v>0</v>
      </c>
      <c r="G79" s="31">
        <v>114</v>
      </c>
      <c r="H79" s="32">
        <f t="shared" si="35"/>
        <v>-1.7241379310344827E-2</v>
      </c>
      <c r="I79" s="101">
        <f>IF(ISNUMBER(G79), $B91 * H79, "")</f>
        <v>-1724.1379310344828</v>
      </c>
      <c r="J79" s="15">
        <v>115</v>
      </c>
      <c r="K79" s="32">
        <f t="shared" si="36"/>
        <v>-8.6206896551724137E-3</v>
      </c>
      <c r="L79" s="18">
        <f>IF(ISNUMBER(J79), $B91 * K79, "")</f>
        <v>-862.06896551724139</v>
      </c>
      <c r="M79" s="31">
        <v>114</v>
      </c>
      <c r="N79" s="32">
        <f t="shared" si="37"/>
        <v>-1.7241379310344827E-2</v>
      </c>
      <c r="O79" s="18">
        <f>IF(ISNUMBER(M79), $B91 * N79, "")</f>
        <v>-1724.1379310344828</v>
      </c>
      <c r="Q79" s="33"/>
      <c r="R79" s="33"/>
    </row>
    <row r="80" spans="1:19" ht="17.25" thickBot="1">
      <c r="A80" s="130" t="s">
        <v>61</v>
      </c>
      <c r="B80" s="131">
        <v>953</v>
      </c>
      <c r="C80" s="79">
        <v>5.2742615999999999E-3</v>
      </c>
      <c r="D80" s="24">
        <v>1000</v>
      </c>
      <c r="E80" s="25">
        <f t="shared" si="34"/>
        <v>4.9317943336831059E-2</v>
      </c>
      <c r="F80" s="104">
        <f>IF(ISNUMBER(D80), $B91 * E80, "")</f>
        <v>4931.7943336831058</v>
      </c>
      <c r="G80" s="102">
        <v>973</v>
      </c>
      <c r="H80" s="25">
        <f t="shared" si="35"/>
        <v>2.098635886673662E-2</v>
      </c>
      <c r="I80" s="103">
        <f>IF(ISNUMBER(G80), $B91 * H80, "")</f>
        <v>2098.6358866736618</v>
      </c>
      <c r="J80" s="24">
        <v>976</v>
      </c>
      <c r="K80" s="25">
        <f t="shared" si="36"/>
        <v>2.4134312696747113E-2</v>
      </c>
      <c r="L80" s="104">
        <f>IF(ISNUMBER(J80), $B91 * K80, "")</f>
        <v>2413.4312696747111</v>
      </c>
      <c r="M80" s="102">
        <v>968</v>
      </c>
      <c r="N80" s="25">
        <f t="shared" si="37"/>
        <v>1.5739769150052464E-2</v>
      </c>
      <c r="O80" s="104">
        <f>IF(ISNUMBER(M80), $B91 * N80, "")</f>
        <v>1573.9769150052464</v>
      </c>
      <c r="Q80" s="236"/>
      <c r="R80" s="237"/>
      <c r="S80" s="238"/>
    </row>
    <row r="81" spans="1:19">
      <c r="A81" s="123" t="s">
        <v>57</v>
      </c>
      <c r="B81" s="124">
        <v>222</v>
      </c>
      <c r="C81" s="76">
        <v>4.5248869000000004E-3</v>
      </c>
      <c r="D81" s="13">
        <v>226</v>
      </c>
      <c r="E81" s="14">
        <f>IF(ISNUMBER(D81), (D81 - $B81) / $B81, "")</f>
        <v>1.8018018018018018E-2</v>
      </c>
      <c r="F81" s="16">
        <f>IF(ISNUMBER(D81), $B91 * E81, "")</f>
        <v>1801.8018018018017</v>
      </c>
      <c r="G81" s="29">
        <v>220</v>
      </c>
      <c r="H81" s="14">
        <f>IF(ISNUMBER(G81), (G81 - $B81) / $B81, "")</f>
        <v>-9.0090090090090089E-3</v>
      </c>
      <c r="I81" s="100">
        <f>IF(ISNUMBER(G81), $B91 * H81, "")</f>
        <v>-900.90090090090087</v>
      </c>
      <c r="J81" s="13">
        <v>222</v>
      </c>
      <c r="K81" s="14">
        <f>IF(ISNUMBER(J81), (J81 - $B81) / $B81, "")</f>
        <v>0</v>
      </c>
      <c r="L81" s="16">
        <f>IF(ISNUMBER(J81), $B91 * K81, "")</f>
        <v>0</v>
      </c>
      <c r="M81" s="29">
        <v>222</v>
      </c>
      <c r="N81" s="14">
        <f>IF(ISNUMBER(M81), (M81 - $B81) / $B81, "")</f>
        <v>0</v>
      </c>
      <c r="O81" s="16">
        <f>IF(ISNUMBER(M81), $B91 * N81, "")</f>
        <v>0</v>
      </c>
      <c r="Q81" s="239"/>
      <c r="R81" s="240"/>
      <c r="S81" s="241"/>
    </row>
    <row r="82" spans="1:19" ht="17.25" thickBot="1">
      <c r="A82" s="125" t="s">
        <v>296</v>
      </c>
      <c r="B82" s="126">
        <v>365</v>
      </c>
      <c r="C82" s="77">
        <v>-2.7322404000000001E-3</v>
      </c>
      <c r="D82" s="15">
        <v>397</v>
      </c>
      <c r="E82" s="32">
        <f t="shared" ref="E82:E85" si="38">IF(ISNUMBER(D82), (D82 - $B82) / $B82, "")</f>
        <v>8.7671232876712329E-2</v>
      </c>
      <c r="F82" s="18">
        <f>IF(ISNUMBER(D82), $B91 * E82, "")</f>
        <v>8767.1232876712329</v>
      </c>
      <c r="G82" s="31">
        <v>381</v>
      </c>
      <c r="H82" s="32">
        <f t="shared" ref="H82:H85" si="39">IF(ISNUMBER(G82), (G82 - $B82) / $B82, "")</f>
        <v>4.3835616438356165E-2</v>
      </c>
      <c r="I82" s="101">
        <f>IF(ISNUMBER(G82), $B91 * H82, "")</f>
        <v>4383.5616438356165</v>
      </c>
      <c r="J82" s="15">
        <v>385</v>
      </c>
      <c r="K82" s="32">
        <f t="shared" ref="K82:K85" si="40">IF(ISNUMBER(J82), (J82 - $B82) / $B82, "")</f>
        <v>5.4794520547945202E-2</v>
      </c>
      <c r="L82" s="18">
        <f>IF(ISNUMBER(J82), $B91 * K82, "")</f>
        <v>5479.4520547945203</v>
      </c>
      <c r="M82" s="31">
        <v>377</v>
      </c>
      <c r="N82" s="32">
        <f t="shared" ref="N82:N85" si="41">IF(ISNUMBER(M82), (M82 - $B82) / $B82, "")</f>
        <v>3.287671232876712E-2</v>
      </c>
      <c r="O82" s="18">
        <f>IF(ISNUMBER(M82), $B91 * N82, "")</f>
        <v>3287.6712328767121</v>
      </c>
      <c r="Q82" s="242"/>
      <c r="R82" s="243"/>
      <c r="S82" s="244"/>
    </row>
    <row r="83" spans="1:19" ht="17.25" thickBot="1">
      <c r="A83" s="125" t="s">
        <v>270</v>
      </c>
      <c r="B83" s="126">
        <v>350</v>
      </c>
      <c r="C83" s="77">
        <v>-2.8490028000000001E-3</v>
      </c>
      <c r="D83" s="15">
        <v>362</v>
      </c>
      <c r="E83" s="32">
        <f t="shared" si="38"/>
        <v>3.4285714285714287E-2</v>
      </c>
      <c r="F83" s="18">
        <f>IF(ISNUMBER(D83), $B91 * E83, "")</f>
        <v>3428.5714285714289</v>
      </c>
      <c r="G83" s="31">
        <v>349</v>
      </c>
      <c r="H83" s="32">
        <f t="shared" si="39"/>
        <v>-2.8571428571428571E-3</v>
      </c>
      <c r="I83" s="101">
        <f>IF(ISNUMBER(G83), $B91 * H83, "")</f>
        <v>-285.71428571428572</v>
      </c>
      <c r="J83" s="15">
        <v>352</v>
      </c>
      <c r="K83" s="32">
        <f t="shared" si="40"/>
        <v>5.7142857142857143E-3</v>
      </c>
      <c r="L83" s="18">
        <f>IF(ISNUMBER(J83), $B91 * K83, "")</f>
        <v>571.42857142857144</v>
      </c>
      <c r="M83" s="31">
        <v>353</v>
      </c>
      <c r="N83" s="32">
        <f t="shared" si="41"/>
        <v>8.5714285714285719E-3</v>
      </c>
      <c r="O83" s="18">
        <f>IF(ISNUMBER(M83), $B91 * N83, "")</f>
        <v>857.14285714285722</v>
      </c>
      <c r="Q83" s="235"/>
      <c r="R83" s="235"/>
      <c r="S83" s="235"/>
    </row>
    <row r="84" spans="1:19" ht="17.25" thickBot="1">
      <c r="A84" s="125" t="s">
        <v>54</v>
      </c>
      <c r="B84" s="126">
        <v>264</v>
      </c>
      <c r="C84" s="77">
        <v>-3.7735848999999998E-3</v>
      </c>
      <c r="D84" s="15">
        <v>271</v>
      </c>
      <c r="E84" s="32">
        <f t="shared" si="38"/>
        <v>2.6515151515151516E-2</v>
      </c>
      <c r="F84" s="18">
        <f>IF(ISNUMBER(D84), $B91 * E84, "")</f>
        <v>2651.5151515151515</v>
      </c>
      <c r="G84" s="31">
        <v>262</v>
      </c>
      <c r="H84" s="32">
        <f t="shared" si="39"/>
        <v>-7.575757575757576E-3</v>
      </c>
      <c r="I84" s="101">
        <f>IF(ISNUMBER(G84), $B91 * H84, "")</f>
        <v>-757.57575757575762</v>
      </c>
      <c r="J84" s="15">
        <v>263</v>
      </c>
      <c r="K84" s="32">
        <f t="shared" si="40"/>
        <v>-3.787878787878788E-3</v>
      </c>
      <c r="L84" s="18">
        <f>IF(ISNUMBER(J84), $B91 * K84, "")</f>
        <v>-378.78787878787881</v>
      </c>
      <c r="M84" s="31">
        <v>266</v>
      </c>
      <c r="N84" s="32">
        <f t="shared" si="41"/>
        <v>7.575757575757576E-3</v>
      </c>
      <c r="O84" s="18">
        <f>IF(ISNUMBER(M84), $B91 * N84, "")</f>
        <v>757.57575757575762</v>
      </c>
      <c r="Q84" s="245"/>
      <c r="R84" s="245"/>
      <c r="S84" s="245"/>
    </row>
    <row r="85" spans="1:19" ht="17.25" thickBot="1">
      <c r="A85" s="127" t="s">
        <v>88</v>
      </c>
      <c r="B85" s="128">
        <v>324</v>
      </c>
      <c r="C85" s="78">
        <v>-1.2195121999999999E-2</v>
      </c>
      <c r="D85" s="20">
        <v>332</v>
      </c>
      <c r="E85" s="21">
        <f t="shared" si="38"/>
        <v>2.4691358024691357E-2</v>
      </c>
      <c r="F85" s="22">
        <f>IF(ISNUMBER(D85), $B91 * E85, "")</f>
        <v>2469.1358024691358</v>
      </c>
      <c r="G85" s="30">
        <v>324</v>
      </c>
      <c r="H85" s="21">
        <f t="shared" si="39"/>
        <v>0</v>
      </c>
      <c r="I85" s="105">
        <f>IF(ISNUMBER(G85), $B91 * H85, "")</f>
        <v>0</v>
      </c>
      <c r="J85" s="20">
        <v>325</v>
      </c>
      <c r="K85" s="21">
        <f t="shared" si="40"/>
        <v>3.0864197530864196E-3</v>
      </c>
      <c r="L85" s="22">
        <f>IF(ISNUMBER(J85), $B91 * K85, "")</f>
        <v>308.64197530864197</v>
      </c>
      <c r="M85" s="30">
        <v>322</v>
      </c>
      <c r="N85" s="21">
        <f t="shared" si="41"/>
        <v>-6.1728395061728392E-3</v>
      </c>
      <c r="O85" s="22">
        <f>IF(ISNUMBER(M85), $B91 * N85, "")</f>
        <v>-617.28395061728395</v>
      </c>
      <c r="Q85" s="245"/>
      <c r="R85" s="245"/>
      <c r="S85" s="245"/>
    </row>
    <row r="86" spans="1:19" ht="17.25" thickBot="1">
      <c r="A86" s="125" t="s">
        <v>174</v>
      </c>
      <c r="B86" s="129">
        <v>197</v>
      </c>
      <c r="C86" s="80">
        <v>-1.4999999999999999E-2</v>
      </c>
      <c r="D86" s="106">
        <v>197</v>
      </c>
      <c r="E86" s="107">
        <f>IF(ISNUMBER(D86), (D86 - $B86) / $B86, "")</f>
        <v>0</v>
      </c>
      <c r="F86" s="108">
        <f>IF(ISNUMBER(D86), $B91 * E86, "")</f>
        <v>0</v>
      </c>
      <c r="G86" s="109">
        <v>195</v>
      </c>
      <c r="H86" s="107">
        <f>IF(ISNUMBER(G86), (G86 - $B86) / $B86, "")</f>
        <v>-1.015228426395939E-2</v>
      </c>
      <c r="I86" s="110">
        <f>IF(ISNUMBER(G86), $B91 * H86, "")</f>
        <v>-1015.228426395939</v>
      </c>
      <c r="J86" s="106">
        <v>195</v>
      </c>
      <c r="K86" s="107">
        <f>IF(ISNUMBER(J86), (J86 - $B86) / $B86, "")</f>
        <v>-1.015228426395939E-2</v>
      </c>
      <c r="L86" s="108">
        <f>IF(ISNUMBER(J86), $B91 * K86, "")</f>
        <v>-1015.228426395939</v>
      </c>
      <c r="M86" s="109">
        <v>194</v>
      </c>
      <c r="N86" s="107">
        <f>IF(ISNUMBER(M86), (M86 - $B86) / $B86, "")</f>
        <v>-1.5228426395939087E-2</v>
      </c>
      <c r="O86" s="108">
        <f>IF(ISNUMBER(M86), $B91 * N86, "")</f>
        <v>-1522.8426395939086</v>
      </c>
      <c r="Q86" s="235"/>
      <c r="R86" s="235"/>
      <c r="S86" s="235"/>
    </row>
    <row r="87" spans="1:19" ht="17.25" thickBot="1">
      <c r="A87" s="125" t="s">
        <v>262</v>
      </c>
      <c r="B87" s="126">
        <v>638</v>
      </c>
      <c r="C87" s="77">
        <v>-1.54320988E-2</v>
      </c>
      <c r="D87" s="15">
        <v>656</v>
      </c>
      <c r="E87" s="32">
        <f t="shared" ref="E87:E90" si="42">IF(ISNUMBER(D87), (D87 - $B87) / $B87, "")</f>
        <v>2.8213166144200628E-2</v>
      </c>
      <c r="F87" s="18">
        <f>IF(ISNUMBER(D87), $B91 * E87, "")</f>
        <v>2821.3166144200627</v>
      </c>
      <c r="G87" s="31">
        <v>637</v>
      </c>
      <c r="H87" s="32">
        <f t="shared" ref="H87:H90" si="43">IF(ISNUMBER(G87), (G87 - $B87) / $B87, "")</f>
        <v>-1.567398119122257E-3</v>
      </c>
      <c r="I87" s="101">
        <f>IF(ISNUMBER(G87), $B91 * H87, "")</f>
        <v>-156.73981191222569</v>
      </c>
      <c r="J87" s="15">
        <v>645</v>
      </c>
      <c r="K87" s="32">
        <f t="shared" ref="K87:K90" si="44">IF(ISNUMBER(J87), (J87 - $B87) / $B87, "")</f>
        <v>1.0971786833855799E-2</v>
      </c>
      <c r="L87" s="18">
        <f>IF(ISNUMBER(J87), $B91 * K87, "")</f>
        <v>1097.1786833855799</v>
      </c>
      <c r="M87" s="31">
        <v>636</v>
      </c>
      <c r="N87" s="32">
        <f t="shared" ref="N87:N90" si="45">IF(ISNUMBER(M87), (M87 - $B87) / $B87, "")</f>
        <v>-3.134796238244514E-3</v>
      </c>
      <c r="O87" s="18">
        <f>IF(ISNUMBER(M87), $B91 * N87, "")</f>
        <v>-313.47962382445138</v>
      </c>
      <c r="Q87" s="235"/>
      <c r="R87" s="235"/>
      <c r="S87" s="235"/>
    </row>
    <row r="88" spans="1:19" ht="17.25" thickBot="1">
      <c r="A88" s="125" t="s">
        <v>128</v>
      </c>
      <c r="B88" s="126">
        <v>375</v>
      </c>
      <c r="C88" s="77">
        <v>-1.5748031499999999E-2</v>
      </c>
      <c r="D88" s="15">
        <v>398</v>
      </c>
      <c r="E88" s="32">
        <f t="shared" si="42"/>
        <v>6.133333333333333E-2</v>
      </c>
      <c r="F88" s="18">
        <f>IF(ISNUMBER(D88), $B91 * E88, "")</f>
        <v>6133.333333333333</v>
      </c>
      <c r="G88" s="31">
        <v>384</v>
      </c>
      <c r="H88" s="32">
        <f t="shared" si="43"/>
        <v>2.4E-2</v>
      </c>
      <c r="I88" s="101">
        <f>IF(ISNUMBER(G88), $B91 * H88, "")</f>
        <v>2400</v>
      </c>
      <c r="J88" s="15">
        <v>394</v>
      </c>
      <c r="K88" s="32">
        <f t="shared" si="44"/>
        <v>5.0666666666666665E-2</v>
      </c>
      <c r="L88" s="18">
        <f>IF(ISNUMBER(J88), $B91 * K88, "")</f>
        <v>5066.666666666667</v>
      </c>
      <c r="M88" s="31">
        <v>382</v>
      </c>
      <c r="N88" s="32">
        <f t="shared" si="45"/>
        <v>1.8666666666666668E-2</v>
      </c>
      <c r="O88" s="18">
        <f>IF(ISNUMBER(M88), $B91 * N88, "")</f>
        <v>1866.6666666666667</v>
      </c>
      <c r="Q88" s="235"/>
      <c r="R88" s="235"/>
      <c r="S88" s="235"/>
    </row>
    <row r="89" spans="1:19">
      <c r="A89" s="125" t="s">
        <v>116</v>
      </c>
      <c r="B89" s="126">
        <v>376</v>
      </c>
      <c r="C89" s="77">
        <v>-2.08333333E-2</v>
      </c>
      <c r="D89" s="15">
        <v>387</v>
      </c>
      <c r="E89" s="32">
        <f t="shared" si="42"/>
        <v>2.9255319148936171E-2</v>
      </c>
      <c r="F89" s="18">
        <f>IF(ISNUMBER(D89), $B91 * E89, "")</f>
        <v>2925.5319148936169</v>
      </c>
      <c r="G89" s="31">
        <v>376</v>
      </c>
      <c r="H89" s="32">
        <f t="shared" si="43"/>
        <v>0</v>
      </c>
      <c r="I89" s="101">
        <f>IF(ISNUMBER(G89), $B91 * H89, "")</f>
        <v>0</v>
      </c>
      <c r="J89" s="15">
        <v>378</v>
      </c>
      <c r="K89" s="32">
        <f t="shared" si="44"/>
        <v>5.3191489361702126E-3</v>
      </c>
      <c r="L89" s="18">
        <f>IF(ISNUMBER(J89), $B91 * K89, "")</f>
        <v>531.91489361702122</v>
      </c>
      <c r="M89" s="31">
        <v>376</v>
      </c>
      <c r="N89" s="32">
        <f t="shared" si="45"/>
        <v>0</v>
      </c>
      <c r="O89" s="18">
        <f>IF(ISNUMBER(M89), $B91 * N89, "")</f>
        <v>0</v>
      </c>
      <c r="Q89" s="224"/>
      <c r="R89" s="225"/>
      <c r="S89" s="226"/>
    </row>
    <row r="90" spans="1:19" ht="17.25" thickBot="1">
      <c r="A90" s="130" t="s">
        <v>82</v>
      </c>
      <c r="B90" s="131">
        <v>987</v>
      </c>
      <c r="C90" s="79">
        <v>-2.27722772E-2</v>
      </c>
      <c r="D90" s="24">
        <v>997</v>
      </c>
      <c r="E90" s="25">
        <f t="shared" si="42"/>
        <v>1.0131712259371834E-2</v>
      </c>
      <c r="F90" s="104">
        <f>IF(ISNUMBER(D90), $B91 * E90, "")</f>
        <v>1013.1712259371834</v>
      </c>
      <c r="G90" s="102">
        <v>986</v>
      </c>
      <c r="H90" s="25">
        <f t="shared" si="43"/>
        <v>-1.0131712259371835E-3</v>
      </c>
      <c r="I90" s="103">
        <f>IF(ISNUMBER(G90), $B91 * H90, "")</f>
        <v>-101.31712259371835</v>
      </c>
      <c r="J90" s="24">
        <v>996</v>
      </c>
      <c r="K90" s="25">
        <f t="shared" si="44"/>
        <v>9.11854103343465E-3</v>
      </c>
      <c r="L90" s="104">
        <f>IF(ISNUMBER(J90), $B91 * K90, "")</f>
        <v>911.854103343465</v>
      </c>
      <c r="M90" s="102">
        <v>1020</v>
      </c>
      <c r="N90" s="25">
        <f t="shared" si="45"/>
        <v>3.3434650455927049E-2</v>
      </c>
      <c r="O90" s="104">
        <f>IF(ISNUMBER(M90), $B91 * N90, "")</f>
        <v>3343.4650455927049</v>
      </c>
      <c r="Q90" s="227"/>
      <c r="R90" s="228"/>
      <c r="S90" s="229"/>
    </row>
    <row r="91" spans="1:19" ht="17.25" thickBot="1">
      <c r="A91" s="132" t="s">
        <v>300</v>
      </c>
      <c r="B91" s="288">
        <f>$B$37</f>
        <v>100000</v>
      </c>
      <c r="C91" s="289"/>
      <c r="D91" s="26" t="s">
        <v>301</v>
      </c>
      <c r="E91" s="27">
        <f>IF(COUNT(E71:E90), SUM(E71:E90) / COUNT(E71:E90), 0)</f>
        <v>3.4465955040154664E-2</v>
      </c>
      <c r="F91" s="28">
        <f>SUM(F71:F90)</f>
        <v>68931.910080309346</v>
      </c>
      <c r="G91" s="26" t="s">
        <v>301</v>
      </c>
      <c r="H91" s="27">
        <f>IF(COUNT(H71:H90), SUM(H71:H90) / COUNT(H71:H90), 0)</f>
        <v>9.7290207544371947E-3</v>
      </c>
      <c r="I91" s="28">
        <f>SUM(I71:I90)</f>
        <v>19458.041508874398</v>
      </c>
      <c r="J91" s="26" t="s">
        <v>301</v>
      </c>
      <c r="K91" s="27">
        <f>IF(COUNT(K71:K90), SUM(K71:K90) / COUNT(K71:K90), 0)</f>
        <v>2.0858546494527876E-2</v>
      </c>
      <c r="L91" s="28">
        <f>SUM(L71:L90)</f>
        <v>41717.09298905576</v>
      </c>
      <c r="M91" s="26" t="s">
        <v>301</v>
      </c>
      <c r="N91" s="27">
        <f>IF(COUNT(N71:N90), SUM(N71:N90) / COUNT(N71:N90), 0)</f>
        <v>2.1683338389722643E-2</v>
      </c>
      <c r="O91" s="28">
        <f>SUM(O71:O90)</f>
        <v>43366.676779445283</v>
      </c>
      <c r="Q91" s="230"/>
      <c r="R91" s="231"/>
      <c r="S91" s="232"/>
    </row>
    <row r="93" spans="1:19" ht="17.25" thickBot="1"/>
    <row r="94" spans="1:19" ht="17.25" thickBot="1">
      <c r="A94" s="246" t="s">
        <v>46</v>
      </c>
      <c r="B94" s="247"/>
      <c r="C94" s="247"/>
      <c r="D94" s="247"/>
      <c r="E94" s="247"/>
      <c r="F94" s="247"/>
      <c r="G94" s="247"/>
      <c r="H94" s="247"/>
      <c r="I94" s="247"/>
      <c r="J94" s="247"/>
      <c r="K94" s="247"/>
      <c r="L94" s="247"/>
      <c r="M94" s="247"/>
      <c r="N94" s="247"/>
      <c r="O94" s="248"/>
      <c r="Q94" s="245"/>
      <c r="R94" s="245"/>
      <c r="S94" s="245"/>
    </row>
    <row r="95" spans="1:19" ht="17.25" thickBot="1">
      <c r="A95" s="157" t="s">
        <v>297</v>
      </c>
      <c r="B95" s="246" t="s">
        <v>49</v>
      </c>
      <c r="C95" s="248"/>
      <c r="D95" s="246" t="s">
        <v>58</v>
      </c>
      <c r="E95" s="247"/>
      <c r="F95" s="248"/>
      <c r="G95" s="249">
        <f>_xlfn.IFNA(VLOOKUP(B95, 현재가테이블!$B$2:$D$200, 2, FALSE), "-")</f>
        <v>45335000</v>
      </c>
      <c r="H95" s="250"/>
      <c r="I95" s="251"/>
      <c r="J95" s="246" t="s">
        <v>59</v>
      </c>
      <c r="K95" s="247"/>
      <c r="L95" s="248"/>
      <c r="M95" s="252">
        <f>_xlfn.IFNA(VLOOKUP(B95, 현재가테이블!$B$2:$D$200, 3, FALSE), "-")</f>
        <v>-2.27209037E-2</v>
      </c>
      <c r="N95" s="253"/>
      <c r="O95" s="254"/>
      <c r="Q95" s="245"/>
      <c r="R95" s="245"/>
      <c r="S95" s="245"/>
    </row>
    <row r="96" spans="1:19" ht="17.25" thickBot="1">
      <c r="A96" s="290" t="s">
        <v>55</v>
      </c>
      <c r="B96" s="286" t="str">
        <f>TEXT($G$1, "[$-ko-KR]yyyy-mm-dd(ddd) ") &amp; "오전 00:00"</f>
        <v>2021-06-01(화) 오전 00:00</v>
      </c>
      <c r="C96" s="287"/>
      <c r="D96" s="259" t="str">
        <f>TEXT($G$1, "[$-ko-KR]yyyy-mm-dd(ddd) ") &amp; "오후 14:00"</f>
        <v>2021-06-01(화) 오후 14:00</v>
      </c>
      <c r="E96" s="260"/>
      <c r="F96" s="261"/>
      <c r="G96" s="259" t="str">
        <f>TEXT($G$1, "[$-ko-KR]yyyy-mm-dd(ddd) ") &amp; "오후 19:00"</f>
        <v>2021-06-01(화) 오후 19:00</v>
      </c>
      <c r="H96" s="260"/>
      <c r="I96" s="261"/>
      <c r="J96" s="259" t="str">
        <f>TEXT($G$1, "[$-ko-KR]yyyy-mm-dd(ddd) ") &amp; "오후 21:00"</f>
        <v>2021-06-01(화) 오후 21:00</v>
      </c>
      <c r="K96" s="260"/>
      <c r="L96" s="261"/>
      <c r="M96" s="259" t="str">
        <f>TEXT($G$1+1, "[$-ko-KR]yyyy-mm-dd(ddd) ") &amp; "오전 00:00"</f>
        <v>2021-06-02(수) 오전 00:00</v>
      </c>
      <c r="N96" s="260"/>
      <c r="O96" s="261"/>
      <c r="Q96" s="245"/>
      <c r="R96" s="245"/>
      <c r="S96" s="245"/>
    </row>
    <row r="97" spans="1:19" ht="17.25" thickBot="1">
      <c r="A97" s="291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58" t="s">
        <v>58</v>
      </c>
      <c r="H97" s="159" t="s">
        <v>298</v>
      </c>
      <c r="I97" s="160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5"/>
      <c r="R97" s="235"/>
      <c r="S97" s="235"/>
    </row>
    <row r="98" spans="1:19" ht="17.25" thickBot="1">
      <c r="A98" s="123" t="s">
        <v>92</v>
      </c>
      <c r="B98" s="124">
        <v>1180</v>
      </c>
      <c r="C98" s="76">
        <v>7.7625570800000002E-2</v>
      </c>
      <c r="D98" s="13">
        <v>1260</v>
      </c>
      <c r="E98" s="14">
        <f>IF(ISNUMBER(D98), (D98 - $B98) / $B98, "")</f>
        <v>6.7796610169491525E-2</v>
      </c>
      <c r="F98" s="16">
        <f>IF(ISNUMBER(D98), $B118 * E98, "")</f>
        <v>6779.6610169491523</v>
      </c>
      <c r="G98" s="29">
        <v>1190</v>
      </c>
      <c r="H98" s="14">
        <f>IF(ISNUMBER(G98), (G98 - $B98) / $B98, "")</f>
        <v>8.4745762711864406E-3</v>
      </c>
      <c r="I98" s="100">
        <f>IF(ISNUMBER(G98), $B118 * H98, "")</f>
        <v>847.45762711864404</v>
      </c>
      <c r="J98" s="13">
        <v>1210</v>
      </c>
      <c r="K98" s="14">
        <f>IF(ISNUMBER(J98), (J98 - $B98) / $B98, "")</f>
        <v>2.5423728813559324E-2</v>
      </c>
      <c r="L98" s="16">
        <f>IF(ISNUMBER(J98), $B118 * K98, "")</f>
        <v>2542.3728813559323</v>
      </c>
      <c r="M98" s="29">
        <v>1200</v>
      </c>
      <c r="N98" s="14">
        <f>IF(ISNUMBER(M98), (M98 - $B98) / $B98, "")</f>
        <v>1.6949152542372881E-2</v>
      </c>
      <c r="O98" s="16">
        <f>IF(ISNUMBER(M98), $B118 * N98, "")</f>
        <v>1694.9152542372881</v>
      </c>
      <c r="Q98" s="245"/>
      <c r="R98" s="245"/>
      <c r="S98" s="245"/>
    </row>
    <row r="99" spans="1:19" ht="17.25" thickBot="1">
      <c r="A99" s="125" t="s">
        <v>120</v>
      </c>
      <c r="B99" s="126">
        <v>146</v>
      </c>
      <c r="C99" s="77">
        <v>7.35294118E-2</v>
      </c>
      <c r="D99" s="15">
        <v>147</v>
      </c>
      <c r="E99" s="32">
        <f t="shared" ref="E99:E102" si="46">IF(ISNUMBER(D99), (D99 - $B99) / $B99, "")</f>
        <v>6.8493150684931503E-3</v>
      </c>
      <c r="F99" s="18">
        <f>IF(ISNUMBER(D99), $B118 * E99, "")</f>
        <v>684.93150684931504</v>
      </c>
      <c r="G99" s="31">
        <v>144</v>
      </c>
      <c r="H99" s="32">
        <f t="shared" ref="H99:H102" si="47">IF(ISNUMBER(G99), (G99 - $B99) / $B99, "")</f>
        <v>-1.3698630136986301E-2</v>
      </c>
      <c r="I99" s="101">
        <f>IF(ISNUMBER(G99), $B118 * H99, "")</f>
        <v>-1369.8630136986301</v>
      </c>
      <c r="J99" s="15">
        <v>146</v>
      </c>
      <c r="K99" s="32">
        <f t="shared" ref="K99:K102" si="48">IF(ISNUMBER(J99), (J99 - $B99) / $B99, "")</f>
        <v>0</v>
      </c>
      <c r="L99" s="18">
        <f>IF(ISNUMBER(J99), $B118 * K99, "")</f>
        <v>0</v>
      </c>
      <c r="M99" s="31">
        <v>144</v>
      </c>
      <c r="N99" s="32">
        <f t="shared" ref="N99:N102" si="49">IF(ISNUMBER(M99), (M99 - $B99) / $B99, "")</f>
        <v>-1.3698630136986301E-2</v>
      </c>
      <c r="O99" s="18">
        <f>IF(ISNUMBER(M99), $B118 * N99, "")</f>
        <v>-1369.8630136986301</v>
      </c>
      <c r="Q99" s="245"/>
      <c r="R99" s="245"/>
      <c r="S99" s="245"/>
    </row>
    <row r="100" spans="1:19" ht="17.25" thickBot="1">
      <c r="A100" s="125" t="s">
        <v>132</v>
      </c>
      <c r="B100" s="126">
        <v>139</v>
      </c>
      <c r="C100" s="77">
        <v>6.10687023E-2</v>
      </c>
      <c r="D100" s="15">
        <v>148</v>
      </c>
      <c r="E100" s="32">
        <f t="shared" si="46"/>
        <v>6.4748201438848921E-2</v>
      </c>
      <c r="F100" s="18">
        <f>IF(ISNUMBER(D100), $B118 * E100, "")</f>
        <v>6474.8201438848919</v>
      </c>
      <c r="G100" s="31">
        <v>144</v>
      </c>
      <c r="H100" s="32">
        <f t="shared" si="47"/>
        <v>3.5971223021582732E-2</v>
      </c>
      <c r="I100" s="101">
        <f>IF(ISNUMBER(G100), $B118 * H100, "")</f>
        <v>3597.1223021582732</v>
      </c>
      <c r="J100" s="15">
        <v>145</v>
      </c>
      <c r="K100" s="32">
        <f t="shared" si="48"/>
        <v>4.3165467625899283E-2</v>
      </c>
      <c r="L100" s="18">
        <f>IF(ISNUMBER(J100), $B118 * K100, "")</f>
        <v>4316.5467625899282</v>
      </c>
      <c r="M100" s="31">
        <v>145</v>
      </c>
      <c r="N100" s="32">
        <f t="shared" si="49"/>
        <v>4.3165467625899283E-2</v>
      </c>
      <c r="O100" s="18">
        <f>IF(ISNUMBER(M100), $B118 * N100, "")</f>
        <v>4316.5467625899282</v>
      </c>
      <c r="Q100" s="235"/>
      <c r="R100" s="235"/>
      <c r="S100" s="235"/>
    </row>
    <row r="101" spans="1:19" ht="17.25" thickBot="1">
      <c r="A101" s="125" t="s">
        <v>76</v>
      </c>
      <c r="B101" s="126">
        <v>34270</v>
      </c>
      <c r="C101" s="77">
        <v>5.2518427499999999E-2</v>
      </c>
      <c r="D101" s="15">
        <v>36940</v>
      </c>
      <c r="E101" s="32">
        <f t="shared" si="46"/>
        <v>7.7910709074992701E-2</v>
      </c>
      <c r="F101" s="18">
        <f>IF(ISNUMBER(D101), $B118 * E101, "")</f>
        <v>7791.0709074992701</v>
      </c>
      <c r="G101" s="31">
        <v>35260</v>
      </c>
      <c r="H101" s="32">
        <f t="shared" si="47"/>
        <v>2.888824044353662E-2</v>
      </c>
      <c r="I101" s="101">
        <f>IF(ISNUMBER(G101), $B118 * H101, "")</f>
        <v>2888.824044353662</v>
      </c>
      <c r="J101" s="15">
        <v>35700</v>
      </c>
      <c r="K101" s="32">
        <f t="shared" si="48"/>
        <v>4.1727458418441783E-2</v>
      </c>
      <c r="L101" s="18">
        <f>IF(ISNUMBER(J101), $B118 * K101, "")</f>
        <v>4172.7458418441784</v>
      </c>
      <c r="M101" s="31">
        <v>35490</v>
      </c>
      <c r="N101" s="32">
        <f t="shared" si="49"/>
        <v>3.5599649839509778E-2</v>
      </c>
      <c r="O101" s="18">
        <f>IF(ISNUMBER(M101), $B118 * N101, "")</f>
        <v>3559.964983950978</v>
      </c>
      <c r="Q101" s="235"/>
      <c r="R101" s="235"/>
      <c r="S101" s="235"/>
    </row>
    <row r="102" spans="1:19" ht="17.25" thickBot="1">
      <c r="A102" s="127" t="s">
        <v>96</v>
      </c>
      <c r="B102" s="128">
        <v>3015000</v>
      </c>
      <c r="C102" s="78">
        <v>4.1450777199999997E-2</v>
      </c>
      <c r="D102" s="20">
        <v>3164000</v>
      </c>
      <c r="E102" s="21">
        <f t="shared" si="46"/>
        <v>4.9419568822553897E-2</v>
      </c>
      <c r="F102" s="22">
        <f>IF(ISNUMBER(D102), $B118 * E102, "")</f>
        <v>4941.9568822553902</v>
      </c>
      <c r="G102" s="30">
        <v>3057000</v>
      </c>
      <c r="H102" s="21">
        <f t="shared" si="47"/>
        <v>1.3930348258706468E-2</v>
      </c>
      <c r="I102" s="105">
        <f>IF(ISNUMBER(G102), $B118 * H102, "")</f>
        <v>1393.0348258706467</v>
      </c>
      <c r="J102" s="20">
        <v>3086000</v>
      </c>
      <c r="K102" s="21">
        <f t="shared" si="48"/>
        <v>2.3548922056384744E-2</v>
      </c>
      <c r="L102" s="22">
        <f>IF(ISNUMBER(J102), $B118 * K102, "")</f>
        <v>2354.8922056384745</v>
      </c>
      <c r="M102" s="30">
        <v>3053000</v>
      </c>
      <c r="N102" s="21">
        <f t="shared" si="49"/>
        <v>1.2603648424543947E-2</v>
      </c>
      <c r="O102" s="22">
        <f>IF(ISNUMBER(M102), $B118 * N102, "")</f>
        <v>1260.3648424543946</v>
      </c>
      <c r="Q102" s="235"/>
      <c r="R102" s="235"/>
      <c r="S102" s="235"/>
    </row>
    <row r="103" spans="1:19" ht="17.25" thickBot="1">
      <c r="A103" s="125" t="s">
        <v>158</v>
      </c>
      <c r="B103" s="129">
        <v>5720</v>
      </c>
      <c r="C103" s="80">
        <v>0.04</v>
      </c>
      <c r="D103" s="106">
        <v>5730</v>
      </c>
      <c r="E103" s="107">
        <f>IF(ISNUMBER(D103), (D103 - $B103) / $B103, "")</f>
        <v>1.7482517482517483E-3</v>
      </c>
      <c r="F103" s="108">
        <f>IF(ISNUMBER(D103), $B118 * E103, "")</f>
        <v>174.82517482517483</v>
      </c>
      <c r="G103" s="109">
        <v>5485</v>
      </c>
      <c r="H103" s="107">
        <f>IF(ISNUMBER(G103), (G103 - $B103) / $B103, "")</f>
        <v>-4.1083916083916081E-2</v>
      </c>
      <c r="I103" s="110">
        <f>IF(ISNUMBER(G103), $B118 * H103, "")</f>
        <v>-4108.3916083916083</v>
      </c>
      <c r="J103" s="106">
        <v>5510</v>
      </c>
      <c r="K103" s="107">
        <f>IF(ISNUMBER(J103), (J103 - $B103) / $B103, "")</f>
        <v>-3.6713286713286712E-2</v>
      </c>
      <c r="L103" s="108">
        <f>IF(ISNUMBER(J103), $B118 * K103, "")</f>
        <v>-3671.3286713286711</v>
      </c>
      <c r="M103" s="109">
        <v>5505</v>
      </c>
      <c r="N103" s="107">
        <f>IF(ISNUMBER(M103), (M103 - $B103) / $B103, "")</f>
        <v>-3.7587412587412584E-2</v>
      </c>
      <c r="O103" s="108">
        <f>IF(ISNUMBER(M103), $B118 * N103, "")</f>
        <v>-3758.7412587412587</v>
      </c>
      <c r="Q103" s="235"/>
      <c r="R103" s="235"/>
      <c r="S103" s="235"/>
    </row>
    <row r="104" spans="1:19" ht="17.25" thickBot="1">
      <c r="A104" s="125" t="s">
        <v>74</v>
      </c>
      <c r="B104" s="126">
        <v>15830</v>
      </c>
      <c r="C104" s="77">
        <v>3.6673215500000002E-2</v>
      </c>
      <c r="D104" s="15">
        <v>16810</v>
      </c>
      <c r="E104" s="32">
        <f t="shared" ref="E104:E107" si="50">IF(ISNUMBER(D104), (D104 - $B104) / $B104, "")</f>
        <v>6.1907770056854078E-2</v>
      </c>
      <c r="F104" s="18">
        <f>IF(ISNUMBER(D104), $B118 * E104, "")</f>
        <v>6190.7770056854079</v>
      </c>
      <c r="G104" s="31">
        <v>16350</v>
      </c>
      <c r="H104" s="32">
        <f t="shared" ref="H104:H107" si="51">IF(ISNUMBER(G104), (G104 - $B104) / $B104, "")</f>
        <v>3.2849020846494E-2</v>
      </c>
      <c r="I104" s="101">
        <f>IF(ISNUMBER(G104), $B118 * H104, "")</f>
        <v>3284.9020846494</v>
      </c>
      <c r="J104" s="15">
        <v>16680</v>
      </c>
      <c r="K104" s="32">
        <f t="shared" ref="K104:K107" si="52">IF(ISNUMBER(J104), (J104 - $B104) / $B104, "")</f>
        <v>5.3695514845230573E-2</v>
      </c>
      <c r="L104" s="18">
        <f>IF(ISNUMBER(J104), $B118 * K104, "")</f>
        <v>5369.5514845230573</v>
      </c>
      <c r="M104" s="31">
        <v>16190</v>
      </c>
      <c r="N104" s="32">
        <f t="shared" ref="N104:N107" si="53">IF(ISNUMBER(M104), (M104 - $B104) / $B104, "")</f>
        <v>2.2741629816803537E-2</v>
      </c>
      <c r="O104" s="18">
        <f>IF(ISNUMBER(M104), $B118 * N104, "")</f>
        <v>2274.1629816803538</v>
      </c>
      <c r="Q104" s="235"/>
      <c r="R104" s="235"/>
      <c r="S104" s="235"/>
    </row>
    <row r="105" spans="1:19" ht="17.25" thickBot="1">
      <c r="A105" s="125" t="s">
        <v>148</v>
      </c>
      <c r="B105" s="126">
        <v>125</v>
      </c>
      <c r="C105" s="77">
        <v>3.3057851200000002E-2</v>
      </c>
      <c r="D105" s="15">
        <v>129</v>
      </c>
      <c r="E105" s="32">
        <f t="shared" si="50"/>
        <v>3.2000000000000001E-2</v>
      </c>
      <c r="F105" s="18">
        <f>IF(ISNUMBER(D105), $B118 * E105, "")</f>
        <v>3200</v>
      </c>
      <c r="G105" s="31">
        <v>125</v>
      </c>
      <c r="H105" s="32">
        <f t="shared" si="51"/>
        <v>0</v>
      </c>
      <c r="I105" s="101">
        <f>IF(ISNUMBER(G105), $B118 * H105, "")</f>
        <v>0</v>
      </c>
      <c r="J105" s="15">
        <v>126</v>
      </c>
      <c r="K105" s="32">
        <f t="shared" si="52"/>
        <v>8.0000000000000002E-3</v>
      </c>
      <c r="L105" s="18">
        <f>IF(ISNUMBER(J105), $B118 * K105, "")</f>
        <v>800</v>
      </c>
      <c r="M105" s="31">
        <v>126</v>
      </c>
      <c r="N105" s="32">
        <f t="shared" si="53"/>
        <v>8.0000000000000002E-3</v>
      </c>
      <c r="O105" s="18">
        <f>IF(ISNUMBER(M105), $B118 * N105, "")</f>
        <v>800</v>
      </c>
      <c r="Q105" s="235"/>
      <c r="R105" s="235"/>
      <c r="S105" s="235"/>
    </row>
    <row r="106" spans="1:19" ht="17.25" thickBot="1">
      <c r="A106" s="125" t="s">
        <v>130</v>
      </c>
      <c r="B106" s="126">
        <v>213200</v>
      </c>
      <c r="C106" s="77">
        <v>3.14465409E-2</v>
      </c>
      <c r="D106" s="15">
        <v>218350</v>
      </c>
      <c r="E106" s="32">
        <f t="shared" si="50"/>
        <v>2.4155722326454035E-2</v>
      </c>
      <c r="F106" s="18">
        <f>IF(ISNUMBER(D106), $B118 * E106, "")</f>
        <v>2415.5722326454033</v>
      </c>
      <c r="G106" s="31">
        <v>212450</v>
      </c>
      <c r="H106" s="32">
        <f t="shared" si="51"/>
        <v>-3.5178236397748592E-3</v>
      </c>
      <c r="I106" s="101">
        <f>IF(ISNUMBER(G106), $B118 * H106, "")</f>
        <v>-351.78236397748594</v>
      </c>
      <c r="J106" s="15">
        <v>214900</v>
      </c>
      <c r="K106" s="32">
        <f t="shared" si="52"/>
        <v>7.9737335834896804E-3</v>
      </c>
      <c r="L106" s="18">
        <f>IF(ISNUMBER(J106), $B118 * K106, "")</f>
        <v>797.37335834896805</v>
      </c>
      <c r="M106" s="31">
        <v>213700</v>
      </c>
      <c r="N106" s="32">
        <f t="shared" si="53"/>
        <v>2.3452157598499064E-3</v>
      </c>
      <c r="O106" s="18">
        <f>IF(ISNUMBER(M106), $B118 * N106, "")</f>
        <v>234.52157598499065</v>
      </c>
      <c r="Q106" s="33"/>
      <c r="R106" s="33"/>
    </row>
    <row r="107" spans="1:19" ht="17.25" thickBot="1">
      <c r="A107" s="130" t="s">
        <v>168</v>
      </c>
      <c r="B107" s="131">
        <v>107</v>
      </c>
      <c r="C107" s="79">
        <v>2.88461538E-2</v>
      </c>
      <c r="D107" s="24">
        <v>111</v>
      </c>
      <c r="E107" s="25">
        <f t="shared" si="50"/>
        <v>3.7383177570093455E-2</v>
      </c>
      <c r="F107" s="104">
        <f>IF(ISNUMBER(D107), $B118 * E107, "")</f>
        <v>3738.3177570093453</v>
      </c>
      <c r="G107" s="102">
        <v>109</v>
      </c>
      <c r="H107" s="25">
        <f t="shared" si="51"/>
        <v>1.8691588785046728E-2</v>
      </c>
      <c r="I107" s="103">
        <f>IF(ISNUMBER(G107), $B118 * H107, "")</f>
        <v>1869.1588785046727</v>
      </c>
      <c r="J107" s="24">
        <v>111</v>
      </c>
      <c r="K107" s="25">
        <f t="shared" si="52"/>
        <v>3.7383177570093455E-2</v>
      </c>
      <c r="L107" s="104">
        <f>IF(ISNUMBER(J107), $B118 * K107, "")</f>
        <v>3738.3177570093453</v>
      </c>
      <c r="M107" s="102">
        <v>112</v>
      </c>
      <c r="N107" s="25">
        <f t="shared" si="53"/>
        <v>4.6728971962616821E-2</v>
      </c>
      <c r="O107" s="104">
        <f>IF(ISNUMBER(M107), $B118 * N107, "")</f>
        <v>4672.8971962616824</v>
      </c>
      <c r="Q107" s="236"/>
      <c r="R107" s="237"/>
      <c r="S107" s="238"/>
    </row>
    <row r="108" spans="1:19">
      <c r="A108" s="123" t="s">
        <v>118</v>
      </c>
      <c r="B108" s="124">
        <v>4065</v>
      </c>
      <c r="C108" s="76">
        <v>2.7812895099999999E-2</v>
      </c>
      <c r="D108" s="13">
        <v>4220</v>
      </c>
      <c r="E108" s="14">
        <f>IF(ISNUMBER(D108), (D108 - $B108) / $B108, "")</f>
        <v>3.8130381303813035E-2</v>
      </c>
      <c r="F108" s="16">
        <f>IF(ISNUMBER(D108), $B118 * E108, "")</f>
        <v>3813.0381303813033</v>
      </c>
      <c r="G108" s="29">
        <v>4075</v>
      </c>
      <c r="H108" s="14">
        <f>IF(ISNUMBER(G108), (G108 - $B108) / $B108, "")</f>
        <v>2.4600246002460025E-3</v>
      </c>
      <c r="I108" s="100">
        <f>IF(ISNUMBER(G108), $B118 * H108, "")</f>
        <v>246.00246002460025</v>
      </c>
      <c r="J108" s="13">
        <v>4240</v>
      </c>
      <c r="K108" s="14">
        <f>IF(ISNUMBER(J108), (J108 - $B108) / $B108, "")</f>
        <v>4.3050430504305043E-2</v>
      </c>
      <c r="L108" s="16">
        <f>IF(ISNUMBER(J108), $B118 * K108, "")</f>
        <v>4305.0430504305041</v>
      </c>
      <c r="M108" s="29">
        <v>4150</v>
      </c>
      <c r="N108" s="14">
        <f>IF(ISNUMBER(M108), (M108 - $B108) / $B108, "")</f>
        <v>2.0910209102091022E-2</v>
      </c>
      <c r="O108" s="16">
        <f>IF(ISNUMBER(M108), $B118 * N108, "")</f>
        <v>2091.0209102091021</v>
      </c>
      <c r="Q108" s="239"/>
      <c r="R108" s="240"/>
      <c r="S108" s="241"/>
    </row>
    <row r="109" spans="1:19" ht="17.25" thickBot="1">
      <c r="A109" s="125" t="s">
        <v>126</v>
      </c>
      <c r="B109" s="126">
        <v>29.9</v>
      </c>
      <c r="C109" s="77">
        <v>2.74914089E-2</v>
      </c>
      <c r="D109" s="15">
        <v>30</v>
      </c>
      <c r="E109" s="32">
        <f t="shared" ref="E109:E112" si="54">IF(ISNUMBER(D109), (D109 - $B109) / $B109, "")</f>
        <v>3.3444816053512182E-3</v>
      </c>
      <c r="F109" s="18">
        <f>IF(ISNUMBER(D109), $B118 * E109, "")</f>
        <v>334.44816053512181</v>
      </c>
      <c r="G109" s="31">
        <v>28.8</v>
      </c>
      <c r="H109" s="32">
        <f t="shared" ref="H109:H112" si="55">IF(ISNUMBER(G109), (G109 - $B109) / $B109, "")</f>
        <v>-3.678929765886281E-2</v>
      </c>
      <c r="I109" s="101">
        <f>IF(ISNUMBER(G109), $B118 * H109, "")</f>
        <v>-3678.9297658862811</v>
      </c>
      <c r="J109" s="15">
        <v>29.3</v>
      </c>
      <c r="K109" s="32">
        <f t="shared" ref="K109:K112" si="56">IF(ISNUMBER(J109), (J109 - $B109) / $B109, "")</f>
        <v>-2.0066889632106955E-2</v>
      </c>
      <c r="L109" s="18">
        <f>IF(ISNUMBER(J109), $B118 * K109, "")</f>
        <v>-2006.6889632106954</v>
      </c>
      <c r="M109" s="31">
        <v>28.8</v>
      </c>
      <c r="N109" s="32">
        <f t="shared" ref="N109:N112" si="57">IF(ISNUMBER(M109), (M109 - $B109) / $B109, "")</f>
        <v>-3.678929765886281E-2</v>
      </c>
      <c r="O109" s="18">
        <f>IF(ISNUMBER(M109), $B118 * N109, "")</f>
        <v>-3678.9297658862811</v>
      </c>
      <c r="Q109" s="242"/>
      <c r="R109" s="243"/>
      <c r="S109" s="244"/>
    </row>
    <row r="110" spans="1:19" ht="17.25" thickBot="1">
      <c r="A110" s="125" t="s">
        <v>166</v>
      </c>
      <c r="B110" s="126">
        <v>1270</v>
      </c>
      <c r="C110" s="77">
        <v>2.4193548400000001E-2</v>
      </c>
      <c r="D110" s="15">
        <v>1270</v>
      </c>
      <c r="E110" s="32">
        <f t="shared" si="54"/>
        <v>0</v>
      </c>
      <c r="F110" s="18">
        <f>IF(ISNUMBER(D110), $B118 * E110, "")</f>
        <v>0</v>
      </c>
      <c r="G110" s="31">
        <v>1235</v>
      </c>
      <c r="H110" s="32">
        <f t="shared" si="55"/>
        <v>-2.7559055118110236E-2</v>
      </c>
      <c r="I110" s="101">
        <f>IF(ISNUMBER(G110), $B118 * H110, "")</f>
        <v>-2755.9055118110236</v>
      </c>
      <c r="J110" s="15">
        <v>1245</v>
      </c>
      <c r="K110" s="32">
        <f t="shared" si="56"/>
        <v>-1.968503937007874E-2</v>
      </c>
      <c r="L110" s="18">
        <f>IF(ISNUMBER(J110), $B118 * K110, "")</f>
        <v>-1968.5039370078739</v>
      </c>
      <c r="M110" s="31">
        <v>1250</v>
      </c>
      <c r="N110" s="32">
        <f t="shared" si="57"/>
        <v>-1.5748031496062992E-2</v>
      </c>
      <c r="O110" s="18">
        <f>IF(ISNUMBER(M110), $B118 * N110, "")</f>
        <v>-1574.8031496062993</v>
      </c>
      <c r="Q110" s="235"/>
      <c r="R110" s="235"/>
      <c r="S110" s="235"/>
    </row>
    <row r="111" spans="1:19" ht="17.25" thickBot="1">
      <c r="A111" s="125" t="s">
        <v>98</v>
      </c>
      <c r="B111" s="126">
        <v>4070</v>
      </c>
      <c r="C111" s="77">
        <v>2.2613065299999999E-2</v>
      </c>
      <c r="D111" s="15">
        <v>4195</v>
      </c>
      <c r="E111" s="32">
        <f t="shared" si="54"/>
        <v>3.0712530712530713E-2</v>
      </c>
      <c r="F111" s="18">
        <f>IF(ISNUMBER(D111), $B118 * E111, "")</f>
        <v>3071.2530712530715</v>
      </c>
      <c r="G111" s="31">
        <v>4125</v>
      </c>
      <c r="H111" s="32">
        <f t="shared" si="55"/>
        <v>1.3513513513513514E-2</v>
      </c>
      <c r="I111" s="101">
        <f>IF(ISNUMBER(G111), $B118 * H111, "")</f>
        <v>1351.3513513513515</v>
      </c>
      <c r="J111" s="15">
        <v>4295</v>
      </c>
      <c r="K111" s="32">
        <f t="shared" si="56"/>
        <v>5.5282555282555282E-2</v>
      </c>
      <c r="L111" s="18">
        <f>IF(ISNUMBER(J111), $B118 * K111, "")</f>
        <v>5528.2555282555286</v>
      </c>
      <c r="M111" s="31">
        <v>4240</v>
      </c>
      <c r="N111" s="32">
        <f t="shared" si="57"/>
        <v>4.1769041769041768E-2</v>
      </c>
      <c r="O111" s="18">
        <f>IF(ISNUMBER(M111), $B118 * N111, "")</f>
        <v>4176.9041769041769</v>
      </c>
      <c r="Q111" s="245"/>
      <c r="R111" s="245"/>
      <c r="S111" s="245"/>
    </row>
    <row r="112" spans="1:19" ht="17.25" thickBot="1">
      <c r="A112" s="127" t="s">
        <v>51</v>
      </c>
      <c r="B112" s="128">
        <v>465</v>
      </c>
      <c r="C112" s="78">
        <v>2.1978022E-2</v>
      </c>
      <c r="D112" s="20">
        <v>476</v>
      </c>
      <c r="E112" s="21">
        <f t="shared" si="54"/>
        <v>2.3655913978494623E-2</v>
      </c>
      <c r="F112" s="22">
        <f>IF(ISNUMBER(D112), $B118 * E112, "")</f>
        <v>2365.5913978494623</v>
      </c>
      <c r="G112" s="30">
        <v>467</v>
      </c>
      <c r="H112" s="21">
        <f t="shared" si="55"/>
        <v>4.3010752688172043E-3</v>
      </c>
      <c r="I112" s="105">
        <f>IF(ISNUMBER(G112), $B118 * H112, "")</f>
        <v>430.10752688172045</v>
      </c>
      <c r="J112" s="20">
        <v>468</v>
      </c>
      <c r="K112" s="21">
        <f t="shared" si="56"/>
        <v>6.4516129032258064E-3</v>
      </c>
      <c r="L112" s="22">
        <f>IF(ISNUMBER(J112), $B118 * K112, "")</f>
        <v>645.16129032258061</v>
      </c>
      <c r="M112" s="30">
        <v>513</v>
      </c>
      <c r="N112" s="21">
        <f t="shared" si="57"/>
        <v>0.1032258064516129</v>
      </c>
      <c r="O112" s="22">
        <f>IF(ISNUMBER(M112), $B118 * N112, "")</f>
        <v>10322.58064516129</v>
      </c>
      <c r="Q112" s="245"/>
      <c r="R112" s="245"/>
      <c r="S112" s="245"/>
    </row>
    <row r="113" spans="1:19" ht="17.25" thickBot="1">
      <c r="A113" s="125" t="s">
        <v>140</v>
      </c>
      <c r="B113" s="129">
        <v>1945</v>
      </c>
      <c r="C113" s="80">
        <v>2.0997375299999999E-2</v>
      </c>
      <c r="D113" s="106">
        <v>2010</v>
      </c>
      <c r="E113" s="107">
        <f>IF(ISNUMBER(D113), (D113 - $B113) / $B113, "")</f>
        <v>3.3419023136246784E-2</v>
      </c>
      <c r="F113" s="108">
        <f>IF(ISNUMBER(D113), $B118 * E113, "")</f>
        <v>3341.9023136246783</v>
      </c>
      <c r="G113" s="109">
        <v>1915</v>
      </c>
      <c r="H113" s="107">
        <f>IF(ISNUMBER(G113), (G113 - $B113) / $B113, "")</f>
        <v>-1.5424164524421594E-2</v>
      </c>
      <c r="I113" s="110">
        <f>IF(ISNUMBER(G113), $B118 * H113, "")</f>
        <v>-1542.4164524421594</v>
      </c>
      <c r="J113" s="106">
        <v>1935</v>
      </c>
      <c r="K113" s="107">
        <f>IF(ISNUMBER(J113), (J113 - $B113) / $B113, "")</f>
        <v>-5.1413881748071976E-3</v>
      </c>
      <c r="L113" s="108">
        <f>IF(ISNUMBER(J113), $B118 * K113, "")</f>
        <v>-514.13881748071981</v>
      </c>
      <c r="M113" s="109">
        <v>1920</v>
      </c>
      <c r="N113" s="107">
        <f>IF(ISNUMBER(M113), (M113 - $B113) / $B113, "")</f>
        <v>-1.2853470437017995E-2</v>
      </c>
      <c r="O113" s="108">
        <f>IF(ISNUMBER(M113), $B118 * N113, "")</f>
        <v>-1285.3470437017995</v>
      </c>
      <c r="Q113" s="235"/>
      <c r="R113" s="235"/>
      <c r="S113" s="235"/>
    </row>
    <row r="114" spans="1:19" ht="17.25" thickBot="1">
      <c r="A114" s="125" t="s">
        <v>278</v>
      </c>
      <c r="B114" s="126">
        <v>78.5</v>
      </c>
      <c r="C114" s="77">
        <v>1.9480519500000001E-2</v>
      </c>
      <c r="D114" s="15">
        <v>80.400000000000006</v>
      </c>
      <c r="E114" s="32">
        <f t="shared" ref="E114:E117" si="58">IF(ISNUMBER(D114), (D114 - $B114) / $B114, "")</f>
        <v>2.4203821656051026E-2</v>
      </c>
      <c r="F114" s="18">
        <f>IF(ISNUMBER(D114), $B118 * E114, "")</f>
        <v>2420.3821656051027</v>
      </c>
      <c r="G114" s="31">
        <v>78.8</v>
      </c>
      <c r="H114" s="32">
        <f t="shared" ref="H114:H117" si="59">IF(ISNUMBER(G114), (G114 - $B114) / $B114, "")</f>
        <v>3.8216560509553776E-3</v>
      </c>
      <c r="I114" s="101">
        <f>IF(ISNUMBER(G114), $B118 * H114, "")</f>
        <v>382.16560509553779</v>
      </c>
      <c r="J114" s="15">
        <v>79.099999999999994</v>
      </c>
      <c r="K114" s="32">
        <f t="shared" ref="K114:K117" si="60">IF(ISNUMBER(J114), (J114 - $B114) / $B114, "")</f>
        <v>7.6433121019107552E-3</v>
      </c>
      <c r="L114" s="18">
        <f>IF(ISNUMBER(J114), $B118 * K114, "")</f>
        <v>764.33121019107557</v>
      </c>
      <c r="M114" s="31">
        <v>78.8</v>
      </c>
      <c r="N114" s="32">
        <f t="shared" ref="N114:N117" si="61">IF(ISNUMBER(M114), (M114 - $B114) / $B114, "")</f>
        <v>3.8216560509553776E-3</v>
      </c>
      <c r="O114" s="18">
        <f>IF(ISNUMBER(M114), $B118 * N114, "")</f>
        <v>382.16560509553779</v>
      </c>
      <c r="Q114" s="235"/>
      <c r="R114" s="235"/>
      <c r="S114" s="235"/>
    </row>
    <row r="115" spans="1:19" ht="17.25" thickBot="1">
      <c r="A115" s="125" t="s">
        <v>84</v>
      </c>
      <c r="B115" s="126">
        <v>1945</v>
      </c>
      <c r="C115" s="77">
        <v>1.83246073E-2</v>
      </c>
      <c r="D115" s="15">
        <v>2070</v>
      </c>
      <c r="E115" s="32">
        <f t="shared" si="58"/>
        <v>6.4267352185089971E-2</v>
      </c>
      <c r="F115" s="18">
        <f>IF(ISNUMBER(D115), $B118 * E115, "")</f>
        <v>6426.7352185089967</v>
      </c>
      <c r="G115" s="31">
        <v>2000</v>
      </c>
      <c r="H115" s="32">
        <f t="shared" si="59"/>
        <v>2.8277634961439587E-2</v>
      </c>
      <c r="I115" s="101">
        <f>IF(ISNUMBER(G115), $B118 * H115, "")</f>
        <v>2827.7634961439585</v>
      </c>
      <c r="J115" s="15">
        <v>2030</v>
      </c>
      <c r="K115" s="32">
        <f t="shared" si="60"/>
        <v>4.3701799485861184E-2</v>
      </c>
      <c r="L115" s="18">
        <f>IF(ISNUMBER(J115), $B118 * K115, "")</f>
        <v>4370.1799485861184</v>
      </c>
      <c r="M115" s="31">
        <v>2015</v>
      </c>
      <c r="N115" s="32">
        <f t="shared" si="61"/>
        <v>3.5989717223650387E-2</v>
      </c>
      <c r="O115" s="18">
        <f>IF(ISNUMBER(M115), $B118 * N115, "")</f>
        <v>3598.9717223650387</v>
      </c>
      <c r="Q115" s="235"/>
      <c r="R115" s="235"/>
      <c r="S115" s="235"/>
    </row>
    <row r="116" spans="1:19">
      <c r="A116" s="125" t="s">
        <v>106</v>
      </c>
      <c r="B116" s="126">
        <v>1155</v>
      </c>
      <c r="C116" s="77">
        <v>1.76211454E-2</v>
      </c>
      <c r="D116" s="15">
        <v>1230</v>
      </c>
      <c r="E116" s="32">
        <f t="shared" si="58"/>
        <v>6.4935064935064929E-2</v>
      </c>
      <c r="F116" s="18">
        <f>IF(ISNUMBER(D116), $B118 * E116, "")</f>
        <v>6493.5064935064929</v>
      </c>
      <c r="G116" s="31">
        <v>1190</v>
      </c>
      <c r="H116" s="32">
        <f t="shared" si="59"/>
        <v>3.0303030303030304E-2</v>
      </c>
      <c r="I116" s="101">
        <f>IF(ISNUMBER(G116), $B118 * H116, "")</f>
        <v>3030.3030303030305</v>
      </c>
      <c r="J116" s="15">
        <v>1220</v>
      </c>
      <c r="K116" s="32">
        <f t="shared" si="60"/>
        <v>5.627705627705628E-2</v>
      </c>
      <c r="L116" s="18">
        <f>IF(ISNUMBER(J116), $B118 * K116, "")</f>
        <v>5627.7056277056281</v>
      </c>
      <c r="M116" s="31">
        <v>1195</v>
      </c>
      <c r="N116" s="32">
        <f t="shared" si="61"/>
        <v>3.4632034632034632E-2</v>
      </c>
      <c r="O116" s="18">
        <f>IF(ISNUMBER(M116), $B118 * N116, "")</f>
        <v>3463.2034632034633</v>
      </c>
      <c r="Q116" s="224"/>
      <c r="R116" s="225"/>
      <c r="S116" s="226"/>
    </row>
    <row r="117" spans="1:19" ht="17.25" thickBot="1">
      <c r="A117" s="130" t="s">
        <v>142</v>
      </c>
      <c r="B117" s="131">
        <v>376</v>
      </c>
      <c r="C117" s="79">
        <v>1.6216216200000001E-2</v>
      </c>
      <c r="D117" s="24">
        <v>412</v>
      </c>
      <c r="E117" s="25">
        <f t="shared" si="58"/>
        <v>9.5744680851063829E-2</v>
      </c>
      <c r="F117" s="104">
        <f>IF(ISNUMBER(D117), $B118 * E117, "")</f>
        <v>9574.4680851063822</v>
      </c>
      <c r="G117" s="102">
        <v>402</v>
      </c>
      <c r="H117" s="25">
        <f t="shared" si="59"/>
        <v>6.9148936170212769E-2</v>
      </c>
      <c r="I117" s="103">
        <f>IF(ISNUMBER(G117), $B118 * H117, "")</f>
        <v>6914.8936170212764</v>
      </c>
      <c r="J117" s="24">
        <v>417</v>
      </c>
      <c r="K117" s="25">
        <f t="shared" si="60"/>
        <v>0.10904255319148937</v>
      </c>
      <c r="L117" s="104">
        <f>IF(ISNUMBER(J117), $B118 * K117, "")</f>
        <v>10904.255319148937</v>
      </c>
      <c r="M117" s="102">
        <v>411</v>
      </c>
      <c r="N117" s="25">
        <f t="shared" si="61"/>
        <v>9.3085106382978719E-2</v>
      </c>
      <c r="O117" s="104">
        <f>IF(ISNUMBER(M117), $B118 * N117, "")</f>
        <v>9308.510638297872</v>
      </c>
      <c r="Q117" s="227"/>
      <c r="R117" s="228"/>
      <c r="S117" s="229"/>
    </row>
    <row r="118" spans="1:19" ht="17.25" thickBot="1">
      <c r="A118" s="132" t="s">
        <v>300</v>
      </c>
      <c r="B118" s="288">
        <f>$B$37</f>
        <v>100000</v>
      </c>
      <c r="C118" s="289"/>
      <c r="D118" s="26" t="s">
        <v>301</v>
      </c>
      <c r="E118" s="27">
        <f>IF(COUNT(E98:E117), SUM(E98:E117) / COUNT(E98:E117), 0)</f>
        <v>4.0116628831986981E-2</v>
      </c>
      <c r="F118" s="28">
        <f>SUM(F98:F117)</f>
        <v>80233.257663973956</v>
      </c>
      <c r="G118" s="26" t="s">
        <v>301</v>
      </c>
      <c r="H118" s="27">
        <f>IF(COUNT(H98:H117), SUM(H98:H117) / COUNT(H98:H117), 0)</f>
        <v>7.6278990666347937E-3</v>
      </c>
      <c r="I118" s="28">
        <f>SUM(I98:I117)</f>
        <v>15255.798133269584</v>
      </c>
      <c r="J118" s="26" t="s">
        <v>301</v>
      </c>
      <c r="K118" s="27">
        <f>IF(COUNT(K98:K117), SUM(K98:K117) / COUNT(K98:K117), 0)</f>
        <v>2.4038035938461148E-2</v>
      </c>
      <c r="L118" s="28">
        <f>SUM(L98:L117)</f>
        <v>48076.071876922295</v>
      </c>
      <c r="M118" s="26" t="s">
        <v>301</v>
      </c>
      <c r="N118" s="27">
        <f>IF(COUNT(N98:N117), SUM(N98:N117) / COUNT(N98:N117), 0)</f>
        <v>2.0244523263380915E-2</v>
      </c>
      <c r="O118" s="28">
        <f>SUM(O98:O117)</f>
        <v>40489.046526761827</v>
      </c>
      <c r="Q118" s="230"/>
      <c r="R118" s="231"/>
      <c r="S118" s="232"/>
    </row>
    <row r="120" spans="1:19" ht="17.25" thickBot="1"/>
    <row r="121" spans="1:19" ht="17.25" thickBot="1">
      <c r="A121" s="246" t="s">
        <v>288</v>
      </c>
      <c r="B121" s="247"/>
      <c r="C121" s="247"/>
      <c r="D121" s="247"/>
      <c r="E121" s="247"/>
      <c r="F121" s="247"/>
      <c r="G121" s="247"/>
      <c r="H121" s="247"/>
      <c r="I121" s="247"/>
      <c r="J121" s="247"/>
      <c r="K121" s="247"/>
      <c r="L121" s="247"/>
      <c r="M121" s="247"/>
      <c r="N121" s="247"/>
      <c r="O121" s="248"/>
      <c r="Q121" s="245"/>
      <c r="R121" s="245"/>
      <c r="S121" s="245"/>
    </row>
    <row r="122" spans="1:19" ht="17.25" thickBot="1">
      <c r="A122" s="157" t="s">
        <v>297</v>
      </c>
      <c r="B122" s="246" t="s">
        <v>49</v>
      </c>
      <c r="C122" s="248"/>
      <c r="D122" s="246" t="s">
        <v>58</v>
      </c>
      <c r="E122" s="247"/>
      <c r="F122" s="248"/>
      <c r="G122" s="249">
        <f>_xlfn.IFNA(VLOOKUP(B122, 현재가테이블!$B$2:$D$200, 2, FALSE), "-")</f>
        <v>45335000</v>
      </c>
      <c r="H122" s="250"/>
      <c r="I122" s="251"/>
      <c r="J122" s="246" t="s">
        <v>59</v>
      </c>
      <c r="K122" s="247"/>
      <c r="L122" s="248"/>
      <c r="M122" s="252">
        <f>_xlfn.IFNA(VLOOKUP(B122, 현재가테이블!$B$2:$D$200, 3, FALSE), "-")</f>
        <v>-2.27209037E-2</v>
      </c>
      <c r="N122" s="253"/>
      <c r="O122" s="254"/>
      <c r="Q122" s="245"/>
      <c r="R122" s="245"/>
      <c r="S122" s="245"/>
    </row>
    <row r="123" spans="1:19" ht="17.25" thickBot="1">
      <c r="A123" s="290" t="s">
        <v>55</v>
      </c>
      <c r="B123" s="286" t="str">
        <f>TEXT($G$1, "[$-ko-KR]yyyy-mm-dd(ddd) ") &amp; "오전 00:00"</f>
        <v>2021-06-01(화) 오전 00:00</v>
      </c>
      <c r="C123" s="287"/>
      <c r="D123" s="259" t="str">
        <f>TEXT($G$1, "[$-ko-KR]yyyy-mm-dd(ddd) ") &amp; "오후 14:00"</f>
        <v>2021-06-01(화) 오후 14:00</v>
      </c>
      <c r="E123" s="260"/>
      <c r="F123" s="261"/>
      <c r="G123" s="259" t="str">
        <f>TEXT($G$1, "[$-ko-KR]yyyy-mm-dd(ddd) ") &amp; "오후 19:00"</f>
        <v>2021-06-01(화) 오후 19:00</v>
      </c>
      <c r="H123" s="260"/>
      <c r="I123" s="261"/>
      <c r="J123" s="259" t="str">
        <f>TEXT($G$1, "[$-ko-KR]yyyy-mm-dd(ddd) ") &amp; "오후 21:00"</f>
        <v>2021-06-01(화) 오후 21:00</v>
      </c>
      <c r="K123" s="260"/>
      <c r="L123" s="261"/>
      <c r="M123" s="259" t="str">
        <f>TEXT($G$1+1, "[$-ko-KR]yyyy-mm-dd(ddd) ") &amp; "오전 00:00"</f>
        <v>2021-06-02(수) 오전 00:00</v>
      </c>
      <c r="N123" s="260"/>
      <c r="O123" s="261"/>
      <c r="Q123" s="245"/>
      <c r="R123" s="245"/>
      <c r="S123" s="245"/>
    </row>
    <row r="124" spans="1:19" ht="17.25" thickBot="1">
      <c r="A124" s="291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58" t="s">
        <v>58</v>
      </c>
      <c r="H124" s="159" t="s">
        <v>298</v>
      </c>
      <c r="I124" s="160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5"/>
      <c r="R124" s="235"/>
      <c r="S124" s="235"/>
    </row>
    <row r="125" spans="1:19" ht="17.25" thickBot="1">
      <c r="A125" s="123" t="s">
        <v>260</v>
      </c>
      <c r="B125" s="124">
        <v>80.900000000000006</v>
      </c>
      <c r="C125" s="76">
        <v>-6.1425061000000003E-3</v>
      </c>
      <c r="D125" s="13">
        <v>82.7</v>
      </c>
      <c r="E125" s="14">
        <f>IF(ISNUMBER(D125), (D125 - $B125) / $B125, "")</f>
        <v>2.2249690976514178E-2</v>
      </c>
      <c r="F125" s="16">
        <f>IF(ISNUMBER(D125), $B145 * E125, "")</f>
        <v>2224.9690976514175</v>
      </c>
      <c r="G125" s="29">
        <v>80.5</v>
      </c>
      <c r="H125" s="14">
        <f>IF(ISNUMBER(G125), (G125 - $B125) / $B125, "")</f>
        <v>-4.9443757725587843E-3</v>
      </c>
      <c r="I125" s="100">
        <f>IF(ISNUMBER(G125), $B145 * H125, "")</f>
        <v>-494.43757725587841</v>
      </c>
      <c r="J125" s="13">
        <v>81.400000000000006</v>
      </c>
      <c r="K125" s="14">
        <f>IF(ISNUMBER(J125), (J125 - $B125) / $B125, "")</f>
        <v>6.180469715698393E-3</v>
      </c>
      <c r="L125" s="16">
        <f>IF(ISNUMBER(J125), $B145 * K125, "")</f>
        <v>618.04697156983934</v>
      </c>
      <c r="M125" s="29">
        <v>81</v>
      </c>
      <c r="N125" s="14">
        <f>IF(ISNUMBER(M125), (M125 - $B125) / $B125, "")</f>
        <v>1.2360939431396083E-3</v>
      </c>
      <c r="O125" s="16">
        <f>IF(ISNUMBER(M125), $B145 * N125, "")</f>
        <v>123.60939431396082</v>
      </c>
      <c r="Q125" s="245"/>
      <c r="R125" s="245"/>
      <c r="S125" s="245"/>
    </row>
    <row r="126" spans="1:19" ht="17.25" thickBot="1">
      <c r="A126" s="125" t="s">
        <v>100</v>
      </c>
      <c r="B126" s="126">
        <v>4.37</v>
      </c>
      <c r="C126" s="77">
        <v>-1.13122172E-2</v>
      </c>
      <c r="D126" s="15">
        <v>4.53</v>
      </c>
      <c r="E126" s="32">
        <f t="shared" ref="E126:E129" si="62">IF(ISNUMBER(D126), (D126 - $B126) / $B126, "")</f>
        <v>3.6613272311212849E-2</v>
      </c>
      <c r="F126" s="18">
        <f>IF(ISNUMBER(D126), $B145 * E126, "")</f>
        <v>3661.327231121285</v>
      </c>
      <c r="G126" s="31">
        <v>4.41</v>
      </c>
      <c r="H126" s="32">
        <f t="shared" ref="H126:H129" si="63">IF(ISNUMBER(G126), (G126 - $B126) / $B126, "")</f>
        <v>9.1533180778032124E-3</v>
      </c>
      <c r="I126" s="101">
        <f>IF(ISNUMBER(G126), $B145 * H126, "")</f>
        <v>915.33180778032124</v>
      </c>
      <c r="J126" s="15">
        <v>4.43</v>
      </c>
      <c r="K126" s="32">
        <f t="shared" ref="K126:K129" si="64">IF(ISNUMBER(J126), (J126 - $B126) / $B126, "")</f>
        <v>1.3729977116704716E-2</v>
      </c>
      <c r="L126" s="18">
        <f>IF(ISNUMBER(J126), $B145 * K126, "")</f>
        <v>1372.9977116704715</v>
      </c>
      <c r="M126" s="31">
        <v>4.43</v>
      </c>
      <c r="N126" s="32">
        <f t="shared" ref="N126:N129" si="65">IF(ISNUMBER(M126), (M126 - $B126) / $B126, "")</f>
        <v>1.3729977116704716E-2</v>
      </c>
      <c r="O126" s="18">
        <f>IF(ISNUMBER(M126), $B145 * N126, "")</f>
        <v>1372.9977116704715</v>
      </c>
      <c r="Q126" s="245"/>
      <c r="R126" s="245"/>
      <c r="S126" s="245"/>
    </row>
    <row r="127" spans="1:19" ht="17.25" thickBot="1">
      <c r="A127" s="125" t="s">
        <v>154</v>
      </c>
      <c r="B127" s="126">
        <v>11</v>
      </c>
      <c r="C127" s="77">
        <v>-1.7857142900000001E-2</v>
      </c>
      <c r="D127" s="15">
        <v>11.1</v>
      </c>
      <c r="E127" s="32">
        <f t="shared" si="62"/>
        <v>9.0909090909090592E-3</v>
      </c>
      <c r="F127" s="18">
        <f>IF(ISNUMBER(D127), $B145 * E127, "")</f>
        <v>909.09090909090594</v>
      </c>
      <c r="G127" s="31">
        <v>10.8</v>
      </c>
      <c r="H127" s="32">
        <f t="shared" si="63"/>
        <v>-1.8181818181818118E-2</v>
      </c>
      <c r="I127" s="101">
        <f>IF(ISNUMBER(G127), $B145 * H127, "")</f>
        <v>-1818.1818181818119</v>
      </c>
      <c r="J127" s="15">
        <v>10.9</v>
      </c>
      <c r="K127" s="32">
        <f t="shared" si="64"/>
        <v>-9.0909090909090592E-3</v>
      </c>
      <c r="L127" s="18">
        <f>IF(ISNUMBER(J127), $B145 * K127, "")</f>
        <v>-909.09090909090594</v>
      </c>
      <c r="M127" s="31">
        <v>11</v>
      </c>
      <c r="N127" s="32">
        <f t="shared" si="65"/>
        <v>0</v>
      </c>
      <c r="O127" s="18">
        <f>IF(ISNUMBER(M127), $B145 * N127, "")</f>
        <v>0</v>
      </c>
      <c r="Q127" s="235"/>
      <c r="R127" s="235"/>
      <c r="S127" s="235"/>
    </row>
    <row r="128" spans="1:19" ht="17.25" thickBot="1">
      <c r="A128" s="125" t="s">
        <v>152</v>
      </c>
      <c r="B128" s="126">
        <v>20.3</v>
      </c>
      <c r="C128" s="77">
        <v>-1.93236715E-2</v>
      </c>
      <c r="D128" s="15">
        <v>20.8</v>
      </c>
      <c r="E128" s="32">
        <f t="shared" si="62"/>
        <v>2.463054187192118E-2</v>
      </c>
      <c r="F128" s="18">
        <f>IF(ISNUMBER(D128), $B145 * E128, "")</f>
        <v>2463.0541871921182</v>
      </c>
      <c r="G128" s="31">
        <v>20.100000000000001</v>
      </c>
      <c r="H128" s="32">
        <f t="shared" si="63"/>
        <v>-9.8522167487684383E-3</v>
      </c>
      <c r="I128" s="101">
        <f>IF(ISNUMBER(G128), $B145 * H128, "")</f>
        <v>-985.22167487684385</v>
      </c>
      <c r="J128" s="15">
        <v>20.3</v>
      </c>
      <c r="K128" s="32">
        <f t="shared" si="64"/>
        <v>0</v>
      </c>
      <c r="L128" s="18">
        <f>IF(ISNUMBER(J128), $B145 * K128, "")</f>
        <v>0</v>
      </c>
      <c r="M128" s="31">
        <v>20.2</v>
      </c>
      <c r="N128" s="32">
        <f t="shared" si="65"/>
        <v>-4.9261083743843059E-3</v>
      </c>
      <c r="O128" s="18">
        <f>IF(ISNUMBER(M128), $B145 * N128, "")</f>
        <v>-492.61083743843056</v>
      </c>
      <c r="Q128" s="235"/>
      <c r="R128" s="235"/>
      <c r="S128" s="235"/>
    </row>
    <row r="129" spans="1:19" ht="17.25" thickBot="1">
      <c r="A129" s="127" t="s">
        <v>196</v>
      </c>
      <c r="B129" s="128">
        <v>11.5</v>
      </c>
      <c r="C129" s="78">
        <v>-2.54237288E-2</v>
      </c>
      <c r="D129" s="20">
        <v>11.8</v>
      </c>
      <c r="E129" s="21">
        <f t="shared" si="62"/>
        <v>2.6086956521739191E-2</v>
      </c>
      <c r="F129" s="22">
        <f>IF(ISNUMBER(D129), $B145 * E129, "")</f>
        <v>2608.6956521739194</v>
      </c>
      <c r="G129" s="30">
        <v>11.5</v>
      </c>
      <c r="H129" s="21">
        <f t="shared" si="63"/>
        <v>0</v>
      </c>
      <c r="I129" s="105">
        <f>IF(ISNUMBER(G129), $B145 * H129, "")</f>
        <v>0</v>
      </c>
      <c r="J129" s="20">
        <v>11.7</v>
      </c>
      <c r="K129" s="21">
        <f t="shared" si="64"/>
        <v>1.7391304347826025E-2</v>
      </c>
      <c r="L129" s="22">
        <f>IF(ISNUMBER(J129), $B145 * K129, "")</f>
        <v>1739.1304347826024</v>
      </c>
      <c r="M129" s="30">
        <v>11.6</v>
      </c>
      <c r="N129" s="21">
        <f t="shared" si="65"/>
        <v>8.6956521739130124E-3</v>
      </c>
      <c r="O129" s="22">
        <f>IF(ISNUMBER(M129), $B145 * N129, "")</f>
        <v>869.56521739130119</v>
      </c>
      <c r="Q129" s="235"/>
      <c r="R129" s="235"/>
      <c r="S129" s="235"/>
    </row>
    <row r="130" spans="1:19" ht="17.25" thickBot="1">
      <c r="A130" s="125" t="s">
        <v>198</v>
      </c>
      <c r="B130" s="129">
        <v>16.8</v>
      </c>
      <c r="C130" s="80">
        <v>-2.89017341E-2</v>
      </c>
      <c r="D130" s="106">
        <v>17</v>
      </c>
      <c r="E130" s="107">
        <f>IF(ISNUMBER(D130), (D130 - $B130) / $B130, "")</f>
        <v>1.1904761904761862E-2</v>
      </c>
      <c r="F130" s="108">
        <f>IF(ISNUMBER(D130), $B145 * E130, "")</f>
        <v>1190.4761904761863</v>
      </c>
      <c r="G130" s="109">
        <v>16.600000000000001</v>
      </c>
      <c r="H130" s="107">
        <f>IF(ISNUMBER(G130), (G130 - $B130) / $B130, "")</f>
        <v>-1.1904761904761862E-2</v>
      </c>
      <c r="I130" s="110">
        <f>IF(ISNUMBER(G130), $B145 * H130, "")</f>
        <v>-1190.4761904761863</v>
      </c>
      <c r="J130" s="106">
        <v>16.7</v>
      </c>
      <c r="K130" s="107">
        <f>IF(ISNUMBER(J130), (J130 - $B130) / $B130, "")</f>
        <v>-5.9523809523810371E-3</v>
      </c>
      <c r="L130" s="108">
        <f>IF(ISNUMBER(J130), $B145 * K130, "")</f>
        <v>-595.23809523810371</v>
      </c>
      <c r="M130" s="109">
        <v>16.7</v>
      </c>
      <c r="N130" s="107">
        <f>IF(ISNUMBER(M130), (M130 - $B130) / $B130, "")</f>
        <v>-5.9523809523810371E-3</v>
      </c>
      <c r="O130" s="108">
        <f>IF(ISNUMBER(M130), $B145 * N130, "")</f>
        <v>-595.23809523810371</v>
      </c>
      <c r="Q130" s="235"/>
      <c r="R130" s="235"/>
      <c r="S130" s="235"/>
    </row>
    <row r="131" spans="1:19" ht="17.25" thickBot="1">
      <c r="A131" s="125" t="s">
        <v>134</v>
      </c>
      <c r="B131" s="126">
        <v>94.9</v>
      </c>
      <c r="C131" s="77">
        <v>-2.9652351699999999E-2</v>
      </c>
      <c r="D131" s="15">
        <v>95.4</v>
      </c>
      <c r="E131" s="32">
        <f t="shared" ref="E131:E134" si="66">IF(ISNUMBER(D131), (D131 - $B131) / $B131, "")</f>
        <v>5.268703898840885E-3</v>
      </c>
      <c r="F131" s="18">
        <f>IF(ISNUMBER(D131), $B145 * E131, "")</f>
        <v>526.87038988408847</v>
      </c>
      <c r="G131" s="31">
        <v>93.6</v>
      </c>
      <c r="H131" s="32">
        <f t="shared" ref="H131:H134" si="67">IF(ISNUMBER(G131), (G131 - $B131) / $B131, "")</f>
        <v>-1.369863013698642E-2</v>
      </c>
      <c r="I131" s="101">
        <f>IF(ISNUMBER(G131), $B145 * H131, "")</f>
        <v>-1369.8630136986421</v>
      </c>
      <c r="J131" s="15">
        <v>94.4</v>
      </c>
      <c r="K131" s="32">
        <f t="shared" ref="K131:K134" si="68">IF(ISNUMBER(J131), (J131 - $B131) / $B131, "")</f>
        <v>-5.268703898840885E-3</v>
      </c>
      <c r="L131" s="18">
        <f>IF(ISNUMBER(J131), $B145 * K131, "")</f>
        <v>-526.87038988408847</v>
      </c>
      <c r="M131" s="31">
        <v>94.1</v>
      </c>
      <c r="N131" s="32">
        <f t="shared" ref="N131:N134" si="69">IF(ISNUMBER(M131), (M131 - $B131) / $B131, "")</f>
        <v>-8.4299262381455353E-3</v>
      </c>
      <c r="O131" s="18">
        <f>IF(ISNUMBER(M131), $B145 * N131, "")</f>
        <v>-842.99262381455355</v>
      </c>
      <c r="Q131" s="235"/>
      <c r="R131" s="235"/>
      <c r="S131" s="235"/>
    </row>
    <row r="132" spans="1:19" ht="17.25" thickBot="1">
      <c r="A132" s="125" t="s">
        <v>214</v>
      </c>
      <c r="B132" s="126">
        <v>14.1</v>
      </c>
      <c r="C132" s="77">
        <v>-3.4246575299999998E-2</v>
      </c>
      <c r="D132" s="15">
        <v>14.4</v>
      </c>
      <c r="E132" s="32">
        <f t="shared" si="66"/>
        <v>2.1276595744680903E-2</v>
      </c>
      <c r="F132" s="18">
        <f>IF(ISNUMBER(D132), $B145 * E132, "")</f>
        <v>2127.6595744680903</v>
      </c>
      <c r="G132" s="31">
        <v>14.1</v>
      </c>
      <c r="H132" s="32">
        <f t="shared" si="67"/>
        <v>0</v>
      </c>
      <c r="I132" s="101">
        <f>IF(ISNUMBER(G132), $B145 * H132, "")</f>
        <v>0</v>
      </c>
      <c r="J132" s="15">
        <v>14.3</v>
      </c>
      <c r="K132" s="32">
        <f t="shared" si="68"/>
        <v>1.4184397163120643E-2</v>
      </c>
      <c r="L132" s="18">
        <f>IF(ISNUMBER(J132), $B145 * K132, "")</f>
        <v>1418.4397163120643</v>
      </c>
      <c r="M132" s="31">
        <v>14.2</v>
      </c>
      <c r="N132" s="32">
        <f t="shared" si="69"/>
        <v>7.0921985815602584E-3</v>
      </c>
      <c r="O132" s="18">
        <f>IF(ISNUMBER(M132), $B145 * N132, "")</f>
        <v>709.21985815602579</v>
      </c>
      <c r="Q132" s="235"/>
      <c r="R132" s="235"/>
      <c r="S132" s="235"/>
    </row>
    <row r="133" spans="1:19" ht="17.25" thickBot="1">
      <c r="A133" s="125" t="s">
        <v>212</v>
      </c>
      <c r="B133" s="126">
        <v>77.900000000000006</v>
      </c>
      <c r="C133" s="77">
        <v>-3.4696406399999997E-2</v>
      </c>
      <c r="D133" s="15">
        <v>79.2</v>
      </c>
      <c r="E133" s="32">
        <f t="shared" si="66"/>
        <v>1.6688061617458241E-2</v>
      </c>
      <c r="F133" s="18">
        <f>IF(ISNUMBER(D133), $B145 * E133, "")</f>
        <v>1668.8061617458241</v>
      </c>
      <c r="G133" s="31">
        <v>77.7</v>
      </c>
      <c r="H133" s="32">
        <f t="shared" si="67"/>
        <v>-2.5673940949936178E-3</v>
      </c>
      <c r="I133" s="101">
        <f>IF(ISNUMBER(G133), $B145 * H133, "")</f>
        <v>-256.73940949936178</v>
      </c>
      <c r="J133" s="15">
        <v>78.5</v>
      </c>
      <c r="K133" s="32">
        <f t="shared" si="68"/>
        <v>7.7021822849806711E-3</v>
      </c>
      <c r="L133" s="18">
        <f>IF(ISNUMBER(J133), $B145 * K133, "")</f>
        <v>770.21822849806711</v>
      </c>
      <c r="M133" s="31">
        <v>77.7</v>
      </c>
      <c r="N133" s="32">
        <f t="shared" si="69"/>
        <v>-2.5673940949936178E-3</v>
      </c>
      <c r="O133" s="18">
        <f>IF(ISNUMBER(M133), $B145 * N133, "")</f>
        <v>-256.73940949936178</v>
      </c>
      <c r="Q133" s="33"/>
      <c r="R133" s="33"/>
    </row>
    <row r="134" spans="1:19" ht="17.25" thickBot="1">
      <c r="A134" s="130" t="s">
        <v>186</v>
      </c>
      <c r="B134" s="131">
        <v>13.4</v>
      </c>
      <c r="C134" s="79">
        <v>-3.5971222999999997E-2</v>
      </c>
      <c r="D134" s="24">
        <v>13.7</v>
      </c>
      <c r="E134" s="25">
        <f t="shared" si="66"/>
        <v>2.2388059701492456E-2</v>
      </c>
      <c r="F134" s="104">
        <f>IF(ISNUMBER(D134), $B145 * E134, "")</f>
        <v>2238.8059701492457</v>
      </c>
      <c r="G134" s="102">
        <v>13.4</v>
      </c>
      <c r="H134" s="25">
        <f t="shared" si="67"/>
        <v>0</v>
      </c>
      <c r="I134" s="103">
        <f>IF(ISNUMBER(G134), $B145 * H134, "")</f>
        <v>0</v>
      </c>
      <c r="J134" s="24">
        <v>13.6</v>
      </c>
      <c r="K134" s="25">
        <f t="shared" si="68"/>
        <v>1.4925373134328304E-2</v>
      </c>
      <c r="L134" s="104">
        <f>IF(ISNUMBER(J134), $B145 * K134, "")</f>
        <v>1492.5373134328304</v>
      </c>
      <c r="M134" s="102">
        <v>13.7</v>
      </c>
      <c r="N134" s="25">
        <f t="shared" si="69"/>
        <v>2.2388059701492456E-2</v>
      </c>
      <c r="O134" s="104">
        <f>IF(ISNUMBER(M134), $B145 * N134, "")</f>
        <v>2238.8059701492457</v>
      </c>
      <c r="Q134" s="236"/>
      <c r="R134" s="237"/>
      <c r="S134" s="238"/>
    </row>
    <row r="135" spans="1:19">
      <c r="A135" s="123" t="s">
        <v>228</v>
      </c>
      <c r="B135" s="124">
        <v>10.7</v>
      </c>
      <c r="C135" s="76">
        <v>-3.6036036E-2</v>
      </c>
      <c r="D135" s="13">
        <v>10.9</v>
      </c>
      <c r="E135" s="14">
        <f>IF(ISNUMBER(D135), (D135 - $B135) / $B135, "")</f>
        <v>1.8691588785046828E-2</v>
      </c>
      <c r="F135" s="16">
        <f>IF(ISNUMBER(D135), $B145 * E135, "")</f>
        <v>1869.1588785046829</v>
      </c>
      <c r="G135" s="29">
        <v>10.7</v>
      </c>
      <c r="H135" s="14">
        <f>IF(ISNUMBER(G135), (G135 - $B135) / $B135, "")</f>
        <v>0</v>
      </c>
      <c r="I135" s="100">
        <f>IF(ISNUMBER(G135), $B145 * H135, "")</f>
        <v>0</v>
      </c>
      <c r="J135" s="13">
        <v>10.7</v>
      </c>
      <c r="K135" s="14">
        <f>IF(ISNUMBER(J135), (J135 - $B135) / $B135, "")</f>
        <v>0</v>
      </c>
      <c r="L135" s="16">
        <f>IF(ISNUMBER(J135), $B145 * K135, "")</f>
        <v>0</v>
      </c>
      <c r="M135" s="29">
        <v>10.7</v>
      </c>
      <c r="N135" s="14">
        <f>IF(ISNUMBER(M135), (M135 - $B135) / $B135, "")</f>
        <v>0</v>
      </c>
      <c r="O135" s="16">
        <f>IF(ISNUMBER(M135), $B145 * N135, "")</f>
        <v>0</v>
      </c>
      <c r="Q135" s="239"/>
      <c r="R135" s="240"/>
      <c r="S135" s="241"/>
    </row>
    <row r="136" spans="1:19" ht="17.25" thickBot="1">
      <c r="A136" s="125" t="s">
        <v>236</v>
      </c>
      <c r="B136" s="126">
        <v>52.2</v>
      </c>
      <c r="C136" s="77">
        <v>-3.6900369000000002E-2</v>
      </c>
      <c r="D136" s="15">
        <v>52.8</v>
      </c>
      <c r="E136" s="32">
        <f t="shared" ref="E136:E139" si="70">IF(ISNUMBER(D136), (D136 - $B136) / $B136, "")</f>
        <v>1.1494252873563109E-2</v>
      </c>
      <c r="F136" s="18">
        <f>IF(ISNUMBER(D136), $B145 * E136, "")</f>
        <v>1149.4252873563109</v>
      </c>
      <c r="G136" s="31">
        <v>52.3</v>
      </c>
      <c r="H136" s="32">
        <f t="shared" ref="H136:H139" si="71">IF(ISNUMBER(G136), (G136 - $B136) / $B136, "")</f>
        <v>1.9157088122604274E-3</v>
      </c>
      <c r="I136" s="101">
        <f>IF(ISNUMBER(G136), $B145 * H136, "")</f>
        <v>191.57088122604276</v>
      </c>
      <c r="J136" s="15">
        <v>52.5</v>
      </c>
      <c r="K136" s="32">
        <f t="shared" ref="K136:K139" si="72">IF(ISNUMBER(J136), (J136 - $B136) / $B136, "")</f>
        <v>5.7471264367815545E-3</v>
      </c>
      <c r="L136" s="18">
        <f>IF(ISNUMBER(J136), $B145 * K136, "")</f>
        <v>574.71264367815547</v>
      </c>
      <c r="M136" s="31">
        <v>52.7</v>
      </c>
      <c r="N136" s="32">
        <f t="shared" ref="N136:N139" si="73">IF(ISNUMBER(M136), (M136 - $B136) / $B136, "")</f>
        <v>9.5785440613026813E-3</v>
      </c>
      <c r="O136" s="18">
        <f>IF(ISNUMBER(M136), $B145 * N136, "")</f>
        <v>957.8544061302681</v>
      </c>
      <c r="Q136" s="242"/>
      <c r="R136" s="243"/>
      <c r="S136" s="244"/>
    </row>
    <row r="137" spans="1:19" ht="17.25" thickBot="1">
      <c r="A137" s="125" t="s">
        <v>266</v>
      </c>
      <c r="B137" s="126">
        <v>58.5</v>
      </c>
      <c r="C137" s="77">
        <v>-3.78289474E-2</v>
      </c>
      <c r="D137" s="15">
        <v>60</v>
      </c>
      <c r="E137" s="32">
        <f t="shared" si="70"/>
        <v>2.564102564102564E-2</v>
      </c>
      <c r="F137" s="18">
        <f>IF(ISNUMBER(D137), $B145 * E137, "")</f>
        <v>2564.102564102564</v>
      </c>
      <c r="G137" s="31">
        <v>59.2</v>
      </c>
      <c r="H137" s="32">
        <f t="shared" si="71"/>
        <v>1.1965811965812015E-2</v>
      </c>
      <c r="I137" s="101">
        <f>IF(ISNUMBER(G137), $B145 * H137, "")</f>
        <v>1196.5811965812015</v>
      </c>
      <c r="J137" s="15">
        <v>59.4</v>
      </c>
      <c r="K137" s="32">
        <f t="shared" si="72"/>
        <v>1.5384615384615361E-2</v>
      </c>
      <c r="L137" s="18">
        <f>IF(ISNUMBER(J137), $B145 * K137, "")</f>
        <v>1538.4615384615361</v>
      </c>
      <c r="M137" s="31">
        <v>59</v>
      </c>
      <c r="N137" s="32">
        <f t="shared" si="73"/>
        <v>8.5470085470085479E-3</v>
      </c>
      <c r="O137" s="18">
        <f>IF(ISNUMBER(M137), $B145 * N137, "")</f>
        <v>854.70085470085473</v>
      </c>
      <c r="Q137" s="235"/>
      <c r="R137" s="235"/>
      <c r="S137" s="235"/>
    </row>
    <row r="138" spans="1:19" ht="17.25" thickBot="1">
      <c r="A138" s="125" t="s">
        <v>254</v>
      </c>
      <c r="B138" s="126">
        <v>52.2</v>
      </c>
      <c r="C138" s="77">
        <v>-3.8674033099999998E-2</v>
      </c>
      <c r="D138" s="15">
        <v>52.6</v>
      </c>
      <c r="E138" s="32">
        <f t="shared" si="70"/>
        <v>7.6628352490421183E-3</v>
      </c>
      <c r="F138" s="18">
        <f>IF(ISNUMBER(D138), $B145 * E138, "")</f>
        <v>766.28352490421184</v>
      </c>
      <c r="G138" s="31">
        <v>52.1</v>
      </c>
      <c r="H138" s="32">
        <f t="shared" si="71"/>
        <v>-1.9157088122605636E-3</v>
      </c>
      <c r="I138" s="101">
        <f>IF(ISNUMBER(G138), $B145 * H138, "")</f>
        <v>-191.57088122605637</v>
      </c>
      <c r="J138" s="15">
        <v>52.3</v>
      </c>
      <c r="K138" s="32">
        <f t="shared" si="72"/>
        <v>1.9157088122604274E-3</v>
      </c>
      <c r="L138" s="18">
        <f>IF(ISNUMBER(J138), $B145 * K138, "")</f>
        <v>191.57088122604276</v>
      </c>
      <c r="M138" s="31">
        <v>52.4</v>
      </c>
      <c r="N138" s="32">
        <f t="shared" si="73"/>
        <v>3.8314176245209911E-3</v>
      </c>
      <c r="O138" s="18">
        <f>IF(ISNUMBER(M138), $B145 * N138, "")</f>
        <v>383.1417624520991</v>
      </c>
      <c r="Q138" s="245"/>
      <c r="R138" s="245"/>
      <c r="S138" s="245"/>
    </row>
    <row r="139" spans="1:19" ht="17.25" thickBot="1">
      <c r="A139" s="127" t="s">
        <v>264</v>
      </c>
      <c r="B139" s="128">
        <v>88.7</v>
      </c>
      <c r="C139" s="78">
        <v>-3.90032503E-2</v>
      </c>
      <c r="D139" s="20">
        <v>91.6</v>
      </c>
      <c r="E139" s="21">
        <f t="shared" si="70"/>
        <v>3.2694475760992013E-2</v>
      </c>
      <c r="F139" s="22">
        <f>IF(ISNUMBER(D139), $B145 * E139, "")</f>
        <v>3269.4475760992013</v>
      </c>
      <c r="G139" s="30">
        <v>89.1</v>
      </c>
      <c r="H139" s="21">
        <f t="shared" si="71"/>
        <v>4.5095828635850219E-3</v>
      </c>
      <c r="I139" s="105">
        <f>IF(ISNUMBER(G139), $B145 * H139, "")</f>
        <v>450.95828635850216</v>
      </c>
      <c r="J139" s="20">
        <v>89.7</v>
      </c>
      <c r="K139" s="21">
        <f t="shared" si="72"/>
        <v>1.1273957158962795E-2</v>
      </c>
      <c r="L139" s="22">
        <f>IF(ISNUMBER(J139), $B145 * K139, "")</f>
        <v>1127.3957158962796</v>
      </c>
      <c r="M139" s="30">
        <v>89.6</v>
      </c>
      <c r="N139" s="21">
        <f t="shared" si="73"/>
        <v>1.014656144306642E-2</v>
      </c>
      <c r="O139" s="22">
        <f>IF(ISNUMBER(M139), $B145 * N139, "")</f>
        <v>1014.6561443066421</v>
      </c>
      <c r="Q139" s="245"/>
      <c r="R139" s="245"/>
      <c r="S139" s="245"/>
    </row>
    <row r="140" spans="1:19" ht="17.25" thickBot="1">
      <c r="A140" s="125" t="s">
        <v>218</v>
      </c>
      <c r="B140" s="129">
        <v>16.600000000000001</v>
      </c>
      <c r="C140" s="80">
        <v>-4.0462427699999998E-2</v>
      </c>
      <c r="D140" s="106">
        <v>16.8</v>
      </c>
      <c r="E140" s="107">
        <f>IF(ISNUMBER(D140), (D140 - $B140) / $B140, "")</f>
        <v>1.2048192771084293E-2</v>
      </c>
      <c r="F140" s="108">
        <f>IF(ISNUMBER(D140), $B145 * E140, "")</f>
        <v>1204.8192771084293</v>
      </c>
      <c r="G140" s="109">
        <v>16.5</v>
      </c>
      <c r="H140" s="107">
        <f>IF(ISNUMBER(G140), (G140 - $B140) / $B140, "")</f>
        <v>-6.024096385542254E-3</v>
      </c>
      <c r="I140" s="110">
        <f>IF(ISNUMBER(G140), $B145 * H140, "")</f>
        <v>-602.40963855422535</v>
      </c>
      <c r="J140" s="106">
        <v>16.7</v>
      </c>
      <c r="K140" s="107">
        <f>IF(ISNUMBER(J140), (J140 - $B140) / $B140, "")</f>
        <v>6.0240963855420398E-3</v>
      </c>
      <c r="L140" s="108">
        <f>IF(ISNUMBER(J140), $B145 * K140, "")</f>
        <v>602.40963855420398</v>
      </c>
      <c r="M140" s="109">
        <v>16.600000000000001</v>
      </c>
      <c r="N140" s="107">
        <f>IF(ISNUMBER(M140), (M140 - $B140) / $B140, "")</f>
        <v>0</v>
      </c>
      <c r="O140" s="108">
        <f>IF(ISNUMBER(M140), $B145 * N140, "")</f>
        <v>0</v>
      </c>
      <c r="Q140" s="235"/>
      <c r="R140" s="235"/>
      <c r="S140" s="235"/>
    </row>
    <row r="141" spans="1:19" ht="17.25" thickBot="1">
      <c r="A141" s="125" t="s">
        <v>72</v>
      </c>
      <c r="B141" s="126">
        <v>20.100000000000001</v>
      </c>
      <c r="C141" s="77">
        <v>-4.2857142899999999E-2</v>
      </c>
      <c r="D141" s="15">
        <v>20.9</v>
      </c>
      <c r="E141" s="32">
        <f t="shared" ref="E141:E144" si="74">IF(ISNUMBER(D141), (D141 - $B141) / $B141, "")</f>
        <v>3.9800995024875475E-2</v>
      </c>
      <c r="F141" s="18">
        <f>IF(ISNUMBER(D141), $B145 * E141, "")</f>
        <v>3980.0995024875474</v>
      </c>
      <c r="G141" s="31">
        <v>20.7</v>
      </c>
      <c r="H141" s="32">
        <f t="shared" ref="H141:H144" si="75">IF(ISNUMBER(G141), (G141 - $B141) / $B141, "")</f>
        <v>2.9850746268656608E-2</v>
      </c>
      <c r="I141" s="101">
        <f>IF(ISNUMBER(G141), $B145 * H141, "")</f>
        <v>2985.0746268656608</v>
      </c>
      <c r="J141" s="15">
        <v>21.1</v>
      </c>
      <c r="K141" s="32">
        <f t="shared" ref="K141:K144" si="76">IF(ISNUMBER(J141), (J141 - $B141) / $B141, "")</f>
        <v>4.9751243781094523E-2</v>
      </c>
      <c r="L141" s="18">
        <f>IF(ISNUMBER(J141), $B145 * K141, "")</f>
        <v>4975.1243781094527</v>
      </c>
      <c r="M141" s="31">
        <v>21.2</v>
      </c>
      <c r="N141" s="32">
        <f t="shared" ref="N141:N144" si="77">IF(ISNUMBER(M141), (M141 - $B141) / $B141, "")</f>
        <v>5.472636815920387E-2</v>
      </c>
      <c r="O141" s="18">
        <f>IF(ISNUMBER(M141), $B145 * N141, "")</f>
        <v>5472.6368159203867</v>
      </c>
      <c r="Q141" s="235"/>
      <c r="R141" s="235"/>
      <c r="S141" s="235"/>
    </row>
    <row r="142" spans="1:19" ht="17.25" thickBot="1">
      <c r="A142" s="125" t="s">
        <v>220</v>
      </c>
      <c r="B142" s="126">
        <v>10.7</v>
      </c>
      <c r="C142" s="77">
        <v>-4.4642857100000002E-2</v>
      </c>
      <c r="D142" s="15">
        <v>11</v>
      </c>
      <c r="E142" s="32">
        <f t="shared" si="74"/>
        <v>2.8037383177570162E-2</v>
      </c>
      <c r="F142" s="18">
        <f>IF(ISNUMBER(D142), $B145 * E142, "")</f>
        <v>2803.7383177570164</v>
      </c>
      <c r="G142" s="31">
        <v>10.8</v>
      </c>
      <c r="H142" s="32">
        <f t="shared" si="75"/>
        <v>9.3457943925234974E-3</v>
      </c>
      <c r="I142" s="101">
        <f>IF(ISNUMBER(G142), $B145 * H142, "")</f>
        <v>934.57943925234974</v>
      </c>
      <c r="J142" s="15">
        <v>10.9</v>
      </c>
      <c r="K142" s="32">
        <f t="shared" si="76"/>
        <v>1.8691588785046828E-2</v>
      </c>
      <c r="L142" s="18">
        <f>IF(ISNUMBER(J142), $B145 * K142, "")</f>
        <v>1869.1588785046829</v>
      </c>
      <c r="M142" s="31">
        <v>10.9</v>
      </c>
      <c r="N142" s="32">
        <f t="shared" si="77"/>
        <v>1.8691588785046828E-2</v>
      </c>
      <c r="O142" s="18">
        <f>IF(ISNUMBER(M142), $B145 * N142, "")</f>
        <v>1869.1588785046829</v>
      </c>
      <c r="Q142" s="235"/>
      <c r="R142" s="235"/>
      <c r="S142" s="235"/>
    </row>
    <row r="143" spans="1:19">
      <c r="A143" s="125" t="s">
        <v>268</v>
      </c>
      <c r="B143" s="126">
        <v>52.7</v>
      </c>
      <c r="C143" s="77">
        <v>-4.5289855099999998E-2</v>
      </c>
      <c r="D143" s="15">
        <v>53.6</v>
      </c>
      <c r="E143" s="32">
        <f t="shared" si="74"/>
        <v>1.7077798861480049E-2</v>
      </c>
      <c r="F143" s="18">
        <f>IF(ISNUMBER(D143), $B145 * E143, "")</f>
        <v>1707.7798861480048</v>
      </c>
      <c r="G143" s="31">
        <v>53</v>
      </c>
      <c r="H143" s="32">
        <f t="shared" si="75"/>
        <v>5.6925996204933048E-3</v>
      </c>
      <c r="I143" s="101">
        <f>IF(ISNUMBER(G143), $B145 * H143, "")</f>
        <v>569.25996204933051</v>
      </c>
      <c r="J143" s="15">
        <v>53.6</v>
      </c>
      <c r="K143" s="32">
        <f t="shared" si="76"/>
        <v>1.7077798861480049E-2</v>
      </c>
      <c r="L143" s="18">
        <f>IF(ISNUMBER(J143), $B145 * K143, "")</f>
        <v>1707.7798861480048</v>
      </c>
      <c r="M143" s="31">
        <v>53.4</v>
      </c>
      <c r="N143" s="32">
        <f t="shared" si="77"/>
        <v>1.3282732447817755E-2</v>
      </c>
      <c r="O143" s="18">
        <f>IF(ISNUMBER(M143), $B145 * N143, "")</f>
        <v>1328.2732447817755</v>
      </c>
      <c r="Q143" s="224"/>
      <c r="R143" s="225"/>
      <c r="S143" s="226"/>
    </row>
    <row r="144" spans="1:19" ht="17.25" thickBot="1">
      <c r="A144" s="130" t="s">
        <v>172</v>
      </c>
      <c r="B144" s="131">
        <v>14.7</v>
      </c>
      <c r="C144" s="79">
        <v>-5.1612903199999997E-2</v>
      </c>
      <c r="D144" s="24">
        <v>15.2</v>
      </c>
      <c r="E144" s="25">
        <f t="shared" si="74"/>
        <v>3.4013605442176874E-2</v>
      </c>
      <c r="F144" s="104">
        <f>IF(ISNUMBER(D144), $B145 * E144, "")</f>
        <v>3401.3605442176872</v>
      </c>
      <c r="G144" s="102">
        <v>15</v>
      </c>
      <c r="H144" s="25">
        <f t="shared" si="75"/>
        <v>2.0408163265306173E-2</v>
      </c>
      <c r="I144" s="103">
        <f>IF(ISNUMBER(G144), $B145 * H144, "")</f>
        <v>2040.8163265306173</v>
      </c>
      <c r="J144" s="24">
        <v>15.2</v>
      </c>
      <c r="K144" s="25">
        <f t="shared" si="76"/>
        <v>3.4013605442176874E-2</v>
      </c>
      <c r="L144" s="104">
        <f>IF(ISNUMBER(J144), $B145 * K144, "")</f>
        <v>3401.3605442176872</v>
      </c>
      <c r="M144" s="102">
        <v>15.2</v>
      </c>
      <c r="N144" s="25">
        <f t="shared" si="77"/>
        <v>3.4013605442176874E-2</v>
      </c>
      <c r="O144" s="104">
        <f>IF(ISNUMBER(M144), $B145 * N144, "")</f>
        <v>3401.3605442176872</v>
      </c>
      <c r="Q144" s="227"/>
      <c r="R144" s="228"/>
      <c r="S144" s="229"/>
    </row>
    <row r="145" spans="1:19" ht="17.25" thickBot="1">
      <c r="A145" s="132" t="s">
        <v>300</v>
      </c>
      <c r="B145" s="288">
        <f>$B$37</f>
        <v>100000</v>
      </c>
      <c r="C145" s="289"/>
      <c r="D145" s="26" t="s">
        <v>301</v>
      </c>
      <c r="E145" s="27">
        <f>IF(COUNT(E125:E144), SUM(E125:E144) / COUNT(E125:E144), 0)</f>
        <v>2.1167985361319364E-2</v>
      </c>
      <c r="F145" s="28">
        <f>SUM(F125:F144)</f>
        <v>42335.970722638733</v>
      </c>
      <c r="G145" s="26" t="s">
        <v>301</v>
      </c>
      <c r="H145" s="27">
        <f>IF(COUNT(H125:H144), SUM(H125:H144) / COUNT(H125:H144), 0)</f>
        <v>1.18763616143751E-3</v>
      </c>
      <c r="I145" s="28">
        <f>SUM(I125:I144)</f>
        <v>2375.2723228750201</v>
      </c>
      <c r="J145" s="26" t="s">
        <v>301</v>
      </c>
      <c r="K145" s="27">
        <f>IF(COUNT(K125:K144), SUM(K125:K144) / COUNT(K125:K144), 0)</f>
        <v>1.0684072543424414E-2</v>
      </c>
      <c r="L145" s="28">
        <f>SUM(L125:L144)</f>
        <v>21368.145086848825</v>
      </c>
      <c r="M145" s="26" t="s">
        <v>301</v>
      </c>
      <c r="N145" s="27">
        <f>IF(COUNT(N125:N144), SUM(N125:N144) / COUNT(N125:N144), 0)</f>
        <v>9.2041999183524754E-3</v>
      </c>
      <c r="O145" s="28">
        <f>SUM(O125:O144)</f>
        <v>18408.399836704953</v>
      </c>
      <c r="Q145" s="230"/>
      <c r="R145" s="231"/>
      <c r="S145" s="232"/>
    </row>
    <row r="147" spans="1:19" ht="17.25" thickBot="1"/>
    <row r="148" spans="1:19" ht="17.25" thickBot="1">
      <c r="A148" s="246" t="s">
        <v>289</v>
      </c>
      <c r="B148" s="247"/>
      <c r="C148" s="247"/>
      <c r="D148" s="247"/>
      <c r="E148" s="247"/>
      <c r="F148" s="247"/>
      <c r="G148" s="247"/>
      <c r="H148" s="247"/>
      <c r="I148" s="247"/>
      <c r="J148" s="247"/>
      <c r="K148" s="247"/>
      <c r="L148" s="247"/>
      <c r="M148" s="247"/>
      <c r="N148" s="247"/>
      <c r="O148" s="248"/>
      <c r="Q148" s="245"/>
      <c r="R148" s="245"/>
      <c r="S148" s="245"/>
    </row>
    <row r="149" spans="1:19" ht="17.25" thickBot="1">
      <c r="A149" s="157" t="s">
        <v>297</v>
      </c>
      <c r="B149" s="246" t="s">
        <v>49</v>
      </c>
      <c r="C149" s="248"/>
      <c r="D149" s="246" t="s">
        <v>58</v>
      </c>
      <c r="E149" s="247"/>
      <c r="F149" s="248"/>
      <c r="G149" s="249">
        <f>_xlfn.IFNA(VLOOKUP(B149, 현재가테이블!$B$2:$D$200, 2, FALSE), "-")</f>
        <v>45335000</v>
      </c>
      <c r="H149" s="250"/>
      <c r="I149" s="251"/>
      <c r="J149" s="246" t="s">
        <v>59</v>
      </c>
      <c r="K149" s="247"/>
      <c r="L149" s="248"/>
      <c r="M149" s="252">
        <f>_xlfn.IFNA(VLOOKUP(B149, 현재가테이블!$B$2:$D$200, 3, FALSE), "-")</f>
        <v>-2.27209037E-2</v>
      </c>
      <c r="N149" s="253"/>
      <c r="O149" s="254"/>
      <c r="Q149" s="245"/>
      <c r="R149" s="245"/>
      <c r="S149" s="245"/>
    </row>
    <row r="150" spans="1:19" ht="17.25" thickBot="1">
      <c r="A150" s="290" t="s">
        <v>55</v>
      </c>
      <c r="B150" s="286" t="str">
        <f>TEXT($G$1, "[$-ko-KR]yyyy-mm-dd(ddd) ") &amp; "오전 00:00"</f>
        <v>2021-06-01(화) 오전 00:00</v>
      </c>
      <c r="C150" s="287"/>
      <c r="D150" s="259" t="str">
        <f>TEXT($G$1, "[$-ko-KR]yyyy-mm-dd(ddd) ") &amp; "오후 14:00"</f>
        <v>2021-06-01(화) 오후 14:00</v>
      </c>
      <c r="E150" s="260"/>
      <c r="F150" s="261"/>
      <c r="G150" s="259" t="str">
        <f>TEXT($G$1, "[$-ko-KR]yyyy-mm-dd(ddd) ") &amp; "오후 19:00"</f>
        <v>2021-06-01(화) 오후 19:00</v>
      </c>
      <c r="H150" s="260"/>
      <c r="I150" s="261"/>
      <c r="J150" s="259" t="str">
        <f>TEXT($G$1, "[$-ko-KR]yyyy-mm-dd(ddd) ") &amp; "오후 21:00"</f>
        <v>2021-06-01(화) 오후 21:00</v>
      </c>
      <c r="K150" s="260"/>
      <c r="L150" s="261"/>
      <c r="M150" s="259" t="str">
        <f>TEXT($G$1+1, "[$-ko-KR]yyyy-mm-dd(ddd) ") &amp; "오전 00:00"</f>
        <v>2021-06-02(수) 오전 00:00</v>
      </c>
      <c r="N150" s="260"/>
      <c r="O150" s="261"/>
      <c r="Q150" s="245"/>
      <c r="R150" s="245"/>
      <c r="S150" s="245"/>
    </row>
    <row r="151" spans="1:19" ht="17.25" thickBot="1">
      <c r="A151" s="291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58" t="s">
        <v>58</v>
      </c>
      <c r="H151" s="159" t="s">
        <v>298</v>
      </c>
      <c r="I151" s="160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5"/>
      <c r="R151" s="235"/>
      <c r="S151" s="235"/>
    </row>
    <row r="152" spans="1:19" ht="17.25" thickBot="1">
      <c r="A152" s="123" t="s">
        <v>112</v>
      </c>
      <c r="B152" s="124">
        <v>161</v>
      </c>
      <c r="C152" s="76">
        <v>-2.4242424200000001E-2</v>
      </c>
      <c r="D152" s="13">
        <v>165</v>
      </c>
      <c r="E152" s="14">
        <f>IF(ISNUMBER(D152), (D152 - $B152) / $B152, "")</f>
        <v>2.4844720496894408E-2</v>
      </c>
      <c r="F152" s="16">
        <f>IF(ISNUMBER(D152), $B172 * E152, "")</f>
        <v>2484.4720496894406</v>
      </c>
      <c r="G152" s="29">
        <v>161</v>
      </c>
      <c r="H152" s="14">
        <f>IF(ISNUMBER(G152), (G152 - $B152) / $B152, "")</f>
        <v>0</v>
      </c>
      <c r="I152" s="100">
        <f>IF(ISNUMBER(G152), $B172 * H152, "")</f>
        <v>0</v>
      </c>
      <c r="J152" s="13">
        <v>162</v>
      </c>
      <c r="K152" s="14">
        <f>IF(ISNUMBER(J152), (J152 - $B152) / $B152, "")</f>
        <v>6.2111801242236021E-3</v>
      </c>
      <c r="L152" s="16">
        <f>IF(ISNUMBER(J152), $B172 * K152, "")</f>
        <v>621.11801242236015</v>
      </c>
      <c r="M152" s="29">
        <v>161</v>
      </c>
      <c r="N152" s="14">
        <f>IF(ISNUMBER(M152), (M152 - $B152) / $B152, "")</f>
        <v>0</v>
      </c>
      <c r="O152" s="16">
        <f>IF(ISNUMBER(M152), $B172 * N152, "")</f>
        <v>0</v>
      </c>
      <c r="Q152" s="245"/>
      <c r="R152" s="245"/>
      <c r="S152" s="245"/>
    </row>
    <row r="153" spans="1:19" ht="17.25" thickBot="1">
      <c r="A153" s="125" t="s">
        <v>216</v>
      </c>
      <c r="B153" s="126">
        <v>287</v>
      </c>
      <c r="C153" s="77">
        <v>-3.0405405399999998E-2</v>
      </c>
      <c r="D153" s="15">
        <v>291</v>
      </c>
      <c r="E153" s="32">
        <f t="shared" ref="E153:E156" si="78">IF(ISNUMBER(D153), (D153 - $B153) / $B153, "")</f>
        <v>1.3937282229965157E-2</v>
      </c>
      <c r="F153" s="18">
        <f>IF(ISNUMBER(D153), $B172 * E153, "")</f>
        <v>1393.7282229965156</v>
      </c>
      <c r="G153" s="31">
        <v>284</v>
      </c>
      <c r="H153" s="32">
        <f t="shared" ref="H153:H156" si="79">IF(ISNUMBER(G153), (G153 - $B153) / $B153, "")</f>
        <v>-1.0452961672473868E-2</v>
      </c>
      <c r="I153" s="101">
        <f>IF(ISNUMBER(G153), $B172 * H153, "")</f>
        <v>-1045.2961672473868</v>
      </c>
      <c r="J153" s="15">
        <v>288</v>
      </c>
      <c r="K153" s="32">
        <f t="shared" ref="K153:K156" si="80">IF(ISNUMBER(J153), (J153 - $B153) / $B153, "")</f>
        <v>3.4843205574912892E-3</v>
      </c>
      <c r="L153" s="18">
        <f>IF(ISNUMBER(J153), $B172 * K153, "")</f>
        <v>348.43205574912889</v>
      </c>
      <c r="M153" s="31">
        <v>291</v>
      </c>
      <c r="N153" s="32">
        <f t="shared" ref="N153:N156" si="81">IF(ISNUMBER(M153), (M153 - $B153) / $B153, "")</f>
        <v>1.3937282229965157E-2</v>
      </c>
      <c r="O153" s="18">
        <f>IF(ISNUMBER(M153), $B172 * N153, "")</f>
        <v>1393.7282229965156</v>
      </c>
      <c r="Q153" s="245"/>
      <c r="R153" s="245"/>
      <c r="S153" s="245"/>
    </row>
    <row r="154" spans="1:19" ht="17.25" thickBot="1">
      <c r="A154" s="125" t="s">
        <v>182</v>
      </c>
      <c r="B154" s="126">
        <v>293</v>
      </c>
      <c r="C154" s="77">
        <v>-3.3003300300000003E-2</v>
      </c>
      <c r="D154" s="15">
        <v>300</v>
      </c>
      <c r="E154" s="32">
        <f t="shared" si="78"/>
        <v>2.3890784982935155E-2</v>
      </c>
      <c r="F154" s="18">
        <f>IF(ISNUMBER(D154), $B172 * E154, "")</f>
        <v>2389.0784982935156</v>
      </c>
      <c r="G154" s="31">
        <v>298</v>
      </c>
      <c r="H154" s="32">
        <f t="shared" si="79"/>
        <v>1.7064846416382253E-2</v>
      </c>
      <c r="I154" s="101">
        <f>IF(ISNUMBER(G154), $B172 * H154, "")</f>
        <v>1706.4846416382254</v>
      </c>
      <c r="J154" s="15">
        <v>299</v>
      </c>
      <c r="K154" s="32">
        <f t="shared" si="80"/>
        <v>2.0477815699658702E-2</v>
      </c>
      <c r="L154" s="18">
        <f>IF(ISNUMBER(J154), $B172 * K154, "")</f>
        <v>2047.7815699658702</v>
      </c>
      <c r="M154" s="31">
        <v>297</v>
      </c>
      <c r="N154" s="32">
        <f t="shared" si="81"/>
        <v>1.3651877133105802E-2</v>
      </c>
      <c r="O154" s="18">
        <f>IF(ISNUMBER(M154), $B172 * N154, "")</f>
        <v>1365.1877133105802</v>
      </c>
      <c r="Q154" s="235"/>
      <c r="R154" s="235"/>
      <c r="S154" s="235"/>
    </row>
    <row r="155" spans="1:19" ht="17.25" thickBot="1">
      <c r="A155" s="125" t="s">
        <v>256</v>
      </c>
      <c r="B155" s="126">
        <v>174</v>
      </c>
      <c r="C155" s="77">
        <v>-3.3333333299999997E-2</v>
      </c>
      <c r="D155" s="15">
        <v>177</v>
      </c>
      <c r="E155" s="32">
        <f t="shared" si="78"/>
        <v>1.7241379310344827E-2</v>
      </c>
      <c r="F155" s="18">
        <f>IF(ISNUMBER(D155), $B172 * E155, "")</f>
        <v>1724.1379310344828</v>
      </c>
      <c r="G155" s="31">
        <v>176</v>
      </c>
      <c r="H155" s="32">
        <f t="shared" si="79"/>
        <v>1.1494252873563218E-2</v>
      </c>
      <c r="I155" s="101">
        <f>IF(ISNUMBER(G155), $B172 * H155, "")</f>
        <v>1149.4252873563219</v>
      </c>
      <c r="J155" s="15">
        <v>176</v>
      </c>
      <c r="K155" s="32">
        <f t="shared" si="80"/>
        <v>1.1494252873563218E-2</v>
      </c>
      <c r="L155" s="18">
        <f>IF(ISNUMBER(J155), $B172 * K155, "")</f>
        <v>1149.4252873563219</v>
      </c>
      <c r="M155" s="31">
        <v>175</v>
      </c>
      <c r="N155" s="32">
        <f t="shared" si="81"/>
        <v>5.7471264367816091E-3</v>
      </c>
      <c r="O155" s="18">
        <f>IF(ISNUMBER(M155), $B172 * N155, "")</f>
        <v>574.71264367816093</v>
      </c>
      <c r="Q155" s="235"/>
      <c r="R155" s="235"/>
      <c r="S155" s="235"/>
    </row>
    <row r="156" spans="1:19" ht="17.25" thickBot="1">
      <c r="A156" s="127" t="s">
        <v>250</v>
      </c>
      <c r="B156" s="128">
        <v>115</v>
      </c>
      <c r="C156" s="78">
        <v>-3.3613445399999997E-2</v>
      </c>
      <c r="D156" s="20">
        <v>115</v>
      </c>
      <c r="E156" s="21">
        <f t="shared" si="78"/>
        <v>0</v>
      </c>
      <c r="F156" s="22">
        <f>IF(ISNUMBER(D156), $B172 * E156, "")</f>
        <v>0</v>
      </c>
      <c r="G156" s="30">
        <v>115</v>
      </c>
      <c r="H156" s="21">
        <f t="shared" si="79"/>
        <v>0</v>
      </c>
      <c r="I156" s="105">
        <f>IF(ISNUMBER(G156), $B172 * H156, "")</f>
        <v>0</v>
      </c>
      <c r="J156" s="20">
        <v>116</v>
      </c>
      <c r="K156" s="21">
        <f t="shared" si="80"/>
        <v>8.6956521739130436E-3</v>
      </c>
      <c r="L156" s="22">
        <f>IF(ISNUMBER(J156), $B172 * K156, "")</f>
        <v>869.56521739130437</v>
      </c>
      <c r="M156" s="30">
        <v>116</v>
      </c>
      <c r="N156" s="21">
        <f t="shared" si="81"/>
        <v>8.6956521739130436E-3</v>
      </c>
      <c r="O156" s="22">
        <f>IF(ISNUMBER(M156), $B172 * N156, "")</f>
        <v>869.56521739130437</v>
      </c>
      <c r="Q156" s="235"/>
      <c r="R156" s="235"/>
      <c r="S156" s="235"/>
    </row>
    <row r="157" spans="1:19" ht="17.25" thickBot="1">
      <c r="A157" s="125" t="s">
        <v>282</v>
      </c>
      <c r="B157" s="129">
        <v>113</v>
      </c>
      <c r="C157" s="80">
        <v>-3.4188034200000002E-2</v>
      </c>
      <c r="D157" s="106">
        <v>114</v>
      </c>
      <c r="E157" s="107">
        <f>IF(ISNUMBER(D157), (D157 - $B157) / $B157, "")</f>
        <v>8.8495575221238937E-3</v>
      </c>
      <c r="F157" s="108">
        <f>IF(ISNUMBER(D157), $B172 * E157, "")</f>
        <v>884.95575221238937</v>
      </c>
      <c r="G157" s="109">
        <v>111</v>
      </c>
      <c r="H157" s="107">
        <f>IF(ISNUMBER(G157), (G157 - $B157) / $B157, "")</f>
        <v>-1.7699115044247787E-2</v>
      </c>
      <c r="I157" s="110">
        <f>IF(ISNUMBER(G157), $B172 * H157, "")</f>
        <v>-1769.9115044247787</v>
      </c>
      <c r="J157" s="106">
        <v>112</v>
      </c>
      <c r="K157" s="107">
        <f>IF(ISNUMBER(J157), (J157 - $B157) / $B157, "")</f>
        <v>-8.8495575221238937E-3</v>
      </c>
      <c r="L157" s="108">
        <f>IF(ISNUMBER(J157), $B172 * K157, "")</f>
        <v>-884.95575221238937</v>
      </c>
      <c r="M157" s="109">
        <v>111</v>
      </c>
      <c r="N157" s="107">
        <f>IF(ISNUMBER(M157), (M157 - $B157) / $B157, "")</f>
        <v>-1.7699115044247787E-2</v>
      </c>
      <c r="O157" s="108">
        <f>IF(ISNUMBER(M157), $B172 * N157, "")</f>
        <v>-1769.9115044247787</v>
      </c>
      <c r="Q157" s="235"/>
      <c r="R157" s="235"/>
      <c r="S157" s="235"/>
    </row>
    <row r="158" spans="1:19" ht="17.25" thickBot="1">
      <c r="A158" s="125" t="s">
        <v>284</v>
      </c>
      <c r="B158" s="126">
        <v>251</v>
      </c>
      <c r="C158" s="77">
        <v>-3.46153846E-2</v>
      </c>
      <c r="D158" s="15">
        <v>257</v>
      </c>
      <c r="E158" s="32">
        <f t="shared" ref="E158:E161" si="82">IF(ISNUMBER(D158), (D158 - $B158) / $B158, "")</f>
        <v>2.3904382470119521E-2</v>
      </c>
      <c r="F158" s="18">
        <f>IF(ISNUMBER(D158), $B172 * E158, "")</f>
        <v>2390.4382470119522</v>
      </c>
      <c r="G158" s="31">
        <v>253</v>
      </c>
      <c r="H158" s="32">
        <f t="shared" ref="H158:H161" si="83">IF(ISNUMBER(G158), (G158 - $B158) / $B158, "")</f>
        <v>7.9681274900398405E-3</v>
      </c>
      <c r="I158" s="101">
        <f>IF(ISNUMBER(G158), $B172 * H158, "")</f>
        <v>796.81274900398409</v>
      </c>
      <c r="J158" s="15">
        <v>254</v>
      </c>
      <c r="K158" s="32">
        <f t="shared" ref="K158:K161" si="84">IF(ISNUMBER(J158), (J158 - $B158) / $B158, "")</f>
        <v>1.1952191235059761E-2</v>
      </c>
      <c r="L158" s="18">
        <f>IF(ISNUMBER(J158), $B172 * K158, "")</f>
        <v>1195.2191235059761</v>
      </c>
      <c r="M158" s="31">
        <v>252</v>
      </c>
      <c r="N158" s="32">
        <f t="shared" ref="N158:N161" si="85">IF(ISNUMBER(M158), (M158 - $B158) / $B158, "")</f>
        <v>3.9840637450199202E-3</v>
      </c>
      <c r="O158" s="18">
        <f>IF(ISNUMBER(M158), $B172 * N158, "")</f>
        <v>398.40637450199205</v>
      </c>
      <c r="Q158" s="235"/>
      <c r="R158" s="235"/>
      <c r="S158" s="235"/>
    </row>
    <row r="159" spans="1:19" ht="17.25" thickBot="1">
      <c r="A159" s="125" t="s">
        <v>208</v>
      </c>
      <c r="B159" s="126">
        <v>331</v>
      </c>
      <c r="C159" s="77">
        <v>-3.4985422699999998E-2</v>
      </c>
      <c r="D159" s="15">
        <v>341</v>
      </c>
      <c r="E159" s="32">
        <f t="shared" si="82"/>
        <v>3.0211480362537766E-2</v>
      </c>
      <c r="F159" s="18">
        <f>IF(ISNUMBER(D159), $B172 * E159, "")</f>
        <v>3021.1480362537768</v>
      </c>
      <c r="G159" s="31">
        <v>332</v>
      </c>
      <c r="H159" s="32">
        <f t="shared" si="83"/>
        <v>3.0211480362537764E-3</v>
      </c>
      <c r="I159" s="101">
        <f>IF(ISNUMBER(G159), $B172 * H159, "")</f>
        <v>302.11480362537765</v>
      </c>
      <c r="J159" s="15">
        <v>336</v>
      </c>
      <c r="K159" s="32">
        <f t="shared" si="84"/>
        <v>1.5105740181268883E-2</v>
      </c>
      <c r="L159" s="18">
        <f>IF(ISNUMBER(J159), $B172 * K159, "")</f>
        <v>1510.5740181268884</v>
      </c>
      <c r="M159" s="31">
        <v>332</v>
      </c>
      <c r="N159" s="32">
        <f t="shared" si="85"/>
        <v>3.0211480362537764E-3</v>
      </c>
      <c r="O159" s="18">
        <f>IF(ISNUMBER(M159), $B172 * N159, "")</f>
        <v>302.11480362537765</v>
      </c>
      <c r="Q159" s="235"/>
      <c r="R159" s="235"/>
      <c r="S159" s="235"/>
    </row>
    <row r="160" spans="1:19" ht="17.25" thickBot="1">
      <c r="A160" s="125" t="s">
        <v>170</v>
      </c>
      <c r="B160" s="126">
        <v>290</v>
      </c>
      <c r="C160" s="77">
        <v>-3.6544850500000003E-2</v>
      </c>
      <c r="D160" s="15">
        <v>303</v>
      </c>
      <c r="E160" s="32">
        <f t="shared" si="82"/>
        <v>4.4827586206896551E-2</v>
      </c>
      <c r="F160" s="18">
        <f>IF(ISNUMBER(D160), $B172 * E160, "")</f>
        <v>4482.7586206896549</v>
      </c>
      <c r="G160" s="31">
        <v>295</v>
      </c>
      <c r="H160" s="32">
        <f t="shared" si="83"/>
        <v>1.7241379310344827E-2</v>
      </c>
      <c r="I160" s="101">
        <f>IF(ISNUMBER(G160), $B172 * H160, "")</f>
        <v>1724.1379310344828</v>
      </c>
      <c r="J160" s="15">
        <v>297</v>
      </c>
      <c r="K160" s="32">
        <f t="shared" si="84"/>
        <v>2.4137931034482758E-2</v>
      </c>
      <c r="L160" s="18">
        <f>IF(ISNUMBER(J160), $B172 * K160, "")</f>
        <v>2413.7931034482758</v>
      </c>
      <c r="M160" s="31">
        <v>295</v>
      </c>
      <c r="N160" s="32">
        <f t="shared" si="85"/>
        <v>1.7241379310344827E-2</v>
      </c>
      <c r="O160" s="18">
        <f>IF(ISNUMBER(M160), $B172 * N160, "")</f>
        <v>1724.1379310344828</v>
      </c>
      <c r="Q160" s="33"/>
      <c r="R160" s="33"/>
    </row>
    <row r="161" spans="1:19" ht="17.25" thickBot="1">
      <c r="A161" s="130" t="s">
        <v>200</v>
      </c>
      <c r="B161" s="131">
        <v>209</v>
      </c>
      <c r="C161" s="79">
        <v>-3.68663594E-2</v>
      </c>
      <c r="D161" s="24">
        <v>213</v>
      </c>
      <c r="E161" s="25">
        <f t="shared" si="82"/>
        <v>1.9138755980861243E-2</v>
      </c>
      <c r="F161" s="104">
        <f>IF(ISNUMBER(D161), $B172 * E161, "")</f>
        <v>1913.8755980861242</v>
      </c>
      <c r="G161" s="102">
        <v>210</v>
      </c>
      <c r="H161" s="25">
        <f t="shared" si="83"/>
        <v>4.7846889952153108E-3</v>
      </c>
      <c r="I161" s="103">
        <f>IF(ISNUMBER(G161), $B172 * H161, "")</f>
        <v>478.46889952153106</v>
      </c>
      <c r="J161" s="24">
        <v>211</v>
      </c>
      <c r="K161" s="25">
        <f t="shared" si="84"/>
        <v>9.5693779904306216E-3</v>
      </c>
      <c r="L161" s="104">
        <f>IF(ISNUMBER(J161), $B172 * K161, "")</f>
        <v>956.93779904306211</v>
      </c>
      <c r="M161" s="102">
        <v>211</v>
      </c>
      <c r="N161" s="25">
        <f t="shared" si="85"/>
        <v>9.5693779904306216E-3</v>
      </c>
      <c r="O161" s="104">
        <f>IF(ISNUMBER(M161), $B172 * N161, "")</f>
        <v>956.93779904306211</v>
      </c>
      <c r="Q161" s="236"/>
      <c r="R161" s="237"/>
      <c r="S161" s="238"/>
    </row>
    <row r="162" spans="1:19">
      <c r="A162" s="123" t="s">
        <v>258</v>
      </c>
      <c r="B162" s="124">
        <v>494</v>
      </c>
      <c r="C162" s="76">
        <v>-3.7037037000000002E-2</v>
      </c>
      <c r="D162" s="13">
        <v>499</v>
      </c>
      <c r="E162" s="14">
        <f>IF(ISNUMBER(D162), (D162 - $B162) / $B162, "")</f>
        <v>1.0121457489878543E-2</v>
      </c>
      <c r="F162" s="16">
        <f>IF(ISNUMBER(D162), $B172 * E162, "")</f>
        <v>1012.1457489878543</v>
      </c>
      <c r="G162" s="29">
        <v>492</v>
      </c>
      <c r="H162" s="14">
        <f>IF(ISNUMBER(G162), (G162 - $B162) / $B162, "")</f>
        <v>-4.048582995951417E-3</v>
      </c>
      <c r="I162" s="100">
        <f>IF(ISNUMBER(G162), $B172 * H162, "")</f>
        <v>-404.85829959514172</v>
      </c>
      <c r="J162" s="13">
        <v>497</v>
      </c>
      <c r="K162" s="14">
        <f>IF(ISNUMBER(J162), (J162 - $B162) / $B162, "")</f>
        <v>6.0728744939271256E-3</v>
      </c>
      <c r="L162" s="16">
        <f>IF(ISNUMBER(J162), $B172 * K162, "")</f>
        <v>607.28744939271257</v>
      </c>
      <c r="M162" s="29">
        <v>492</v>
      </c>
      <c r="N162" s="14">
        <f>IF(ISNUMBER(M162), (M162 - $B162) / $B162, "")</f>
        <v>-4.048582995951417E-3</v>
      </c>
      <c r="O162" s="16">
        <f>IF(ISNUMBER(M162), $B172 * N162, "")</f>
        <v>-404.85829959514172</v>
      </c>
      <c r="Q162" s="239"/>
      <c r="R162" s="240"/>
      <c r="S162" s="241"/>
    </row>
    <row r="163" spans="1:19" ht="17.25" thickBot="1">
      <c r="A163" s="125" t="s">
        <v>240</v>
      </c>
      <c r="B163" s="126">
        <v>124</v>
      </c>
      <c r="C163" s="77">
        <v>-3.8759689899999998E-2</v>
      </c>
      <c r="D163" s="15">
        <v>126</v>
      </c>
      <c r="E163" s="32">
        <f t="shared" ref="E163:E166" si="86">IF(ISNUMBER(D163), (D163 - $B163) / $B163, "")</f>
        <v>1.6129032258064516E-2</v>
      </c>
      <c r="F163" s="18">
        <f>IF(ISNUMBER(D163), $B172 * E163, "")</f>
        <v>1612.9032258064515</v>
      </c>
      <c r="G163" s="31">
        <v>123</v>
      </c>
      <c r="H163" s="32">
        <f t="shared" ref="H163:H166" si="87">IF(ISNUMBER(G163), (G163 - $B163) / $B163, "")</f>
        <v>-8.0645161290322578E-3</v>
      </c>
      <c r="I163" s="101">
        <f>IF(ISNUMBER(G163), $B172 * H163, "")</f>
        <v>-806.45161290322574</v>
      </c>
      <c r="J163" s="15">
        <v>125</v>
      </c>
      <c r="K163" s="32">
        <f t="shared" ref="K163:K166" si="88">IF(ISNUMBER(J163), (J163 - $B163) / $B163, "")</f>
        <v>8.0645161290322578E-3</v>
      </c>
      <c r="L163" s="18">
        <f>IF(ISNUMBER(J163), $B172 * K163, "")</f>
        <v>806.45161290322574</v>
      </c>
      <c r="M163" s="31">
        <v>128</v>
      </c>
      <c r="N163" s="32">
        <f t="shared" ref="N163:N166" si="89">IF(ISNUMBER(M163), (M163 - $B163) / $B163, "")</f>
        <v>3.2258064516129031E-2</v>
      </c>
      <c r="O163" s="18">
        <f>IF(ISNUMBER(M163), $B172 * N163, "")</f>
        <v>3225.8064516129029</v>
      </c>
      <c r="Q163" s="242"/>
      <c r="R163" s="243"/>
      <c r="S163" s="244"/>
    </row>
    <row r="164" spans="1:19" ht="17.25" thickBot="1">
      <c r="A164" s="125" t="s">
        <v>202</v>
      </c>
      <c r="B164" s="126">
        <v>120</v>
      </c>
      <c r="C164" s="77">
        <v>-0.04</v>
      </c>
      <c r="D164" s="15">
        <v>124</v>
      </c>
      <c r="E164" s="32">
        <f t="shared" si="86"/>
        <v>3.3333333333333333E-2</v>
      </c>
      <c r="F164" s="18">
        <f>IF(ISNUMBER(D164), $B172 * E164, "")</f>
        <v>3333.3333333333335</v>
      </c>
      <c r="G164" s="31">
        <v>120</v>
      </c>
      <c r="H164" s="32">
        <f t="shared" si="87"/>
        <v>0</v>
      </c>
      <c r="I164" s="101">
        <f>IF(ISNUMBER(G164), $B172 * H164, "")</f>
        <v>0</v>
      </c>
      <c r="J164" s="15">
        <v>121</v>
      </c>
      <c r="K164" s="32">
        <f t="shared" si="88"/>
        <v>8.3333333333333332E-3</v>
      </c>
      <c r="L164" s="18">
        <f>IF(ISNUMBER(J164), $B172 * K164, "")</f>
        <v>833.33333333333337</v>
      </c>
      <c r="M164" s="31">
        <v>121</v>
      </c>
      <c r="N164" s="32">
        <f t="shared" si="89"/>
        <v>8.3333333333333332E-3</v>
      </c>
      <c r="O164" s="18">
        <f>IF(ISNUMBER(M164), $B172 * N164, "")</f>
        <v>833.33333333333337</v>
      </c>
      <c r="Q164" s="235"/>
      <c r="R164" s="235"/>
      <c r="S164" s="235"/>
    </row>
    <row r="165" spans="1:19" ht="17.25" thickBot="1">
      <c r="A165" s="125" t="s">
        <v>232</v>
      </c>
      <c r="B165" s="126">
        <v>113</v>
      </c>
      <c r="C165" s="77">
        <v>-4.23728814E-2</v>
      </c>
      <c r="D165" s="15">
        <v>115</v>
      </c>
      <c r="E165" s="32">
        <f t="shared" si="86"/>
        <v>1.7699115044247787E-2</v>
      </c>
      <c r="F165" s="18">
        <f>IF(ISNUMBER(D165), $B172 * E165, "")</f>
        <v>1769.9115044247787</v>
      </c>
      <c r="G165" s="31">
        <v>113</v>
      </c>
      <c r="H165" s="32">
        <f t="shared" si="87"/>
        <v>0</v>
      </c>
      <c r="I165" s="101">
        <f>IF(ISNUMBER(G165), $B172 * H165, "")</f>
        <v>0</v>
      </c>
      <c r="J165" s="15">
        <v>115</v>
      </c>
      <c r="K165" s="32">
        <f t="shared" si="88"/>
        <v>1.7699115044247787E-2</v>
      </c>
      <c r="L165" s="18">
        <f>IF(ISNUMBER(J165), $B172 * K165, "")</f>
        <v>1769.9115044247787</v>
      </c>
      <c r="M165" s="31">
        <v>115</v>
      </c>
      <c r="N165" s="32">
        <f t="shared" si="89"/>
        <v>1.7699115044247787E-2</v>
      </c>
      <c r="O165" s="18">
        <f>IF(ISNUMBER(M165), $B172 * N165, "")</f>
        <v>1769.9115044247787</v>
      </c>
      <c r="Q165" s="245"/>
      <c r="R165" s="245"/>
      <c r="S165" s="245"/>
    </row>
    <row r="166" spans="1:19" ht="17.25" thickBot="1">
      <c r="A166" s="127" t="s">
        <v>226</v>
      </c>
      <c r="B166" s="128">
        <v>291</v>
      </c>
      <c r="C166" s="78">
        <v>-4.2763157900000001E-2</v>
      </c>
      <c r="D166" s="20">
        <v>322</v>
      </c>
      <c r="E166" s="21">
        <f t="shared" si="86"/>
        <v>0.10652920962199312</v>
      </c>
      <c r="F166" s="22">
        <f>IF(ISNUMBER(D166), $B172 * E166, "")</f>
        <v>10652.920962199312</v>
      </c>
      <c r="G166" s="30">
        <v>317</v>
      </c>
      <c r="H166" s="21">
        <f t="shared" si="87"/>
        <v>8.9347079037800689E-2</v>
      </c>
      <c r="I166" s="105">
        <f>IF(ISNUMBER(G166), $B172 * H166, "")</f>
        <v>8934.7079037800686</v>
      </c>
      <c r="J166" s="20">
        <v>318</v>
      </c>
      <c r="K166" s="21">
        <f t="shared" si="88"/>
        <v>9.2783505154639179E-2</v>
      </c>
      <c r="L166" s="22">
        <f>IF(ISNUMBER(J166), $B172 * K166, "")</f>
        <v>9278.350515463917</v>
      </c>
      <c r="M166" s="30">
        <v>308</v>
      </c>
      <c r="N166" s="21">
        <f t="shared" si="89"/>
        <v>5.8419243986254296E-2</v>
      </c>
      <c r="O166" s="22">
        <f>IF(ISNUMBER(M166), $B172 * N166, "")</f>
        <v>5841.9243986254296</v>
      </c>
      <c r="Q166" s="245"/>
      <c r="R166" s="245"/>
      <c r="S166" s="245"/>
    </row>
    <row r="167" spans="1:19" ht="17.25" thickBot="1">
      <c r="A167" s="125" t="s">
        <v>210</v>
      </c>
      <c r="B167" s="129">
        <v>131</v>
      </c>
      <c r="C167" s="80">
        <v>-4.3795620399999999E-2</v>
      </c>
      <c r="D167" s="106">
        <v>133</v>
      </c>
      <c r="E167" s="107">
        <f>IF(ISNUMBER(D167), (D167 - $B167) / $B167, "")</f>
        <v>1.5267175572519083E-2</v>
      </c>
      <c r="F167" s="108">
        <f>IF(ISNUMBER(D167), $B172 * E167, "")</f>
        <v>1526.7175572519084</v>
      </c>
      <c r="G167" s="109">
        <v>130</v>
      </c>
      <c r="H167" s="107">
        <f>IF(ISNUMBER(G167), (G167 - $B167) / $B167, "")</f>
        <v>-7.6335877862595417E-3</v>
      </c>
      <c r="I167" s="110">
        <f>IF(ISNUMBER(G167), $B172 * H167, "")</f>
        <v>-763.35877862595419</v>
      </c>
      <c r="J167" s="106">
        <v>131</v>
      </c>
      <c r="K167" s="107">
        <f>IF(ISNUMBER(J167), (J167 - $B167) / $B167, "")</f>
        <v>0</v>
      </c>
      <c r="L167" s="108">
        <f>IF(ISNUMBER(J167), $B172 * K167, "")</f>
        <v>0</v>
      </c>
      <c r="M167" s="109">
        <v>133</v>
      </c>
      <c r="N167" s="107">
        <f>IF(ISNUMBER(M167), (M167 - $B167) / $B167, "")</f>
        <v>1.5267175572519083E-2</v>
      </c>
      <c r="O167" s="108">
        <f>IF(ISNUMBER(M167), $B172 * N167, "")</f>
        <v>1526.7175572519084</v>
      </c>
      <c r="Q167" s="235"/>
      <c r="R167" s="235"/>
      <c r="S167" s="235"/>
    </row>
    <row r="168" spans="1:19" ht="17.25" thickBot="1">
      <c r="A168" s="125" t="s">
        <v>234</v>
      </c>
      <c r="B168" s="126">
        <v>845</v>
      </c>
      <c r="C168" s="77">
        <v>-4.4117647099999997E-2</v>
      </c>
      <c r="D168" s="15">
        <v>850</v>
      </c>
      <c r="E168" s="32">
        <f t="shared" ref="E168:E171" si="90">IF(ISNUMBER(D168), (D168 - $B168) / $B168, "")</f>
        <v>5.9171597633136093E-3</v>
      </c>
      <c r="F168" s="18">
        <f>IF(ISNUMBER(D168), $B172 * E168, "")</f>
        <v>591.71597633136093</v>
      </c>
      <c r="G168" s="31">
        <v>841</v>
      </c>
      <c r="H168" s="32">
        <f t="shared" ref="H168:H171" si="91">IF(ISNUMBER(G168), (G168 - $B168) / $B168, "")</f>
        <v>-4.7337278106508876E-3</v>
      </c>
      <c r="I168" s="101">
        <f>IF(ISNUMBER(G168), $B172 * H168, "")</f>
        <v>-473.37278106508876</v>
      </c>
      <c r="J168" s="15">
        <v>840</v>
      </c>
      <c r="K168" s="32">
        <f t="shared" ref="K168:K171" si="92">IF(ISNUMBER(J168), (J168 - $B168) / $B168, "")</f>
        <v>-5.9171597633136093E-3</v>
      </c>
      <c r="L168" s="18">
        <f>IF(ISNUMBER(J168), $B172 * K168, "")</f>
        <v>-591.71597633136093</v>
      </c>
      <c r="M168" s="31">
        <v>846</v>
      </c>
      <c r="N168" s="32">
        <f t="shared" ref="N168:N171" si="93">IF(ISNUMBER(M168), (M168 - $B168) / $B168, "")</f>
        <v>1.1834319526627219E-3</v>
      </c>
      <c r="O168" s="18">
        <f>IF(ISNUMBER(M168), $B172 * N168, "")</f>
        <v>118.34319526627219</v>
      </c>
      <c r="Q168" s="235"/>
      <c r="R168" s="235"/>
      <c r="S168" s="235"/>
    </row>
    <row r="169" spans="1:19" ht="17.25" thickBot="1">
      <c r="A169" s="125" t="s">
        <v>252</v>
      </c>
      <c r="B169" s="126">
        <v>303</v>
      </c>
      <c r="C169" s="77">
        <v>-4.4164037900000001E-2</v>
      </c>
      <c r="D169" s="15">
        <v>308</v>
      </c>
      <c r="E169" s="32">
        <f t="shared" si="90"/>
        <v>1.65016501650165E-2</v>
      </c>
      <c r="F169" s="18">
        <f>IF(ISNUMBER(D169), $B172 * E169, "")</f>
        <v>1650.1650165016499</v>
      </c>
      <c r="G169" s="31">
        <v>306</v>
      </c>
      <c r="H169" s="32">
        <f t="shared" si="91"/>
        <v>9.9009900990099011E-3</v>
      </c>
      <c r="I169" s="101">
        <f>IF(ISNUMBER(G169), $B172 * H169, "")</f>
        <v>990.09900990099015</v>
      </c>
      <c r="J169" s="15">
        <v>307</v>
      </c>
      <c r="K169" s="32">
        <f t="shared" si="92"/>
        <v>1.3201320132013201E-2</v>
      </c>
      <c r="L169" s="18">
        <f>IF(ISNUMBER(J169), $B172 * K169, "")</f>
        <v>1320.1320132013202</v>
      </c>
      <c r="M169" s="31">
        <v>306</v>
      </c>
      <c r="N169" s="32">
        <f t="shared" si="93"/>
        <v>9.9009900990099011E-3</v>
      </c>
      <c r="O169" s="18">
        <f>IF(ISNUMBER(M169), $B172 * N169, "")</f>
        <v>990.09900990099015</v>
      </c>
      <c r="Q169" s="235"/>
      <c r="R169" s="235"/>
      <c r="S169" s="235"/>
    </row>
    <row r="170" spans="1:19">
      <c r="A170" s="125" t="s">
        <v>238</v>
      </c>
      <c r="B170" s="126">
        <v>191</v>
      </c>
      <c r="C170" s="77">
        <v>-4.4999999999999998E-2</v>
      </c>
      <c r="D170" s="15">
        <v>193</v>
      </c>
      <c r="E170" s="32">
        <f t="shared" si="90"/>
        <v>1.0471204188481676E-2</v>
      </c>
      <c r="F170" s="18">
        <f>IF(ISNUMBER(D170), $B172 * E170, "")</f>
        <v>1047.1204188481677</v>
      </c>
      <c r="G170" s="31">
        <v>190</v>
      </c>
      <c r="H170" s="32">
        <f t="shared" si="91"/>
        <v>-5.235602094240838E-3</v>
      </c>
      <c r="I170" s="101">
        <f>IF(ISNUMBER(G170), $B172 * H170, "")</f>
        <v>-523.56020942408384</v>
      </c>
      <c r="J170" s="15">
        <v>190</v>
      </c>
      <c r="K170" s="32">
        <f t="shared" si="92"/>
        <v>-5.235602094240838E-3</v>
      </c>
      <c r="L170" s="18">
        <f>IF(ISNUMBER(J170), $B172 * K170, "")</f>
        <v>-523.56020942408384</v>
      </c>
      <c r="M170" s="31">
        <v>190</v>
      </c>
      <c r="N170" s="32">
        <f t="shared" si="93"/>
        <v>-5.235602094240838E-3</v>
      </c>
      <c r="O170" s="18">
        <f>IF(ISNUMBER(M170), $B172 * N170, "")</f>
        <v>-523.56020942408384</v>
      </c>
      <c r="Q170" s="224"/>
      <c r="R170" s="225"/>
      <c r="S170" s="226"/>
    </row>
    <row r="171" spans="1:19" ht="17.25" thickBot="1">
      <c r="A171" s="130" t="s">
        <v>246</v>
      </c>
      <c r="B171" s="131">
        <v>308</v>
      </c>
      <c r="C171" s="79">
        <v>-5.8103975500000002E-2</v>
      </c>
      <c r="D171" s="24">
        <v>313</v>
      </c>
      <c r="E171" s="25">
        <f t="shared" si="90"/>
        <v>1.6233766233766232E-2</v>
      </c>
      <c r="F171" s="104">
        <f>IF(ISNUMBER(D171), $B172 * E171, "")</f>
        <v>1623.3766233766232</v>
      </c>
      <c r="G171" s="102">
        <v>310</v>
      </c>
      <c r="H171" s="25">
        <f t="shared" si="91"/>
        <v>6.4935064935064939E-3</v>
      </c>
      <c r="I171" s="103">
        <f>IF(ISNUMBER(G171), $B172 * H171, "")</f>
        <v>649.35064935064941</v>
      </c>
      <c r="J171" s="24">
        <v>312</v>
      </c>
      <c r="K171" s="25">
        <f t="shared" si="92"/>
        <v>1.2987012987012988E-2</v>
      </c>
      <c r="L171" s="104">
        <f>IF(ISNUMBER(J171), $B172 * K171, "")</f>
        <v>1298.7012987012988</v>
      </c>
      <c r="M171" s="102">
        <v>311</v>
      </c>
      <c r="N171" s="25">
        <f t="shared" si="93"/>
        <v>9.74025974025974E-3</v>
      </c>
      <c r="O171" s="104">
        <f>IF(ISNUMBER(M171), $B172 * N171, "")</f>
        <v>974.02597402597405</v>
      </c>
      <c r="Q171" s="227"/>
      <c r="R171" s="228"/>
      <c r="S171" s="229"/>
    </row>
    <row r="172" spans="1:19" ht="17.25" thickBot="1">
      <c r="A172" s="132" t="s">
        <v>300</v>
      </c>
      <c r="B172" s="288">
        <f>$B$37</f>
        <v>100000</v>
      </c>
      <c r="C172" s="289"/>
      <c r="D172" s="26" t="s">
        <v>301</v>
      </c>
      <c r="E172" s="27">
        <f>IF(COUNT(E152:E171), SUM(E152:E171) / COUNT(E152:E171), 0)</f>
        <v>2.2752451661664643E-2</v>
      </c>
      <c r="F172" s="28">
        <f>SUM(F152:F171)</f>
        <v>45504.903323329287</v>
      </c>
      <c r="G172" s="26" t="s">
        <v>301</v>
      </c>
      <c r="H172" s="27">
        <f>IF(COUNT(H152:H171), SUM(H152:H171) / COUNT(H152:H171), 0)</f>
        <v>5.4723962609629856E-3</v>
      </c>
      <c r="I172" s="28">
        <f>SUM(I152:I171)</f>
        <v>10944.792521925972</v>
      </c>
      <c r="J172" s="26" t="s">
        <v>301</v>
      </c>
      <c r="K172" s="27">
        <f>IF(COUNT(K152:K171), SUM(K152:K171) / COUNT(K152:K171), 0)</f>
        <v>1.2513390988230969E-2</v>
      </c>
      <c r="L172" s="28">
        <f>SUM(L152:L171)</f>
        <v>25026.781976461942</v>
      </c>
      <c r="M172" s="26" t="s">
        <v>301</v>
      </c>
      <c r="N172" s="27">
        <f>IF(COUNT(N152:N171), SUM(N152:N171) / COUNT(N152:N171), 0)</f>
        <v>1.0083311058289531E-2</v>
      </c>
      <c r="O172" s="28">
        <f>SUM(O152:O171)</f>
        <v>20166.622116579067</v>
      </c>
      <c r="Q172" s="230"/>
      <c r="R172" s="231"/>
      <c r="S172" s="232"/>
    </row>
    <row r="174" spans="1:19" ht="17.25" thickBot="1"/>
    <row r="175" spans="1:19" ht="17.25" thickBot="1">
      <c r="A175" s="246" t="s">
        <v>285</v>
      </c>
      <c r="B175" s="247"/>
      <c r="C175" s="247"/>
      <c r="D175" s="247"/>
      <c r="E175" s="247"/>
      <c r="F175" s="247"/>
      <c r="G175" s="247"/>
      <c r="H175" s="247"/>
      <c r="I175" s="247"/>
      <c r="J175" s="247"/>
      <c r="K175" s="247"/>
      <c r="L175" s="247"/>
      <c r="M175" s="247"/>
      <c r="N175" s="247"/>
      <c r="O175" s="248"/>
      <c r="Q175" s="245"/>
      <c r="R175" s="245"/>
      <c r="S175" s="245"/>
    </row>
    <row r="176" spans="1:19" ht="17.25" thickBot="1">
      <c r="A176" s="157" t="s">
        <v>297</v>
      </c>
      <c r="B176" s="246" t="s">
        <v>49</v>
      </c>
      <c r="C176" s="248"/>
      <c r="D176" s="246" t="s">
        <v>58</v>
      </c>
      <c r="E176" s="247"/>
      <c r="F176" s="248"/>
      <c r="G176" s="249">
        <f>_xlfn.IFNA(VLOOKUP(B176, 현재가테이블!$B$2:$D$200, 2, FALSE), "-")</f>
        <v>45335000</v>
      </c>
      <c r="H176" s="250"/>
      <c r="I176" s="251"/>
      <c r="J176" s="246" t="s">
        <v>59</v>
      </c>
      <c r="K176" s="247"/>
      <c r="L176" s="248"/>
      <c r="M176" s="252">
        <f>_xlfn.IFNA(VLOOKUP(B176, 현재가테이블!$B$2:$D$200, 3, FALSE), "-")</f>
        <v>-2.27209037E-2</v>
      </c>
      <c r="N176" s="253"/>
      <c r="O176" s="254"/>
      <c r="Q176" s="245"/>
      <c r="R176" s="245"/>
      <c r="S176" s="245"/>
    </row>
    <row r="177" spans="1:19" ht="17.25" thickBot="1">
      <c r="A177" s="290" t="s">
        <v>55</v>
      </c>
      <c r="B177" s="286" t="str">
        <f>TEXT($G$1, "[$-ko-KR]yyyy-mm-dd(ddd) ") &amp; "오전 00:00"</f>
        <v>2021-06-01(화) 오전 00:00</v>
      </c>
      <c r="C177" s="287"/>
      <c r="D177" s="259" t="str">
        <f>TEXT($G$1, "[$-ko-KR]yyyy-mm-dd(ddd) ") &amp; "오후 14:00"</f>
        <v>2021-06-01(화) 오후 14:00</v>
      </c>
      <c r="E177" s="260"/>
      <c r="F177" s="261"/>
      <c r="G177" s="259" t="str">
        <f>TEXT($G$1, "[$-ko-KR]yyyy-mm-dd(ddd) ") &amp; "오후 19:00"</f>
        <v>2021-06-01(화) 오후 19:00</v>
      </c>
      <c r="H177" s="260"/>
      <c r="I177" s="261"/>
      <c r="J177" s="259" t="str">
        <f>TEXT($G$1, "[$-ko-KR]yyyy-mm-dd(ddd) ") &amp; "오후 21:00"</f>
        <v>2021-06-01(화) 오후 21:00</v>
      </c>
      <c r="K177" s="260"/>
      <c r="L177" s="261"/>
      <c r="M177" s="259" t="str">
        <f>TEXT($G$1+1, "[$-ko-KR]yyyy-mm-dd(ddd) ") &amp; "오전 00:00"</f>
        <v>2021-06-02(수) 오전 00:00</v>
      </c>
      <c r="N177" s="260"/>
      <c r="O177" s="261"/>
      <c r="Q177" s="245"/>
      <c r="R177" s="245"/>
      <c r="S177" s="245"/>
    </row>
    <row r="178" spans="1:19" ht="17.25" thickBot="1">
      <c r="A178" s="291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58" t="s">
        <v>58</v>
      </c>
      <c r="H178" s="159" t="s">
        <v>298</v>
      </c>
      <c r="I178" s="160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5"/>
      <c r="R178" s="235"/>
      <c r="S178" s="235"/>
    </row>
    <row r="179" spans="1:19" ht="17.25" thickBot="1">
      <c r="A179" s="123" t="s">
        <v>202</v>
      </c>
      <c r="B179" s="124">
        <v>120</v>
      </c>
      <c r="C179" s="76">
        <v>-0.04</v>
      </c>
      <c r="D179" s="13">
        <v>124</v>
      </c>
      <c r="E179" s="14">
        <f>IF(ISNUMBER(D179), (D179 - $B179) / $B179, "")</f>
        <v>3.3333333333333333E-2</v>
      </c>
      <c r="F179" s="16">
        <f>IF(ISNUMBER(D179), $B199 * E179, "")</f>
        <v>3333.3333333333335</v>
      </c>
      <c r="G179" s="29">
        <v>120</v>
      </c>
      <c r="H179" s="14">
        <f>IF(ISNUMBER(G179), (G179 - $B179) / $B179, "")</f>
        <v>0</v>
      </c>
      <c r="I179" s="100">
        <f>IF(ISNUMBER(G179), $B199 * H179, "")</f>
        <v>0</v>
      </c>
      <c r="J179" s="13">
        <v>121</v>
      </c>
      <c r="K179" s="14">
        <f>IF(ISNUMBER(J179), (J179 - $B179) / $B179, "")</f>
        <v>8.3333333333333332E-3</v>
      </c>
      <c r="L179" s="16">
        <f>IF(ISNUMBER(J179), $B199 * K179, "")</f>
        <v>833.33333333333337</v>
      </c>
      <c r="M179" s="29">
        <v>121</v>
      </c>
      <c r="N179" s="14">
        <f>IF(ISNUMBER(M179), (M179 - $B179) / $B179, "")</f>
        <v>8.3333333333333332E-3</v>
      </c>
      <c r="O179" s="16">
        <f>IF(ISNUMBER(M179), $B199 * N179, "")</f>
        <v>833.33333333333337</v>
      </c>
      <c r="Q179" s="245"/>
      <c r="R179" s="245"/>
      <c r="S179" s="245"/>
    </row>
    <row r="180" spans="1:19" ht="17.25" thickBot="1">
      <c r="A180" s="125" t="s">
        <v>67</v>
      </c>
      <c r="B180" s="126">
        <v>5470</v>
      </c>
      <c r="C180" s="77">
        <v>-4.0350877200000003E-2</v>
      </c>
      <c r="D180" s="15">
        <v>5530</v>
      </c>
      <c r="E180" s="32">
        <f t="shared" ref="E180:E183" si="94">IF(ISNUMBER(D180), (D180 - $B180) / $B180, "")</f>
        <v>1.0968921389396709E-2</v>
      </c>
      <c r="F180" s="18">
        <f>IF(ISNUMBER(D180), $B199 * E180, "")</f>
        <v>1096.892138939671</v>
      </c>
      <c r="G180" s="31">
        <v>5435</v>
      </c>
      <c r="H180" s="32">
        <f t="shared" ref="H180:H183" si="95">IF(ISNUMBER(G180), (G180 - $B180) / $B180, "")</f>
        <v>-6.3985374771480807E-3</v>
      </c>
      <c r="I180" s="101">
        <f>IF(ISNUMBER(G180), $B199 * H180, "")</f>
        <v>-639.85374771480804</v>
      </c>
      <c r="J180" s="15">
        <v>5490</v>
      </c>
      <c r="K180" s="32">
        <f t="shared" ref="K180:K183" si="96">IF(ISNUMBER(J180), (J180 - $B180) / $B180, "")</f>
        <v>3.6563071297989031E-3</v>
      </c>
      <c r="L180" s="18">
        <f>IF(ISNUMBER(J180), $B199 * K180, "")</f>
        <v>365.63071297989029</v>
      </c>
      <c r="M180" s="31">
        <v>5480</v>
      </c>
      <c r="N180" s="32">
        <f t="shared" ref="N180:N183" si="97">IF(ISNUMBER(M180), (M180 - $B180) / $B180, "")</f>
        <v>1.8281535648994515E-3</v>
      </c>
      <c r="O180" s="18">
        <f>IF(ISNUMBER(M180), $B199 * N180, "")</f>
        <v>182.81535648994515</v>
      </c>
      <c r="Q180" s="245"/>
      <c r="R180" s="245"/>
      <c r="S180" s="245"/>
    </row>
    <row r="181" spans="1:19" ht="17.25" thickBot="1">
      <c r="A181" s="125" t="s">
        <v>218</v>
      </c>
      <c r="B181" s="126">
        <v>16.600000000000001</v>
      </c>
      <c r="C181" s="77">
        <v>-4.0462427699999998E-2</v>
      </c>
      <c r="D181" s="15">
        <v>16.8</v>
      </c>
      <c r="E181" s="32">
        <f t="shared" si="94"/>
        <v>1.2048192771084293E-2</v>
      </c>
      <c r="F181" s="18">
        <f>IF(ISNUMBER(D181), $B199 * E181, "")</f>
        <v>1204.8192771084293</v>
      </c>
      <c r="G181" s="31">
        <v>16.5</v>
      </c>
      <c r="H181" s="32">
        <f t="shared" si="95"/>
        <v>-6.024096385542254E-3</v>
      </c>
      <c r="I181" s="101">
        <f>IF(ISNUMBER(G181), $B199 * H181, "")</f>
        <v>-602.40963855422535</v>
      </c>
      <c r="J181" s="15">
        <v>16.7</v>
      </c>
      <c r="K181" s="32">
        <f t="shared" si="96"/>
        <v>6.0240963855420398E-3</v>
      </c>
      <c r="L181" s="18">
        <f>IF(ISNUMBER(J181), $B199 * K181, "")</f>
        <v>602.40963855420398</v>
      </c>
      <c r="M181" s="31">
        <v>16.600000000000001</v>
      </c>
      <c r="N181" s="32">
        <f t="shared" si="97"/>
        <v>0</v>
      </c>
      <c r="O181" s="18">
        <f>IF(ISNUMBER(M181), $B199 * N181, "")</f>
        <v>0</v>
      </c>
      <c r="Q181" s="235"/>
      <c r="R181" s="235"/>
      <c r="S181" s="235"/>
    </row>
    <row r="182" spans="1:19" ht="17.25" thickBot="1">
      <c r="A182" s="125" t="s">
        <v>232</v>
      </c>
      <c r="B182" s="126">
        <v>113</v>
      </c>
      <c r="C182" s="77">
        <v>-4.23728814E-2</v>
      </c>
      <c r="D182" s="15">
        <v>115</v>
      </c>
      <c r="E182" s="32">
        <f t="shared" si="94"/>
        <v>1.7699115044247787E-2</v>
      </c>
      <c r="F182" s="18">
        <f>IF(ISNUMBER(D182), $B199 * E182, "")</f>
        <v>1769.9115044247787</v>
      </c>
      <c r="G182" s="31">
        <v>113</v>
      </c>
      <c r="H182" s="32">
        <f t="shared" si="95"/>
        <v>0</v>
      </c>
      <c r="I182" s="101">
        <f>IF(ISNUMBER(G182), $B199 * H182, "")</f>
        <v>0</v>
      </c>
      <c r="J182" s="15">
        <v>115</v>
      </c>
      <c r="K182" s="32">
        <f t="shared" si="96"/>
        <v>1.7699115044247787E-2</v>
      </c>
      <c r="L182" s="18">
        <f>IF(ISNUMBER(J182), $B199 * K182, "")</f>
        <v>1769.9115044247787</v>
      </c>
      <c r="M182" s="31">
        <v>115</v>
      </c>
      <c r="N182" s="32">
        <f t="shared" si="97"/>
        <v>1.7699115044247787E-2</v>
      </c>
      <c r="O182" s="18">
        <f>IF(ISNUMBER(M182), $B199 * N182, "")</f>
        <v>1769.9115044247787</v>
      </c>
      <c r="Q182" s="235"/>
      <c r="R182" s="235"/>
      <c r="S182" s="235"/>
    </row>
    <row r="183" spans="1:19" ht="17.25" thickBot="1">
      <c r="A183" s="127" t="s">
        <v>226</v>
      </c>
      <c r="B183" s="128">
        <v>291</v>
      </c>
      <c r="C183" s="78">
        <v>-4.2763157900000001E-2</v>
      </c>
      <c r="D183" s="20">
        <v>322</v>
      </c>
      <c r="E183" s="21">
        <f t="shared" si="94"/>
        <v>0.10652920962199312</v>
      </c>
      <c r="F183" s="22">
        <f>IF(ISNUMBER(D183), $B199 * E183, "")</f>
        <v>10652.920962199312</v>
      </c>
      <c r="G183" s="30">
        <v>317</v>
      </c>
      <c r="H183" s="21">
        <f t="shared" si="95"/>
        <v>8.9347079037800689E-2</v>
      </c>
      <c r="I183" s="105">
        <f>IF(ISNUMBER(G183), $B199 * H183, "")</f>
        <v>8934.7079037800686</v>
      </c>
      <c r="J183" s="20">
        <v>318</v>
      </c>
      <c r="K183" s="21">
        <f t="shared" si="96"/>
        <v>9.2783505154639179E-2</v>
      </c>
      <c r="L183" s="22">
        <f>IF(ISNUMBER(J183), $B199 * K183, "")</f>
        <v>9278.350515463917</v>
      </c>
      <c r="M183" s="30">
        <v>308</v>
      </c>
      <c r="N183" s="21">
        <f t="shared" si="97"/>
        <v>5.8419243986254296E-2</v>
      </c>
      <c r="O183" s="22">
        <f>IF(ISNUMBER(M183), $B199 * N183, "")</f>
        <v>5841.9243986254296</v>
      </c>
      <c r="Q183" s="235"/>
      <c r="R183" s="235"/>
      <c r="S183" s="235"/>
    </row>
    <row r="184" spans="1:19" ht="17.25" thickBot="1">
      <c r="A184" s="125" t="s">
        <v>72</v>
      </c>
      <c r="B184" s="129">
        <v>20.100000000000001</v>
      </c>
      <c r="C184" s="80">
        <v>-4.2857142899999999E-2</v>
      </c>
      <c r="D184" s="106">
        <v>20.9</v>
      </c>
      <c r="E184" s="107">
        <f>IF(ISNUMBER(D184), (D184 - $B184) / $B184, "")</f>
        <v>3.9800995024875475E-2</v>
      </c>
      <c r="F184" s="108">
        <f>IF(ISNUMBER(D184), $B199 * E184, "")</f>
        <v>3980.0995024875474</v>
      </c>
      <c r="G184" s="109">
        <v>20.7</v>
      </c>
      <c r="H184" s="107">
        <f>IF(ISNUMBER(G184), (G184 - $B184) / $B184, "")</f>
        <v>2.9850746268656608E-2</v>
      </c>
      <c r="I184" s="110">
        <f>IF(ISNUMBER(G184), $B199 * H184, "")</f>
        <v>2985.0746268656608</v>
      </c>
      <c r="J184" s="106">
        <v>21.1</v>
      </c>
      <c r="K184" s="107">
        <f>IF(ISNUMBER(J184), (J184 - $B184) / $B184, "")</f>
        <v>4.9751243781094523E-2</v>
      </c>
      <c r="L184" s="108">
        <f>IF(ISNUMBER(J184), $B199 * K184, "")</f>
        <v>4975.1243781094527</v>
      </c>
      <c r="M184" s="109">
        <v>21.2</v>
      </c>
      <c r="N184" s="107">
        <f>IF(ISNUMBER(M184), (M184 - $B184) / $B184, "")</f>
        <v>5.472636815920387E-2</v>
      </c>
      <c r="O184" s="108">
        <f>IF(ISNUMBER(M184), $B199 * N184, "")</f>
        <v>5472.6368159203867</v>
      </c>
      <c r="Q184" s="235"/>
      <c r="R184" s="235"/>
      <c r="S184" s="235"/>
    </row>
    <row r="185" spans="1:19" ht="17.25" thickBot="1">
      <c r="A185" s="125" t="s">
        <v>194</v>
      </c>
      <c r="B185" s="126">
        <v>8400</v>
      </c>
      <c r="C185" s="77">
        <v>-4.3280182200000003E-2</v>
      </c>
      <c r="D185" s="15">
        <v>8570</v>
      </c>
      <c r="E185" s="32">
        <f t="shared" ref="E185:E188" si="98">IF(ISNUMBER(D185), (D185 - $B185) / $B185, "")</f>
        <v>2.0238095238095239E-2</v>
      </c>
      <c r="F185" s="18">
        <f>IF(ISNUMBER(D185), $B199 * E185, "")</f>
        <v>2023.8095238095239</v>
      </c>
      <c r="G185" s="31">
        <v>8430</v>
      </c>
      <c r="H185" s="32">
        <f t="shared" ref="H185:H188" si="99">IF(ISNUMBER(G185), (G185 - $B185) / $B185, "")</f>
        <v>3.5714285714285713E-3</v>
      </c>
      <c r="I185" s="101">
        <f>IF(ISNUMBER(G185), $B199 * H185, "")</f>
        <v>357.14285714285711</v>
      </c>
      <c r="J185" s="15">
        <v>8495</v>
      </c>
      <c r="K185" s="32">
        <f t="shared" ref="K185:K188" si="100">IF(ISNUMBER(J185), (J185 - $B185) / $B185, "")</f>
        <v>1.1309523809523809E-2</v>
      </c>
      <c r="L185" s="18">
        <f>IF(ISNUMBER(J185), $B199 * K185, "")</f>
        <v>1130.952380952381</v>
      </c>
      <c r="M185" s="31">
        <v>8450</v>
      </c>
      <c r="N185" s="32">
        <f t="shared" ref="N185:N188" si="101">IF(ISNUMBER(M185), (M185 - $B185) / $B185, "")</f>
        <v>5.9523809523809521E-3</v>
      </c>
      <c r="O185" s="18">
        <f>IF(ISNUMBER(M185), $B199 * N185, "")</f>
        <v>595.23809523809518</v>
      </c>
      <c r="Q185" s="235"/>
      <c r="R185" s="235"/>
      <c r="S185" s="235"/>
    </row>
    <row r="186" spans="1:19" ht="17.25" thickBot="1">
      <c r="A186" s="125" t="s">
        <v>210</v>
      </c>
      <c r="B186" s="126">
        <v>131</v>
      </c>
      <c r="C186" s="77">
        <v>-4.3795620399999999E-2</v>
      </c>
      <c r="D186" s="15">
        <v>133</v>
      </c>
      <c r="E186" s="32">
        <f t="shared" si="98"/>
        <v>1.5267175572519083E-2</v>
      </c>
      <c r="F186" s="18">
        <f>IF(ISNUMBER(D186), $B199 * E186, "")</f>
        <v>1526.7175572519084</v>
      </c>
      <c r="G186" s="31">
        <v>130</v>
      </c>
      <c r="H186" s="32">
        <f t="shared" si="99"/>
        <v>-7.6335877862595417E-3</v>
      </c>
      <c r="I186" s="101">
        <f>IF(ISNUMBER(G186), $B199 * H186, "")</f>
        <v>-763.35877862595419</v>
      </c>
      <c r="J186" s="15">
        <v>131</v>
      </c>
      <c r="K186" s="32">
        <f t="shared" si="100"/>
        <v>0</v>
      </c>
      <c r="L186" s="18">
        <f>IF(ISNUMBER(J186), $B199 * K186, "")</f>
        <v>0</v>
      </c>
      <c r="M186" s="31">
        <v>133</v>
      </c>
      <c r="N186" s="32">
        <f t="shared" si="101"/>
        <v>1.5267175572519083E-2</v>
      </c>
      <c r="O186" s="18">
        <f>IF(ISNUMBER(M186), $B199 * N186, "")</f>
        <v>1526.7175572519084</v>
      </c>
      <c r="Q186" s="235"/>
      <c r="R186" s="235"/>
      <c r="S186" s="235"/>
    </row>
    <row r="187" spans="1:19" ht="17.25" thickBot="1">
      <c r="A187" s="125" t="s">
        <v>280</v>
      </c>
      <c r="B187" s="126">
        <v>1085</v>
      </c>
      <c r="C187" s="77">
        <v>-4.4052863400000003E-2</v>
      </c>
      <c r="D187" s="15">
        <v>1085</v>
      </c>
      <c r="E187" s="32">
        <f t="shared" si="98"/>
        <v>0</v>
      </c>
      <c r="F187" s="18">
        <f>IF(ISNUMBER(D187), $B199 * E187, "")</f>
        <v>0</v>
      </c>
      <c r="G187" s="31">
        <v>1080</v>
      </c>
      <c r="H187" s="32">
        <f t="shared" si="99"/>
        <v>-4.608294930875576E-3</v>
      </c>
      <c r="I187" s="101">
        <f>IF(ISNUMBER(G187), $B199 * H187, "")</f>
        <v>-460.82949308755758</v>
      </c>
      <c r="J187" s="15">
        <v>1085</v>
      </c>
      <c r="K187" s="32">
        <f t="shared" si="100"/>
        <v>0</v>
      </c>
      <c r="L187" s="18">
        <f>IF(ISNUMBER(J187), $B199 * K187, "")</f>
        <v>0</v>
      </c>
      <c r="M187" s="31">
        <v>1080</v>
      </c>
      <c r="N187" s="32">
        <f t="shared" si="101"/>
        <v>-4.608294930875576E-3</v>
      </c>
      <c r="O187" s="18">
        <f>IF(ISNUMBER(M187), $B199 * N187, "")</f>
        <v>-460.82949308755758</v>
      </c>
      <c r="Q187" s="33"/>
      <c r="R187" s="33"/>
    </row>
    <row r="188" spans="1:19" ht="17.25" thickBot="1">
      <c r="A188" s="130" t="s">
        <v>234</v>
      </c>
      <c r="B188" s="131">
        <v>845</v>
      </c>
      <c r="C188" s="79">
        <v>-4.4117647099999997E-2</v>
      </c>
      <c r="D188" s="24">
        <v>850</v>
      </c>
      <c r="E188" s="25">
        <f t="shared" si="98"/>
        <v>5.9171597633136093E-3</v>
      </c>
      <c r="F188" s="104">
        <f>IF(ISNUMBER(D188), $B199 * E188, "")</f>
        <v>591.71597633136093</v>
      </c>
      <c r="G188" s="102">
        <v>841</v>
      </c>
      <c r="H188" s="25">
        <f t="shared" si="99"/>
        <v>-4.7337278106508876E-3</v>
      </c>
      <c r="I188" s="103">
        <f>IF(ISNUMBER(G188), $B199 * H188, "")</f>
        <v>-473.37278106508876</v>
      </c>
      <c r="J188" s="24">
        <v>840</v>
      </c>
      <c r="K188" s="25">
        <f t="shared" si="100"/>
        <v>-5.9171597633136093E-3</v>
      </c>
      <c r="L188" s="104">
        <f>IF(ISNUMBER(J188), $B199 * K188, "")</f>
        <v>-591.71597633136093</v>
      </c>
      <c r="M188" s="102">
        <v>846</v>
      </c>
      <c r="N188" s="25">
        <f t="shared" si="101"/>
        <v>1.1834319526627219E-3</v>
      </c>
      <c r="O188" s="104">
        <f>IF(ISNUMBER(M188), $B199 * N188, "")</f>
        <v>118.34319526627219</v>
      </c>
      <c r="Q188" s="236"/>
      <c r="R188" s="237"/>
      <c r="S188" s="238"/>
    </row>
    <row r="189" spans="1:19">
      <c r="A189" s="123" t="s">
        <v>252</v>
      </c>
      <c r="B189" s="124">
        <v>303</v>
      </c>
      <c r="C189" s="76">
        <v>-4.4164037900000001E-2</v>
      </c>
      <c r="D189" s="13">
        <v>308</v>
      </c>
      <c r="E189" s="14">
        <f>IF(ISNUMBER(D189), (D189 - $B189) / $B189, "")</f>
        <v>1.65016501650165E-2</v>
      </c>
      <c r="F189" s="16">
        <f>IF(ISNUMBER(D189), $B199 * E189, "")</f>
        <v>1650.1650165016499</v>
      </c>
      <c r="G189" s="29">
        <v>306</v>
      </c>
      <c r="H189" s="14">
        <f>IF(ISNUMBER(G189), (G189 - $B189) / $B189, "")</f>
        <v>9.9009900990099011E-3</v>
      </c>
      <c r="I189" s="100">
        <f>IF(ISNUMBER(G189), $B199 * H189, "")</f>
        <v>990.09900990099015</v>
      </c>
      <c r="J189" s="13">
        <v>307</v>
      </c>
      <c r="K189" s="14">
        <f>IF(ISNUMBER(J189), (J189 - $B189) / $B189, "")</f>
        <v>1.3201320132013201E-2</v>
      </c>
      <c r="L189" s="16">
        <f>IF(ISNUMBER(J189), $B199 * K189, "")</f>
        <v>1320.1320132013202</v>
      </c>
      <c r="M189" s="29">
        <v>306</v>
      </c>
      <c r="N189" s="14">
        <f>IF(ISNUMBER(M189), (M189 - $B189) / $B189, "")</f>
        <v>9.9009900990099011E-3</v>
      </c>
      <c r="O189" s="16">
        <f>IF(ISNUMBER(M189), $B199 * N189, "")</f>
        <v>990.09900990099015</v>
      </c>
      <c r="Q189" s="239"/>
      <c r="R189" s="240"/>
      <c r="S189" s="241"/>
    </row>
    <row r="190" spans="1:19" ht="17.25" thickBot="1">
      <c r="A190" s="125" t="s">
        <v>220</v>
      </c>
      <c r="B190" s="126">
        <v>10.7</v>
      </c>
      <c r="C190" s="77">
        <v>-4.4642857100000002E-2</v>
      </c>
      <c r="D190" s="15">
        <v>11</v>
      </c>
      <c r="E190" s="32">
        <f t="shared" ref="E190:E193" si="102">IF(ISNUMBER(D190), (D190 - $B190) / $B190, "")</f>
        <v>2.8037383177570162E-2</v>
      </c>
      <c r="F190" s="18">
        <f>IF(ISNUMBER(D190), $B199 * E190, "")</f>
        <v>2803.7383177570164</v>
      </c>
      <c r="G190" s="31">
        <v>10.8</v>
      </c>
      <c r="H190" s="32">
        <f t="shared" ref="H190:H193" si="103">IF(ISNUMBER(G190), (G190 - $B190) / $B190, "")</f>
        <v>9.3457943925234974E-3</v>
      </c>
      <c r="I190" s="101">
        <f>IF(ISNUMBER(G190), $B199 * H190, "")</f>
        <v>934.57943925234974</v>
      </c>
      <c r="J190" s="15">
        <v>10.9</v>
      </c>
      <c r="K190" s="32">
        <f t="shared" ref="K190:K193" si="104">IF(ISNUMBER(J190), (J190 - $B190) / $B190, "")</f>
        <v>1.8691588785046828E-2</v>
      </c>
      <c r="L190" s="18">
        <f>IF(ISNUMBER(J190), $B199 * K190, "")</f>
        <v>1869.1588785046829</v>
      </c>
      <c r="M190" s="31">
        <v>10.9</v>
      </c>
      <c r="N190" s="32">
        <f t="shared" ref="N190:N193" si="105">IF(ISNUMBER(M190), (M190 - $B190) / $B190, "")</f>
        <v>1.8691588785046828E-2</v>
      </c>
      <c r="O190" s="18">
        <f>IF(ISNUMBER(M190), $B199 * N190, "")</f>
        <v>1869.1588785046829</v>
      </c>
      <c r="Q190" s="242"/>
      <c r="R190" s="243"/>
      <c r="S190" s="244"/>
    </row>
    <row r="191" spans="1:19" ht="17.25" thickBot="1">
      <c r="A191" s="125" t="s">
        <v>238</v>
      </c>
      <c r="B191" s="126">
        <v>191</v>
      </c>
      <c r="C191" s="77">
        <v>-4.4999999999999998E-2</v>
      </c>
      <c r="D191" s="15">
        <v>193</v>
      </c>
      <c r="E191" s="32">
        <f t="shared" si="102"/>
        <v>1.0471204188481676E-2</v>
      </c>
      <c r="F191" s="18">
        <f>IF(ISNUMBER(D191), $B199 * E191, "")</f>
        <v>1047.1204188481677</v>
      </c>
      <c r="G191" s="31">
        <v>190</v>
      </c>
      <c r="H191" s="32">
        <f t="shared" si="103"/>
        <v>-5.235602094240838E-3</v>
      </c>
      <c r="I191" s="101">
        <f>IF(ISNUMBER(G191), $B199 * H191, "")</f>
        <v>-523.56020942408384</v>
      </c>
      <c r="J191" s="15">
        <v>190</v>
      </c>
      <c r="K191" s="32">
        <f t="shared" si="104"/>
        <v>-5.235602094240838E-3</v>
      </c>
      <c r="L191" s="18">
        <f>IF(ISNUMBER(J191), $B199 * K191, "")</f>
        <v>-523.56020942408384</v>
      </c>
      <c r="M191" s="31">
        <v>190</v>
      </c>
      <c r="N191" s="32">
        <f t="shared" si="105"/>
        <v>-5.235602094240838E-3</v>
      </c>
      <c r="O191" s="18">
        <f>IF(ISNUMBER(M191), $B199 * N191, "")</f>
        <v>-523.56020942408384</v>
      </c>
      <c r="Q191" s="235"/>
      <c r="R191" s="235"/>
      <c r="S191" s="235"/>
    </row>
    <row r="192" spans="1:19" ht="17.25" thickBot="1">
      <c r="A192" s="125" t="s">
        <v>164</v>
      </c>
      <c r="B192" s="126">
        <v>15480</v>
      </c>
      <c r="C192" s="77">
        <v>-4.5033929700000003E-2</v>
      </c>
      <c r="D192" s="15">
        <v>15680</v>
      </c>
      <c r="E192" s="32">
        <f t="shared" si="102"/>
        <v>1.2919896640826873E-2</v>
      </c>
      <c r="F192" s="18">
        <f>IF(ISNUMBER(D192), $B199 * E192, "")</f>
        <v>1291.9896640826873</v>
      </c>
      <c r="G192" s="31">
        <v>15330</v>
      </c>
      <c r="H192" s="32">
        <f t="shared" si="103"/>
        <v>-9.6899224806201549E-3</v>
      </c>
      <c r="I192" s="101">
        <f>IF(ISNUMBER(G192), $B199 * H192, "")</f>
        <v>-968.99224806201551</v>
      </c>
      <c r="J192" s="15">
        <v>15540</v>
      </c>
      <c r="K192" s="32">
        <f t="shared" si="104"/>
        <v>3.875968992248062E-3</v>
      </c>
      <c r="L192" s="18">
        <f>IF(ISNUMBER(J192), $B199 * K192, "")</f>
        <v>387.59689922480618</v>
      </c>
      <c r="M192" s="31">
        <v>15400</v>
      </c>
      <c r="N192" s="32">
        <f t="shared" si="105"/>
        <v>-5.1679586563307496E-3</v>
      </c>
      <c r="O192" s="18">
        <f>IF(ISNUMBER(M192), $B199 * N192, "")</f>
        <v>-516.79586563307498</v>
      </c>
      <c r="Q192" s="245"/>
      <c r="R192" s="245"/>
      <c r="S192" s="245"/>
    </row>
    <row r="193" spans="1:19" ht="17.25" thickBot="1">
      <c r="A193" s="127" t="s">
        <v>268</v>
      </c>
      <c r="B193" s="128">
        <v>52.7</v>
      </c>
      <c r="C193" s="78">
        <v>-4.5289855099999998E-2</v>
      </c>
      <c r="D193" s="20">
        <v>53.6</v>
      </c>
      <c r="E193" s="21">
        <f t="shared" si="102"/>
        <v>1.7077798861480049E-2</v>
      </c>
      <c r="F193" s="22">
        <f>IF(ISNUMBER(D193), $B199 * E193, "")</f>
        <v>1707.7798861480048</v>
      </c>
      <c r="G193" s="30">
        <v>53</v>
      </c>
      <c r="H193" s="21">
        <f t="shared" si="103"/>
        <v>5.6925996204933048E-3</v>
      </c>
      <c r="I193" s="105">
        <f>IF(ISNUMBER(G193), $B199 * H193, "")</f>
        <v>569.25996204933051</v>
      </c>
      <c r="J193" s="20">
        <v>53.6</v>
      </c>
      <c r="K193" s="21">
        <f t="shared" si="104"/>
        <v>1.7077798861480049E-2</v>
      </c>
      <c r="L193" s="22">
        <f>IF(ISNUMBER(J193), $B199 * K193, "")</f>
        <v>1707.7798861480048</v>
      </c>
      <c r="M193" s="30">
        <v>53.4</v>
      </c>
      <c r="N193" s="21">
        <f t="shared" si="105"/>
        <v>1.3282732447817755E-2</v>
      </c>
      <c r="O193" s="22">
        <f>IF(ISNUMBER(M193), $B199 * N193, "")</f>
        <v>1328.2732447817755</v>
      </c>
      <c r="Q193" s="245"/>
      <c r="R193" s="245"/>
      <c r="S193" s="245"/>
    </row>
    <row r="194" spans="1:19" ht="17.25" thickBot="1">
      <c r="A194" s="125" t="s">
        <v>124</v>
      </c>
      <c r="B194" s="129">
        <v>3880</v>
      </c>
      <c r="C194" s="80">
        <v>-4.9019607799999997E-2</v>
      </c>
      <c r="D194" s="106">
        <v>3940</v>
      </c>
      <c r="E194" s="107">
        <f>IF(ISNUMBER(D194), (D194 - $B194) / $B194, "")</f>
        <v>1.5463917525773196E-2</v>
      </c>
      <c r="F194" s="108">
        <f>IF(ISNUMBER(D194), $B199 * E194, "")</f>
        <v>1546.3917525773197</v>
      </c>
      <c r="G194" s="109">
        <v>3885</v>
      </c>
      <c r="H194" s="107">
        <f>IF(ISNUMBER(G194), (G194 - $B194) / $B194, "")</f>
        <v>1.288659793814433E-3</v>
      </c>
      <c r="I194" s="110">
        <f>IF(ISNUMBER(G194), $B199 * H194, "")</f>
        <v>128.86597938144331</v>
      </c>
      <c r="J194" s="106">
        <v>3915</v>
      </c>
      <c r="K194" s="107">
        <f>IF(ISNUMBER(J194), (J194 - $B194) / $B194, "")</f>
        <v>9.0206185567010301E-3</v>
      </c>
      <c r="L194" s="108">
        <f>IF(ISNUMBER(J194), $B199 * K194, "")</f>
        <v>902.061855670103</v>
      </c>
      <c r="M194" s="109">
        <v>3890</v>
      </c>
      <c r="N194" s="107">
        <f>IF(ISNUMBER(M194), (M194 - $B194) / $B194, "")</f>
        <v>2.5773195876288659E-3</v>
      </c>
      <c r="O194" s="108">
        <f>IF(ISNUMBER(M194), $B199 * N194, "")</f>
        <v>257.73195876288662</v>
      </c>
      <c r="Q194" s="235"/>
      <c r="R194" s="235"/>
      <c r="S194" s="235"/>
    </row>
    <row r="195" spans="1:19" ht="17.25" thickBot="1">
      <c r="A195" s="125" t="s">
        <v>172</v>
      </c>
      <c r="B195" s="126">
        <v>14.7</v>
      </c>
      <c r="C195" s="77">
        <v>-5.1612903199999997E-2</v>
      </c>
      <c r="D195" s="15">
        <v>15.2</v>
      </c>
      <c r="E195" s="32">
        <f t="shared" ref="E195:E198" si="106">IF(ISNUMBER(D195), (D195 - $B195) / $B195, "")</f>
        <v>3.4013605442176874E-2</v>
      </c>
      <c r="F195" s="18">
        <f>IF(ISNUMBER(D195), $B199 * E195, "")</f>
        <v>3401.3605442176872</v>
      </c>
      <c r="G195" s="31">
        <v>15</v>
      </c>
      <c r="H195" s="32">
        <f t="shared" ref="H195:H198" si="107">IF(ISNUMBER(G195), (G195 - $B195) / $B195, "")</f>
        <v>2.0408163265306173E-2</v>
      </c>
      <c r="I195" s="101">
        <f>IF(ISNUMBER(G195), $B199 * H195, "")</f>
        <v>2040.8163265306173</v>
      </c>
      <c r="J195" s="15">
        <v>15.2</v>
      </c>
      <c r="K195" s="32">
        <f t="shared" ref="K195:K198" si="108">IF(ISNUMBER(J195), (J195 - $B195) / $B195, "")</f>
        <v>3.4013605442176874E-2</v>
      </c>
      <c r="L195" s="18">
        <f>IF(ISNUMBER(J195), $B199 * K195, "")</f>
        <v>3401.3605442176872</v>
      </c>
      <c r="M195" s="31">
        <v>15.2</v>
      </c>
      <c r="N195" s="32">
        <f t="shared" ref="N195:N198" si="109">IF(ISNUMBER(M195), (M195 - $B195) / $B195, "")</f>
        <v>3.4013605442176874E-2</v>
      </c>
      <c r="O195" s="18">
        <f>IF(ISNUMBER(M195), $B199 * N195, "")</f>
        <v>3401.3605442176872</v>
      </c>
      <c r="Q195" s="235"/>
      <c r="R195" s="235"/>
      <c r="S195" s="235"/>
    </row>
    <row r="196" spans="1:19" ht="17.25" thickBot="1">
      <c r="A196" s="125" t="s">
        <v>192</v>
      </c>
      <c r="B196" s="126">
        <v>1190</v>
      </c>
      <c r="C196" s="77">
        <v>-5.1792828700000001E-2</v>
      </c>
      <c r="D196" s="15">
        <v>1220</v>
      </c>
      <c r="E196" s="32">
        <f t="shared" si="106"/>
        <v>2.5210084033613446E-2</v>
      </c>
      <c r="F196" s="18">
        <f>IF(ISNUMBER(D196), $B199 * E196, "")</f>
        <v>2521.0084033613448</v>
      </c>
      <c r="G196" s="31">
        <v>1190</v>
      </c>
      <c r="H196" s="32">
        <f t="shared" si="107"/>
        <v>0</v>
      </c>
      <c r="I196" s="101">
        <f>IF(ISNUMBER(G196), $B199 * H196, "")</f>
        <v>0</v>
      </c>
      <c r="J196" s="15">
        <v>1195</v>
      </c>
      <c r="K196" s="32">
        <f t="shared" si="108"/>
        <v>4.2016806722689074E-3</v>
      </c>
      <c r="L196" s="18">
        <f>IF(ISNUMBER(J196), $B199 * K196, "")</f>
        <v>420.16806722689074</v>
      </c>
      <c r="M196" s="31">
        <v>1195</v>
      </c>
      <c r="N196" s="32">
        <f t="shared" si="109"/>
        <v>4.2016806722689074E-3</v>
      </c>
      <c r="O196" s="18">
        <f>IF(ISNUMBER(M196), $B199 * N196, "")</f>
        <v>420.16806722689074</v>
      </c>
      <c r="Q196" s="235"/>
      <c r="R196" s="235"/>
      <c r="S196" s="235"/>
    </row>
    <row r="197" spans="1:19">
      <c r="A197" s="125" t="s">
        <v>274</v>
      </c>
      <c r="B197" s="126">
        <v>9700</v>
      </c>
      <c r="C197" s="77">
        <v>-5.7337220600000002E-2</v>
      </c>
      <c r="D197" s="15">
        <v>10000</v>
      </c>
      <c r="E197" s="32">
        <f t="shared" si="106"/>
        <v>3.0927835051546393E-2</v>
      </c>
      <c r="F197" s="18">
        <f>IF(ISNUMBER(D197), $B199 * E197, "")</f>
        <v>3092.7835051546394</v>
      </c>
      <c r="G197" s="31">
        <v>9710</v>
      </c>
      <c r="H197" s="32">
        <f t="shared" si="107"/>
        <v>1.0309278350515464E-3</v>
      </c>
      <c r="I197" s="101">
        <f>IF(ISNUMBER(G197), $B199 * H197, "")</f>
        <v>103.09278350515464</v>
      </c>
      <c r="J197" s="15">
        <v>9800</v>
      </c>
      <c r="K197" s="32">
        <f t="shared" si="108"/>
        <v>1.0309278350515464E-2</v>
      </c>
      <c r="L197" s="18">
        <f>IF(ISNUMBER(J197), $B199 * K197, "")</f>
        <v>1030.9278350515465</v>
      </c>
      <c r="M197" s="31">
        <v>9780</v>
      </c>
      <c r="N197" s="32">
        <f t="shared" si="109"/>
        <v>8.2474226804123713E-3</v>
      </c>
      <c r="O197" s="18">
        <f>IF(ISNUMBER(M197), $B199 * N197, "")</f>
        <v>824.74226804123714</v>
      </c>
      <c r="Q197" s="224"/>
      <c r="R197" s="225"/>
      <c r="S197" s="226"/>
    </row>
    <row r="198" spans="1:19" ht="17.25" thickBot="1">
      <c r="A198" s="130" t="s">
        <v>246</v>
      </c>
      <c r="B198" s="131">
        <v>308</v>
      </c>
      <c r="C198" s="79">
        <v>-5.8103975500000002E-2</v>
      </c>
      <c r="D198" s="24">
        <v>313</v>
      </c>
      <c r="E198" s="25">
        <f t="shared" si="106"/>
        <v>1.6233766233766232E-2</v>
      </c>
      <c r="F198" s="104">
        <f>IF(ISNUMBER(D198), $B199 * E198, "")</f>
        <v>1623.3766233766232</v>
      </c>
      <c r="G198" s="102">
        <v>310</v>
      </c>
      <c r="H198" s="25">
        <f t="shared" si="107"/>
        <v>6.4935064935064939E-3</v>
      </c>
      <c r="I198" s="103">
        <f>IF(ISNUMBER(G198), $B199 * H198, "")</f>
        <v>649.35064935064941</v>
      </c>
      <c r="J198" s="24">
        <v>312</v>
      </c>
      <c r="K198" s="25">
        <f t="shared" si="108"/>
        <v>1.2987012987012988E-2</v>
      </c>
      <c r="L198" s="104">
        <f>IF(ISNUMBER(J198), $B199 * K198, "")</f>
        <v>1298.7012987012988</v>
      </c>
      <c r="M198" s="102">
        <v>311</v>
      </c>
      <c r="N198" s="25">
        <f t="shared" si="109"/>
        <v>9.74025974025974E-3</v>
      </c>
      <c r="O198" s="104">
        <f>IF(ISNUMBER(M198), $B199 * N198, "")</f>
        <v>974.02597402597405</v>
      </c>
      <c r="Q198" s="227"/>
      <c r="R198" s="228"/>
      <c r="S198" s="229"/>
    </row>
    <row r="199" spans="1:19" ht="17.25" thickBot="1">
      <c r="A199" s="132" t="s">
        <v>300</v>
      </c>
      <c r="B199" s="288">
        <f>$B$37</f>
        <v>100000</v>
      </c>
      <c r="C199" s="289"/>
      <c r="D199" s="26" t="s">
        <v>301</v>
      </c>
      <c r="E199" s="27">
        <f>IF(COUNT(E179:E198), SUM(E179:E198) / COUNT(E179:E198), 0)</f>
        <v>2.3432966953955501E-2</v>
      </c>
      <c r="F199" s="28">
        <f>SUM(F179:F198)</f>
        <v>46865.933907911007</v>
      </c>
      <c r="G199" s="26" t="s">
        <v>301</v>
      </c>
      <c r="H199" s="27">
        <f>IF(COUNT(H179:H198), SUM(H179:H198) / COUNT(H179:H198), 0)</f>
        <v>6.6303063206126934E-3</v>
      </c>
      <c r="I199" s="28">
        <f>SUM(I179:I198)</f>
        <v>13260.612641225391</v>
      </c>
      <c r="J199" s="26" t="s">
        <v>301</v>
      </c>
      <c r="K199" s="27">
        <f>IF(COUNT(K179:K198), SUM(K179:K198) / COUNT(K179:K198), 0)</f>
        <v>1.5089161778004425E-2</v>
      </c>
      <c r="L199" s="28">
        <f>SUM(L179:L198)</f>
        <v>30178.323556008861</v>
      </c>
      <c r="M199" s="26" t="s">
        <v>301</v>
      </c>
      <c r="N199" s="27">
        <f>IF(COUNT(N179:N198), SUM(N179:N198) / COUNT(N179:N198), 0)</f>
        <v>1.2452647316933779E-2</v>
      </c>
      <c r="O199" s="28">
        <f>SUM(O179:O198)</f>
        <v>24905.294633867568</v>
      </c>
      <c r="Q199" s="230"/>
      <c r="R199" s="231"/>
      <c r="S199" s="232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8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8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8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8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8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8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8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8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8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8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837" priority="157">
      <formula>AND($N17 &gt; 0, ISNUMBER($N17))</formula>
    </cfRule>
    <cfRule type="expression" dxfId="2836" priority="158">
      <formula>AND($N17 = 0 * ISNUMBER($N17))</formula>
    </cfRule>
    <cfRule type="expression" dxfId="2835" priority="159">
      <formula>AND($N17 &lt; 0, ISNUMBER($N17))</formula>
    </cfRule>
  </conditionalFormatting>
  <conditionalFormatting sqref="A17:F36">
    <cfRule type="expression" dxfId="2834" priority="166">
      <formula>AND($E17 &gt; 0, ISNUMBER($E17))</formula>
    </cfRule>
    <cfRule type="expression" dxfId="2833" priority="167">
      <formula>AND($E17 = 0 * ISNUMBER($E17))</formula>
    </cfRule>
    <cfRule type="expression" dxfId="2832" priority="168">
      <formula>AND($E17 &lt; 0, ISNUMBER($E17))</formula>
    </cfRule>
  </conditionalFormatting>
  <conditionalFormatting sqref="A17:C36 G17:I36">
    <cfRule type="expression" dxfId="2831" priority="163">
      <formula>AND($H17 &gt; 0, ISNUMBER($H17))</formula>
    </cfRule>
    <cfRule type="expression" dxfId="2830" priority="164">
      <formula>AND($H17 = 0 * ISNUMBER($H17))</formula>
    </cfRule>
    <cfRule type="expression" dxfId="2829" priority="165">
      <formula>AND($H17 &lt; 0, ISNUMBER($H17))</formula>
    </cfRule>
  </conditionalFormatting>
  <conditionalFormatting sqref="A17:C36 J17:L36">
    <cfRule type="expression" dxfId="2828" priority="160">
      <formula>AND($K17 &gt; 0, ISNUMBER($K17))</formula>
    </cfRule>
    <cfRule type="expression" dxfId="2827" priority="161">
      <formula>AND($K17 = 0 * ISNUMBER($K17))</formula>
    </cfRule>
    <cfRule type="expression" dxfId="2826" priority="162">
      <formula>AND($K17 &lt; 0, ISNUMBER($K17))</formula>
    </cfRule>
  </conditionalFormatting>
  <conditionalFormatting sqref="D15:F16 E37:F37">
    <cfRule type="expression" dxfId="2825" priority="154">
      <formula>$E$37 &gt; 0</formula>
    </cfRule>
    <cfRule type="expression" dxfId="2824" priority="155">
      <formula>$E$37 = 0</formula>
    </cfRule>
    <cfRule type="expression" dxfId="2823" priority="156">
      <formula>$E$37 &lt; 0</formula>
    </cfRule>
  </conditionalFormatting>
  <conditionalFormatting sqref="G15:I16 H37:I37">
    <cfRule type="expression" dxfId="2822" priority="151">
      <formula>$H$37 &gt; 0</formula>
    </cfRule>
    <cfRule type="expression" dxfId="2821" priority="152">
      <formula>$H$37 = 0</formula>
    </cfRule>
    <cfRule type="expression" dxfId="2820" priority="153">
      <formula>$H$37 &lt; 0</formula>
    </cfRule>
  </conditionalFormatting>
  <conditionalFormatting sqref="J15:L16 K37:L37">
    <cfRule type="expression" dxfId="2819" priority="148">
      <formula>$K$37 &gt; 0</formula>
    </cfRule>
    <cfRule type="expression" dxfId="2818" priority="149">
      <formula>$K$37 = 0</formula>
    </cfRule>
    <cfRule type="expression" dxfId="2817" priority="150">
      <formula>$K$37 &lt; 0</formula>
    </cfRule>
  </conditionalFormatting>
  <conditionalFormatting sqref="M15:O16 N37:O37">
    <cfRule type="expression" dxfId="2816" priority="145">
      <formula>$N$37 &gt; 0</formula>
    </cfRule>
    <cfRule type="expression" dxfId="2815" priority="146">
      <formula>$N$37 = 0</formula>
    </cfRule>
    <cfRule type="expression" dxfId="2814" priority="147">
      <formula>$N$37 &lt; 0</formula>
    </cfRule>
  </conditionalFormatting>
  <conditionalFormatting sqref="A44:C63 M44:O63">
    <cfRule type="expression" dxfId="2813" priority="133">
      <formula>AND($N44 &gt; 0, ISNUMBER($N44))</formula>
    </cfRule>
    <cfRule type="expression" dxfId="2812" priority="134">
      <formula>AND($N44 = 0 * ISNUMBER($N44))</formula>
    </cfRule>
    <cfRule type="expression" dxfId="2811" priority="135">
      <formula>AND($N44 &lt; 0, ISNUMBER($N44))</formula>
    </cfRule>
  </conditionalFormatting>
  <conditionalFormatting sqref="A44:F63">
    <cfRule type="expression" dxfId="2810" priority="142">
      <formula>AND($E44 &gt; 0, ISNUMBER($E44))</formula>
    </cfRule>
    <cfRule type="expression" dxfId="2809" priority="143">
      <formula>AND($E44 = 0 * ISNUMBER($E44))</formula>
    </cfRule>
    <cfRule type="expression" dxfId="2808" priority="144">
      <formula>AND($E44 &lt; 0, ISNUMBER($E44))</formula>
    </cfRule>
  </conditionalFormatting>
  <conditionalFormatting sqref="A44:C63 G44:I63">
    <cfRule type="expression" dxfId="2807" priority="139">
      <formula>AND($H44 &gt; 0, ISNUMBER($H44))</formula>
    </cfRule>
    <cfRule type="expression" dxfId="2806" priority="140">
      <formula>AND($H44 = 0 * ISNUMBER($H44))</formula>
    </cfRule>
    <cfRule type="expression" dxfId="2805" priority="141">
      <formula>AND($H44 &lt; 0, ISNUMBER($H44))</formula>
    </cfRule>
  </conditionalFormatting>
  <conditionalFormatting sqref="A44:C63 J44:L63">
    <cfRule type="expression" dxfId="2804" priority="136">
      <formula>AND($K44 &gt; 0, ISNUMBER($K44))</formula>
    </cfRule>
    <cfRule type="expression" dxfId="2803" priority="137">
      <formula>AND($K44 = 0 * ISNUMBER($K44))</formula>
    </cfRule>
    <cfRule type="expression" dxfId="2802" priority="138">
      <formula>AND($K44 &lt; 0, ISNUMBER($K44))</formula>
    </cfRule>
  </conditionalFormatting>
  <conditionalFormatting sqref="D42:F43 E64:F64">
    <cfRule type="expression" dxfId="2801" priority="130">
      <formula>$E$64 &gt; 0</formula>
    </cfRule>
    <cfRule type="expression" dxfId="2800" priority="131">
      <formula>$E$64 = 0</formula>
    </cfRule>
    <cfRule type="expression" dxfId="2799" priority="132">
      <formula>$E$64 &lt; 0</formula>
    </cfRule>
  </conditionalFormatting>
  <conditionalFormatting sqref="G42:I43 H64:I64">
    <cfRule type="expression" dxfId="2798" priority="127">
      <formula>$H$64 &gt; 0</formula>
    </cfRule>
    <cfRule type="expression" dxfId="2797" priority="128">
      <formula>$H$64 = 0</formula>
    </cfRule>
    <cfRule type="expression" dxfId="2796" priority="129">
      <formula>$H$64 &lt; 0</formula>
    </cfRule>
  </conditionalFormatting>
  <conditionalFormatting sqref="J42:L43 K64:L64">
    <cfRule type="expression" dxfId="2795" priority="124">
      <formula>$K$64 &gt; 0</formula>
    </cfRule>
    <cfRule type="expression" dxfId="2794" priority="125">
      <formula>$K$64 = 0</formula>
    </cfRule>
    <cfRule type="expression" dxfId="2793" priority="126">
      <formula>$K$64 &lt; 0</formula>
    </cfRule>
  </conditionalFormatting>
  <conditionalFormatting sqref="M42:O43 N64:O64">
    <cfRule type="expression" dxfId="2792" priority="121">
      <formula>$N$64 &gt; 0</formula>
    </cfRule>
    <cfRule type="expression" dxfId="2791" priority="122">
      <formula>$N$64 = 0</formula>
    </cfRule>
    <cfRule type="expression" dxfId="2790" priority="123">
      <formula>$N$64 &lt; 0</formula>
    </cfRule>
  </conditionalFormatting>
  <conditionalFormatting sqref="A71:C90 M71:O90">
    <cfRule type="expression" dxfId="2789" priority="109">
      <formula>AND($N71 &gt; 0, ISNUMBER($N71))</formula>
    </cfRule>
    <cfRule type="expression" dxfId="2788" priority="110">
      <formula>AND($N71 = 0 * ISNUMBER($N71))</formula>
    </cfRule>
    <cfRule type="expression" dxfId="2787" priority="111">
      <formula>AND($N71 &lt; 0, ISNUMBER($N71))</formula>
    </cfRule>
  </conditionalFormatting>
  <conditionalFormatting sqref="A71:F90">
    <cfRule type="expression" dxfId="2786" priority="118">
      <formula>AND($E71 &gt; 0, ISNUMBER($E71))</formula>
    </cfRule>
    <cfRule type="expression" dxfId="2785" priority="119">
      <formula>AND($E71 = 0 * ISNUMBER($E71))</formula>
    </cfRule>
    <cfRule type="expression" dxfId="2784" priority="120">
      <formula>AND($E71 &lt; 0, ISNUMBER($E71))</formula>
    </cfRule>
  </conditionalFormatting>
  <conditionalFormatting sqref="A71:C90 G71:I90">
    <cfRule type="expression" dxfId="2783" priority="115">
      <formula>AND($H71 &gt; 0, ISNUMBER($H71))</formula>
    </cfRule>
    <cfRule type="expression" dxfId="2782" priority="116">
      <formula>AND($H71 = 0 * ISNUMBER($H71))</formula>
    </cfRule>
    <cfRule type="expression" dxfId="2781" priority="117">
      <formula>AND($H71 &lt; 0, ISNUMBER($H71))</formula>
    </cfRule>
  </conditionalFormatting>
  <conditionalFormatting sqref="A71:C90 J71:L90">
    <cfRule type="expression" dxfId="2780" priority="112">
      <formula>AND($K71 &gt; 0, ISNUMBER($K71))</formula>
    </cfRule>
    <cfRule type="expression" dxfId="2779" priority="113">
      <formula>AND($K71 = 0 * ISNUMBER($K71))</formula>
    </cfRule>
    <cfRule type="expression" dxfId="2778" priority="114">
      <formula>AND($K71 &lt; 0, ISNUMBER($K71))</formula>
    </cfRule>
  </conditionalFormatting>
  <conditionalFormatting sqref="D69:F70 E91:F91">
    <cfRule type="expression" dxfId="2777" priority="106">
      <formula>$E$91 &gt; 0</formula>
    </cfRule>
    <cfRule type="expression" dxfId="2776" priority="107">
      <formula>$E$91 = 0</formula>
    </cfRule>
    <cfRule type="expression" dxfId="2775" priority="108">
      <formula>$E$91 &lt; 0</formula>
    </cfRule>
  </conditionalFormatting>
  <conditionalFormatting sqref="G69:I70 H91:I91">
    <cfRule type="expression" dxfId="2774" priority="103">
      <formula>$H$91 &gt; 0</formula>
    </cfRule>
    <cfRule type="expression" dxfId="2773" priority="104">
      <formula>$H$91 = 0</formula>
    </cfRule>
    <cfRule type="expression" dxfId="2772" priority="105">
      <formula>$H$91 &lt; 0</formula>
    </cfRule>
  </conditionalFormatting>
  <conditionalFormatting sqref="J69:L70 K91:L91">
    <cfRule type="expression" dxfId="2771" priority="100">
      <formula>$K$91 &gt; 0</formula>
    </cfRule>
    <cfRule type="expression" dxfId="2770" priority="101">
      <formula>$K$91 = 0</formula>
    </cfRule>
    <cfRule type="expression" dxfId="2769" priority="102">
      <formula>$K$91 &lt; 0</formula>
    </cfRule>
  </conditionalFormatting>
  <conditionalFormatting sqref="M69:O70 N91:O91">
    <cfRule type="expression" dxfId="2768" priority="97">
      <formula>$N$91 &gt; 0</formula>
    </cfRule>
    <cfRule type="expression" dxfId="2767" priority="98">
      <formula>$N$91 = 0</formula>
    </cfRule>
    <cfRule type="expression" dxfId="2766" priority="99">
      <formula>$N$91 &lt; 0</formula>
    </cfRule>
  </conditionalFormatting>
  <conditionalFormatting sqref="A98:C117 M98:O117">
    <cfRule type="expression" dxfId="2765" priority="85">
      <formula>AND($N98 &gt; 0, ISNUMBER($N98))</formula>
    </cfRule>
    <cfRule type="expression" dxfId="2764" priority="86">
      <formula>AND($N98 = 0 * ISNUMBER($N98))</formula>
    </cfRule>
    <cfRule type="expression" dxfId="2763" priority="87">
      <formula>AND($N98 &lt; 0, ISNUMBER($N98))</formula>
    </cfRule>
  </conditionalFormatting>
  <conditionalFormatting sqref="A98:F117">
    <cfRule type="expression" dxfId="2762" priority="94">
      <formula>AND($E98 &gt; 0, ISNUMBER($E98))</formula>
    </cfRule>
    <cfRule type="expression" dxfId="2761" priority="95">
      <formula>AND($E98 = 0 * ISNUMBER($E98))</formula>
    </cfRule>
    <cfRule type="expression" dxfId="2760" priority="96">
      <formula>AND($E98 &lt; 0, ISNUMBER($E98))</formula>
    </cfRule>
  </conditionalFormatting>
  <conditionalFormatting sqref="A98:C117 G98:I117">
    <cfRule type="expression" dxfId="2759" priority="91">
      <formula>AND($H98 &gt; 0, ISNUMBER($H98))</formula>
    </cfRule>
    <cfRule type="expression" dxfId="2758" priority="92">
      <formula>AND($H98 = 0 * ISNUMBER($H98))</formula>
    </cfRule>
    <cfRule type="expression" dxfId="2757" priority="93">
      <formula>AND($H98 &lt; 0, ISNUMBER($H98))</formula>
    </cfRule>
  </conditionalFormatting>
  <conditionalFormatting sqref="A98:C117 J98:L117">
    <cfRule type="expression" dxfId="2756" priority="88">
      <formula>AND($K98 &gt; 0, ISNUMBER($K98))</formula>
    </cfRule>
    <cfRule type="expression" dxfId="2755" priority="89">
      <formula>AND($K98 = 0 * ISNUMBER($K98))</formula>
    </cfRule>
    <cfRule type="expression" dxfId="2754" priority="90">
      <formula>AND($K98 &lt; 0, ISNUMBER($K98))</formula>
    </cfRule>
  </conditionalFormatting>
  <conditionalFormatting sqref="D96:F97 E118:F118">
    <cfRule type="expression" dxfId="2753" priority="82">
      <formula>$E$118 &gt; 0</formula>
    </cfRule>
    <cfRule type="expression" dxfId="2752" priority="83">
      <formula>$E$118 = 0</formula>
    </cfRule>
    <cfRule type="expression" dxfId="2751" priority="84">
      <formula>$E$118 &lt; 0</formula>
    </cfRule>
  </conditionalFormatting>
  <conditionalFormatting sqref="G96:I97 H118:I118">
    <cfRule type="expression" dxfId="2750" priority="79">
      <formula>$H$118 &gt; 0</formula>
    </cfRule>
    <cfRule type="expression" dxfId="2749" priority="80">
      <formula>$H$118 = 0</formula>
    </cfRule>
    <cfRule type="expression" dxfId="2748" priority="81">
      <formula>$H$118 &lt; 0</formula>
    </cfRule>
  </conditionalFormatting>
  <conditionalFormatting sqref="J96:L97 K118:L118">
    <cfRule type="expression" dxfId="2747" priority="76">
      <formula>$K$118 &gt; 0</formula>
    </cfRule>
    <cfRule type="expression" dxfId="2746" priority="77">
      <formula>$K$118 = 0</formula>
    </cfRule>
    <cfRule type="expression" dxfId="2745" priority="78">
      <formula>$K$118 &lt; 0</formula>
    </cfRule>
  </conditionalFormatting>
  <conditionalFormatting sqref="M96:O97 N118:O118">
    <cfRule type="expression" dxfId="2744" priority="73">
      <formula>$N$118 &gt; 0</formula>
    </cfRule>
    <cfRule type="expression" dxfId="2743" priority="74">
      <formula>$N$118 = 0</formula>
    </cfRule>
    <cfRule type="expression" dxfId="2742" priority="75">
      <formula>$N$118 &lt; 0</formula>
    </cfRule>
  </conditionalFormatting>
  <conditionalFormatting sqref="A125:C144 M125:O144">
    <cfRule type="expression" dxfId="2741" priority="61">
      <formula>AND($N125 &gt; 0, ISNUMBER($N125))</formula>
    </cfRule>
    <cfRule type="expression" dxfId="2740" priority="62">
      <formula>AND($N125 = 0 * ISNUMBER($N125))</formula>
    </cfRule>
    <cfRule type="expression" dxfId="2739" priority="63">
      <formula>AND($N125 &lt; 0, ISNUMBER($N125))</formula>
    </cfRule>
  </conditionalFormatting>
  <conditionalFormatting sqref="A125:F144">
    <cfRule type="expression" dxfId="2738" priority="70">
      <formula>AND($E125 &gt; 0, ISNUMBER($E125))</formula>
    </cfRule>
    <cfRule type="expression" dxfId="2737" priority="71">
      <formula>AND($E125 = 0 * ISNUMBER($E125))</formula>
    </cfRule>
    <cfRule type="expression" dxfId="2736" priority="72">
      <formula>AND($E125 &lt; 0, ISNUMBER($E125))</formula>
    </cfRule>
  </conditionalFormatting>
  <conditionalFormatting sqref="A125:C144 G125:I144">
    <cfRule type="expression" dxfId="2735" priority="67">
      <formula>AND($H125 &gt; 0, ISNUMBER($H125))</formula>
    </cfRule>
    <cfRule type="expression" dxfId="2734" priority="68">
      <formula>AND($H125 = 0 * ISNUMBER($H125))</formula>
    </cfRule>
    <cfRule type="expression" dxfId="2733" priority="69">
      <formula>AND($H125 &lt; 0, ISNUMBER($H125))</formula>
    </cfRule>
  </conditionalFormatting>
  <conditionalFormatting sqref="A125:C144 J125:L144">
    <cfRule type="expression" dxfId="2732" priority="64">
      <formula>AND($K125 &gt; 0, ISNUMBER($K125))</formula>
    </cfRule>
    <cfRule type="expression" dxfId="2731" priority="65">
      <formula>AND($K125 = 0 * ISNUMBER($K125))</formula>
    </cfRule>
    <cfRule type="expression" dxfId="2730" priority="66">
      <formula>AND($K125 &lt; 0, ISNUMBER($K125))</formula>
    </cfRule>
  </conditionalFormatting>
  <conditionalFormatting sqref="D123:F124 E145:F145">
    <cfRule type="expression" dxfId="2729" priority="58">
      <formula>$E$145 &gt; 0</formula>
    </cfRule>
    <cfRule type="expression" dxfId="2728" priority="59">
      <formula>$E$145 = 0</formula>
    </cfRule>
    <cfRule type="expression" dxfId="2727" priority="60">
      <formula>$E$145 &lt; 0</formula>
    </cfRule>
  </conditionalFormatting>
  <conditionalFormatting sqref="G123:I124 H145:I145">
    <cfRule type="expression" dxfId="2726" priority="55">
      <formula>$H$145 &gt; 0</formula>
    </cfRule>
    <cfRule type="expression" dxfId="2725" priority="56">
      <formula>$H$145 = 0</formula>
    </cfRule>
    <cfRule type="expression" dxfId="2724" priority="57">
      <formula>$H$145 &lt; 0</formula>
    </cfRule>
  </conditionalFormatting>
  <conditionalFormatting sqref="J123:L124 K145:L145">
    <cfRule type="expression" dxfId="2723" priority="52">
      <formula>$K$145 &gt; 0</formula>
    </cfRule>
    <cfRule type="expression" dxfId="2722" priority="53">
      <formula>$K$145 = 0</formula>
    </cfRule>
    <cfRule type="expression" dxfId="2721" priority="54">
      <formula>$K$145 &lt; 0</formula>
    </cfRule>
  </conditionalFormatting>
  <conditionalFormatting sqref="M123:O124 N145:O145">
    <cfRule type="expression" dxfId="2720" priority="49">
      <formula>$N$145 &gt; 0</formula>
    </cfRule>
    <cfRule type="expression" dxfId="2719" priority="50">
      <formula>$N$145 = 0</formula>
    </cfRule>
    <cfRule type="expression" dxfId="2718" priority="51">
      <formula>$N$145 &lt; 0</formula>
    </cfRule>
  </conditionalFormatting>
  <conditionalFormatting sqref="A152:C171 M152:O171">
    <cfRule type="expression" dxfId="2717" priority="37">
      <formula>AND($N152 &gt; 0, ISNUMBER($N152))</formula>
    </cfRule>
    <cfRule type="expression" dxfId="2716" priority="38">
      <formula>AND($N152 = 0 * ISNUMBER($N152))</formula>
    </cfRule>
    <cfRule type="expression" dxfId="2715" priority="39">
      <formula>AND($N152 &lt; 0, ISNUMBER($N152))</formula>
    </cfRule>
  </conditionalFormatting>
  <conditionalFormatting sqref="A152:F171">
    <cfRule type="expression" dxfId="2714" priority="46">
      <formula>AND($E152 &gt; 0, ISNUMBER($E152))</formula>
    </cfRule>
    <cfRule type="expression" dxfId="2713" priority="47">
      <formula>AND($E152 = 0 * ISNUMBER($E152))</formula>
    </cfRule>
    <cfRule type="expression" dxfId="2712" priority="48">
      <formula>AND($E152 &lt; 0, ISNUMBER($E152))</formula>
    </cfRule>
  </conditionalFormatting>
  <conditionalFormatting sqref="A152:C171 G152:I171">
    <cfRule type="expression" dxfId="2711" priority="43">
      <formula>AND($H152 &gt; 0, ISNUMBER($H152))</formula>
    </cfRule>
    <cfRule type="expression" dxfId="2710" priority="44">
      <formula>AND($H152 = 0 * ISNUMBER($H152))</formula>
    </cfRule>
    <cfRule type="expression" dxfId="2709" priority="45">
      <formula>AND($H152 &lt; 0, ISNUMBER($H152))</formula>
    </cfRule>
  </conditionalFormatting>
  <conditionalFormatting sqref="A152:C171 J152:L171">
    <cfRule type="expression" dxfId="2708" priority="40">
      <formula>AND($K152 &gt; 0, ISNUMBER($K152))</formula>
    </cfRule>
    <cfRule type="expression" dxfId="2707" priority="41">
      <formula>AND($K152 = 0 * ISNUMBER($K152))</formula>
    </cfRule>
    <cfRule type="expression" dxfId="2706" priority="42">
      <formula>AND($K152 &lt; 0, ISNUMBER($K152))</formula>
    </cfRule>
  </conditionalFormatting>
  <conditionalFormatting sqref="D150:F151 E172:F172">
    <cfRule type="expression" dxfId="2705" priority="34">
      <formula>$E$172 &gt; 0</formula>
    </cfRule>
    <cfRule type="expression" dxfId="2704" priority="35">
      <formula>$E$172 = 0</formula>
    </cfRule>
    <cfRule type="expression" dxfId="2703" priority="36">
      <formula>$E$172 &lt; 0</formula>
    </cfRule>
  </conditionalFormatting>
  <conditionalFormatting sqref="G150:I151 H172:I172">
    <cfRule type="expression" dxfId="2702" priority="31">
      <formula>$H$172 &gt; 0</formula>
    </cfRule>
    <cfRule type="expression" dxfId="2701" priority="32">
      <formula>$H$172 = 0</formula>
    </cfRule>
    <cfRule type="expression" dxfId="2700" priority="33">
      <formula>$H$172 &lt; 0</formula>
    </cfRule>
  </conditionalFormatting>
  <conditionalFormatting sqref="J150:L151 K172:L172">
    <cfRule type="expression" dxfId="2699" priority="28">
      <formula>$K$172 &gt; 0</formula>
    </cfRule>
    <cfRule type="expression" dxfId="2698" priority="29">
      <formula>$K$172 = 0</formula>
    </cfRule>
    <cfRule type="expression" dxfId="2697" priority="30">
      <formula>$K$172 &lt; 0</formula>
    </cfRule>
  </conditionalFormatting>
  <conditionalFormatting sqref="M150:O151 N172:O172">
    <cfRule type="expression" dxfId="2696" priority="25">
      <formula>$N$172 &gt; 0</formula>
    </cfRule>
    <cfRule type="expression" dxfId="2695" priority="26">
      <formula>$N$172 = 0</formula>
    </cfRule>
    <cfRule type="expression" dxfId="2694" priority="27">
      <formula>$N$172 &lt; 0</formula>
    </cfRule>
  </conditionalFormatting>
  <conditionalFormatting sqref="A179:C198 M179:O198">
    <cfRule type="expression" dxfId="2693" priority="13">
      <formula>AND($N179 &gt; 0, ISNUMBER($N179))</formula>
    </cfRule>
    <cfRule type="expression" dxfId="2692" priority="14">
      <formula>AND($N179 = 0 * ISNUMBER($N179))</formula>
    </cfRule>
    <cfRule type="expression" dxfId="2691" priority="15">
      <formula>AND($N179 &lt; 0, ISNUMBER($N179))</formula>
    </cfRule>
  </conditionalFormatting>
  <conditionalFormatting sqref="A179:F198">
    <cfRule type="expression" dxfId="2690" priority="22">
      <formula>AND($E179 &gt; 0, ISNUMBER($E179))</formula>
    </cfRule>
    <cfRule type="expression" dxfId="2689" priority="23">
      <formula>AND($E179 = 0 * ISNUMBER($E179))</formula>
    </cfRule>
    <cfRule type="expression" dxfId="2688" priority="24">
      <formula>AND($E179 &lt; 0, ISNUMBER($E179))</formula>
    </cfRule>
  </conditionalFormatting>
  <conditionalFormatting sqref="A179:C198 G179:I198">
    <cfRule type="expression" dxfId="2687" priority="19">
      <formula>AND($H179 &gt; 0, ISNUMBER($H179))</formula>
    </cfRule>
    <cfRule type="expression" dxfId="2686" priority="20">
      <formula>AND($H179 = 0 * ISNUMBER($H179))</formula>
    </cfRule>
    <cfRule type="expression" dxfId="2685" priority="21">
      <formula>AND($H179 &lt; 0, ISNUMBER($H179))</formula>
    </cfRule>
  </conditionalFormatting>
  <conditionalFormatting sqref="A179:C198 J179:L198">
    <cfRule type="expression" dxfId="2684" priority="16">
      <formula>AND($K179 &gt; 0, ISNUMBER($K179))</formula>
    </cfRule>
    <cfRule type="expression" dxfId="2683" priority="17">
      <formula>AND($K179 = 0 * ISNUMBER($K179))</formula>
    </cfRule>
    <cfRule type="expression" dxfId="2682" priority="18">
      <formula>AND($K179 &lt; 0, ISNUMBER($K179))</formula>
    </cfRule>
  </conditionalFormatting>
  <conditionalFormatting sqref="D177:F178 E199:F199">
    <cfRule type="expression" dxfId="2681" priority="10">
      <formula>$E$199 &gt; 0</formula>
    </cfRule>
    <cfRule type="expression" dxfId="2680" priority="11">
      <formula>$E$199 = 0</formula>
    </cfRule>
    <cfRule type="expression" dxfId="2679" priority="12">
      <formula>$E$199 &lt; 0</formula>
    </cfRule>
  </conditionalFormatting>
  <conditionalFormatting sqref="G177:I178 H199:I199">
    <cfRule type="expression" dxfId="2678" priority="7">
      <formula>$H$199 &gt; 0</formula>
    </cfRule>
    <cfRule type="expression" dxfId="2677" priority="8">
      <formula>$H$199 = 0</formula>
    </cfRule>
    <cfRule type="expression" dxfId="2676" priority="9">
      <formula>$H$199 &lt; 0</formula>
    </cfRule>
  </conditionalFormatting>
  <conditionalFormatting sqref="J177:L178 K199:L199">
    <cfRule type="expression" dxfId="2675" priority="4">
      <formula>$K$199 &gt; 0</formula>
    </cfRule>
    <cfRule type="expression" dxfId="2674" priority="5">
      <formula>$K$199 = 0</formula>
    </cfRule>
    <cfRule type="expression" dxfId="2673" priority="6">
      <formula>$K$199 &lt; 0</formula>
    </cfRule>
  </conditionalFormatting>
  <conditionalFormatting sqref="M177:O178 N199:O199">
    <cfRule type="expression" dxfId="2672" priority="1">
      <formula>$N$199 &gt; 0</formula>
    </cfRule>
    <cfRule type="expression" dxfId="2671" priority="2">
      <formula>$N$199 = 0</formula>
    </cfRule>
    <cfRule type="expression" dxfId="26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37223-9CA1-4369-AD13-0FE327C81E67}">
  <sheetPr codeName="Sheet7"/>
  <dimension ref="A1:S199"/>
  <sheetViews>
    <sheetView topLeftCell="A167" zoomScaleNormal="100" workbookViewId="0">
      <selection activeCell="G199" sqref="G19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6" t="s">
        <v>0</v>
      </c>
      <c r="B1" s="247"/>
      <c r="C1" s="247"/>
      <c r="D1" s="247"/>
      <c r="E1" s="247"/>
      <c r="F1" s="248"/>
      <c r="G1" s="277">
        <v>44349</v>
      </c>
      <c r="H1" s="278"/>
      <c r="I1" s="279"/>
      <c r="J1" s="246" t="s">
        <v>1</v>
      </c>
      <c r="K1" s="247"/>
      <c r="L1" s="247"/>
      <c r="M1" s="247"/>
      <c r="N1" s="247"/>
      <c r="O1" s="248"/>
      <c r="Q1" s="246" t="s">
        <v>2</v>
      </c>
      <c r="R1" s="248"/>
    </row>
    <row r="2" spans="1:19" ht="17.25" customHeight="1">
      <c r="A2" s="117" t="s">
        <v>3</v>
      </c>
      <c r="B2" s="280" t="s">
        <v>8</v>
      </c>
      <c r="C2" s="281"/>
      <c r="D2" s="281"/>
      <c r="E2" s="281"/>
      <c r="F2" s="282"/>
      <c r="G2" s="274" t="s">
        <v>46</v>
      </c>
      <c r="H2" s="275"/>
      <c r="I2" s="276"/>
      <c r="J2" s="1" t="s">
        <v>3</v>
      </c>
      <c r="K2" s="280" t="s">
        <v>350</v>
      </c>
      <c r="L2" s="281"/>
      <c r="M2" s="281"/>
      <c r="N2" s="281"/>
      <c r="O2" s="282"/>
      <c r="Q2" s="2" t="s">
        <v>6</v>
      </c>
      <c r="R2" s="3">
        <v>0.375</v>
      </c>
    </row>
    <row r="3" spans="1:19" ht="17.25" customHeight="1" thickBot="1">
      <c r="A3" s="118" t="s">
        <v>7</v>
      </c>
      <c r="B3" s="271" t="s">
        <v>358</v>
      </c>
      <c r="C3" s="272"/>
      <c r="D3" s="272"/>
      <c r="E3" s="272"/>
      <c r="F3" s="273"/>
      <c r="G3" s="26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92,326 KRW (4.62%)</v>
      </c>
      <c r="H3" s="268"/>
      <c r="I3" s="269"/>
      <c r="J3" s="4" t="s">
        <v>7</v>
      </c>
      <c r="K3" s="271" t="s">
        <v>351</v>
      </c>
      <c r="L3" s="272"/>
      <c r="M3" s="272"/>
      <c r="N3" s="272"/>
      <c r="O3" s="27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1" t="s">
        <v>16</v>
      </c>
      <c r="C4" s="272"/>
      <c r="D4" s="272"/>
      <c r="E4" s="272"/>
      <c r="F4" s="273"/>
      <c r="G4" s="274" t="s">
        <v>44</v>
      </c>
      <c r="H4" s="275"/>
      <c r="I4" s="276"/>
      <c r="J4" s="4" t="s">
        <v>11</v>
      </c>
      <c r="K4" s="271" t="s">
        <v>352</v>
      </c>
      <c r="L4" s="272"/>
      <c r="M4" s="272"/>
      <c r="N4" s="272"/>
      <c r="O4" s="27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1" t="s">
        <v>349</v>
      </c>
      <c r="C5" s="272"/>
      <c r="D5" s="272"/>
      <c r="E5" s="272"/>
      <c r="F5" s="273"/>
      <c r="G5" s="26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41,673 KRW (2.08%)</v>
      </c>
      <c r="H5" s="268"/>
      <c r="I5" s="269"/>
      <c r="J5" s="4" t="s">
        <v>15</v>
      </c>
      <c r="K5" s="271" t="s">
        <v>353</v>
      </c>
      <c r="L5" s="272"/>
      <c r="M5" s="272"/>
      <c r="N5" s="272"/>
      <c r="O5" s="273"/>
    </row>
    <row r="6" spans="1:19">
      <c r="A6" s="118" t="s">
        <v>18</v>
      </c>
      <c r="B6" s="271"/>
      <c r="C6" s="272"/>
      <c r="D6" s="272"/>
      <c r="E6" s="272"/>
      <c r="F6" s="273"/>
      <c r="G6" s="274" t="s">
        <v>45</v>
      </c>
      <c r="H6" s="275"/>
      <c r="I6" s="276"/>
      <c r="J6" s="4" t="s">
        <v>18</v>
      </c>
      <c r="K6" s="271" t="s">
        <v>354</v>
      </c>
      <c r="L6" s="272"/>
      <c r="M6" s="272"/>
      <c r="N6" s="272"/>
      <c r="O6" s="273"/>
    </row>
    <row r="7" spans="1:19" ht="17.25" thickBot="1">
      <c r="A7" s="118" t="s">
        <v>21</v>
      </c>
      <c r="B7" s="271"/>
      <c r="C7" s="272"/>
      <c r="D7" s="272"/>
      <c r="E7" s="272"/>
      <c r="F7" s="273"/>
      <c r="G7" s="26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60,421 KRW (3.02%)</v>
      </c>
      <c r="H7" s="268"/>
      <c r="I7" s="269"/>
      <c r="J7" s="4" t="s">
        <v>21</v>
      </c>
      <c r="K7" s="271" t="s">
        <v>355</v>
      </c>
      <c r="L7" s="272"/>
      <c r="M7" s="272"/>
      <c r="N7" s="272"/>
      <c r="O7" s="273"/>
    </row>
    <row r="8" spans="1:19" ht="17.25" thickBot="1">
      <c r="A8" s="118" t="s">
        <v>24</v>
      </c>
      <c r="B8" s="271"/>
      <c r="C8" s="272"/>
      <c r="D8" s="272"/>
      <c r="E8" s="272"/>
      <c r="F8" s="273"/>
      <c r="G8" s="274" t="s">
        <v>285</v>
      </c>
      <c r="H8" s="275"/>
      <c r="I8" s="276"/>
      <c r="J8" s="4" t="s">
        <v>24</v>
      </c>
      <c r="K8" s="271"/>
      <c r="L8" s="272"/>
      <c r="M8" s="272"/>
      <c r="N8" s="272"/>
      <c r="O8" s="273"/>
      <c r="Q8" s="246" t="s">
        <v>27</v>
      </c>
      <c r="R8" s="248"/>
    </row>
    <row r="9" spans="1:19" ht="17.25" thickBot="1">
      <c r="A9" s="118" t="s">
        <v>28</v>
      </c>
      <c r="B9" s="271"/>
      <c r="C9" s="272"/>
      <c r="D9" s="272"/>
      <c r="E9" s="272"/>
      <c r="F9" s="273"/>
      <c r="G9" s="26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41,903 KRW (2.10%)</v>
      </c>
      <c r="H9" s="268"/>
      <c r="I9" s="269"/>
      <c r="J9" s="4" t="s">
        <v>28</v>
      </c>
      <c r="K9" s="271"/>
      <c r="L9" s="272"/>
      <c r="M9" s="272"/>
      <c r="N9" s="272"/>
      <c r="O9" s="273"/>
      <c r="Q9" s="2" t="s">
        <v>29</v>
      </c>
      <c r="R9" s="6">
        <v>10</v>
      </c>
    </row>
    <row r="10" spans="1:19">
      <c r="A10" s="118" t="s">
        <v>30</v>
      </c>
      <c r="B10" s="271"/>
      <c r="C10" s="272"/>
      <c r="D10" s="272"/>
      <c r="E10" s="272"/>
      <c r="F10" s="273"/>
      <c r="G10" s="274" t="s">
        <v>47</v>
      </c>
      <c r="H10" s="275"/>
      <c r="I10" s="276"/>
      <c r="J10" s="4" t="s">
        <v>30</v>
      </c>
      <c r="K10" s="271" t="s">
        <v>356</v>
      </c>
      <c r="L10" s="272"/>
      <c r="M10" s="272"/>
      <c r="N10" s="272"/>
      <c r="O10" s="273"/>
      <c r="Q10" s="2" t="s">
        <v>31</v>
      </c>
      <c r="R10" s="6">
        <v>100</v>
      </c>
    </row>
    <row r="11" spans="1:19" ht="17.25" thickBot="1">
      <c r="A11" s="119" t="s">
        <v>32</v>
      </c>
      <c r="B11" s="264" t="s">
        <v>357</v>
      </c>
      <c r="C11" s="265"/>
      <c r="D11" s="265"/>
      <c r="E11" s="265"/>
      <c r="F11" s="266"/>
      <c r="G11" s="26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11,073 KRW (1.85%)</v>
      </c>
      <c r="H11" s="268"/>
      <c r="I11" s="269"/>
      <c r="J11" s="7" t="s">
        <v>32</v>
      </c>
      <c r="K11" s="264" t="s">
        <v>348</v>
      </c>
      <c r="L11" s="265"/>
      <c r="M11" s="265"/>
      <c r="N11" s="265"/>
      <c r="O11" s="266"/>
      <c r="Q11" s="65" t="s">
        <v>33</v>
      </c>
      <c r="R11" s="8">
        <v>1000</v>
      </c>
    </row>
    <row r="12" spans="1:19" ht="17.25" thickBot="1"/>
    <row r="13" spans="1:19" ht="17.25" customHeight="1" thickBot="1">
      <c r="A13" s="246" t="s">
        <v>34</v>
      </c>
      <c r="B13" s="247"/>
      <c r="C13" s="247"/>
      <c r="D13" s="247"/>
      <c r="E13" s="247"/>
      <c r="F13" s="247"/>
      <c r="G13" s="247"/>
      <c r="H13" s="247"/>
      <c r="I13" s="247"/>
      <c r="J13" s="247"/>
      <c r="K13" s="247"/>
      <c r="L13" s="247"/>
      <c r="M13" s="247"/>
      <c r="N13" s="247"/>
      <c r="O13" s="248"/>
      <c r="Q13" s="245"/>
      <c r="R13" s="245"/>
      <c r="S13" s="245"/>
    </row>
    <row r="14" spans="1:19" ht="17.25" customHeight="1" thickBot="1">
      <c r="A14" s="164" t="s">
        <v>35</v>
      </c>
      <c r="B14" s="246" t="s">
        <v>36</v>
      </c>
      <c r="C14" s="248"/>
      <c r="D14" s="246" t="s">
        <v>37</v>
      </c>
      <c r="E14" s="247"/>
      <c r="F14" s="248"/>
      <c r="G14" s="249">
        <f>_xlfn.IFNA(VLOOKUP(B14, 현재가테이블!$B$2:$D$200, 2, FALSE), "-")</f>
        <v>45335000</v>
      </c>
      <c r="H14" s="250"/>
      <c r="I14" s="251"/>
      <c r="J14" s="246" t="s">
        <v>38</v>
      </c>
      <c r="K14" s="247"/>
      <c r="L14" s="248"/>
      <c r="M14" s="252">
        <f>_xlfn.IFNA(VLOOKUP(B14, 현재가테이블!$B$2:$D$200, 3, FALSE), "-")</f>
        <v>-2.27209037E-2</v>
      </c>
      <c r="N14" s="253"/>
      <c r="O14" s="254"/>
      <c r="Q14" s="245"/>
      <c r="R14" s="245"/>
      <c r="S14" s="245"/>
    </row>
    <row r="15" spans="1:19" ht="17.25" customHeight="1" thickBot="1">
      <c r="A15" s="283" t="s">
        <v>39</v>
      </c>
      <c r="B15" s="284" t="str">
        <f>TEXT($G$1, "[$-ko-KR]yyyy-mm-dd(ddd) ") &amp; "오전 00:00"</f>
        <v>2021-06-02(수) 오전 00:00</v>
      </c>
      <c r="C15" s="285"/>
      <c r="D15" s="259" t="str">
        <f>TEXT($G$1, "[$-ko-KR]yyyy-mm-dd(ddd) ") &amp; "오후 14:00"</f>
        <v>2021-06-02(수) 오후 14:00</v>
      </c>
      <c r="E15" s="260"/>
      <c r="F15" s="261"/>
      <c r="G15" s="259" t="str">
        <f>TEXT($G$1, "[$-ko-KR]yyyy-mm-dd(ddd) ") &amp; "오후 19:00"</f>
        <v>2021-06-02(수) 오후 19:00</v>
      </c>
      <c r="H15" s="260"/>
      <c r="I15" s="261"/>
      <c r="J15" s="259" t="str">
        <f>TEXT($G$1, "[$-ko-KR]yyyy-mm-dd(ddd) ") &amp; "오후 21:00"</f>
        <v>2021-06-02(수) 오후 21:00</v>
      </c>
      <c r="K15" s="260"/>
      <c r="L15" s="261"/>
      <c r="M15" s="259" t="str">
        <f>TEXT($G$1+1, "[$-ko-KR]yyyy-mm-dd(ddd) ") &amp; "오전 00:00"</f>
        <v>2021-06-03(목) 오전 00:00</v>
      </c>
      <c r="N15" s="260"/>
      <c r="O15" s="261"/>
      <c r="Q15" s="245"/>
      <c r="R15" s="245"/>
      <c r="S15" s="245"/>
    </row>
    <row r="16" spans="1:19" ht="17.25" customHeight="1" thickBot="1">
      <c r="A16" s="28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5" t="s">
        <v>37</v>
      </c>
      <c r="H16" s="166" t="s">
        <v>40</v>
      </c>
      <c r="I16" s="16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5"/>
      <c r="R16" s="235"/>
      <c r="S16" s="235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94.1</v>
      </c>
      <c r="C17" s="76">
        <f>IF(NOT(ISBLANK(_xlfn.IFNA(VLOOKUP($A17, $A$40:$O$199, 3, FALSE), ))), _xlfn.IFNA(VLOOKUP($A17, $A$40:$O$199, 3, FALSE), ), "")</f>
        <v>-2.98969072E-2</v>
      </c>
      <c r="D17" s="13">
        <f>IF(NOT(ISBLANK(_xlfn.IFNA(VLOOKUP($A17, $A$40:$O$199, 4, FALSE), ))), _xlfn.IFNA(VLOOKUP($A17, $A$40:$O$199, 4, FALSE), ), "")</f>
        <v>94.3</v>
      </c>
      <c r="E17" s="14">
        <f>IF(NOT(ISBLANK(_xlfn.IFNA(VLOOKUP($A17, $A$40:$O$199, 5, FALSE), ))), _xlfn.IFNA(VLOOKUP($A17, $A$40:$O$199, 5, FALSE), ), "")</f>
        <v>2.1253985122210717E-3</v>
      </c>
      <c r="F17" s="16">
        <f>IF(NOT(ISBLANK(_xlfn.IFNA(VLOOKUP($A17, $A$40:$O$199, 6, FALSE), ))), _xlfn.IFNA(VLOOKUP($A17, $A$40:$O$199, 6, FALSE), ), "")</f>
        <v>212.53985122210716</v>
      </c>
      <c r="G17" s="29">
        <f>IF(NOT(ISBLANK(_xlfn.IFNA(VLOOKUP($A17, $A$40:$O$199, 7, FALSE), ))), _xlfn.IFNA(VLOOKUP($A17, $A$40:$O$199, 7, FALSE), ), "")</f>
        <v>94.4</v>
      </c>
      <c r="H17" s="14">
        <f>IF(NOT(ISBLANK(_xlfn.IFNA(VLOOKUP($A17, $A$40:$O$199, 8, FALSE), ))), _xlfn.IFNA(VLOOKUP($A17, $A$40:$O$199, 8, FALSE), ), "")</f>
        <v>3.188097768331683E-3</v>
      </c>
      <c r="I17" s="100">
        <f>IF(NOT(ISBLANK(_xlfn.IFNA(VLOOKUP($A17, $A$40:$O$199, 9, FALSE), ))), _xlfn.IFNA(VLOOKUP($A17, $A$40:$O$199, 9, FALSE), ), "")</f>
        <v>318.80977683316831</v>
      </c>
      <c r="J17" s="13">
        <f>IF(NOT(ISBLANK(_xlfn.IFNA(VLOOKUP($A17, $A$40:$O$199, 10, FALSE), ))), _xlfn.IFNA(VLOOKUP($A17, $A$40:$O$199, 10, FALSE), ), "")</f>
        <v>93.9</v>
      </c>
      <c r="K17" s="14">
        <f>IF(NOT(ISBLANK(_xlfn.IFNA(VLOOKUP($A17, $A$40:$O$199, 11, FALSE), ))), _xlfn.IFNA(VLOOKUP($A17, $A$40:$O$199, 11, FALSE), ), "")</f>
        <v>-2.1253985122209208E-3</v>
      </c>
      <c r="L17" s="16">
        <f>IF(NOT(ISBLANK(_xlfn.IFNA(VLOOKUP($A17, $A$40:$O$199, 12, FALSE), ))), _xlfn.IFNA(VLOOKUP($A17, $A$40:$O$199, 12, FALSE), ), "")</f>
        <v>-212.53985122209207</v>
      </c>
      <c r="M17" s="29">
        <f>IF(NOT(ISBLANK(_xlfn.IFNA(VLOOKUP($A17, $A$40:$O$199, 13, FALSE), ))), _xlfn.IFNA(VLOOKUP($A17, $A$40:$O$199, 13, FALSE), ), "")</f>
        <v>95.7</v>
      </c>
      <c r="N17" s="14">
        <f>IF(NOT(ISBLANK(_xlfn.IFNA(VLOOKUP($A17, $A$40:$O$199, 14, FALSE), ))), _xlfn.IFNA(VLOOKUP($A17, $A$40:$O$199, 14, FALSE), ), "")</f>
        <v>1.7003188097768424E-2</v>
      </c>
      <c r="O17" s="16">
        <f>IF(NOT(ISBLANK(_xlfn.IFNA(VLOOKUP($A17, $A$40:$O$199, 15, FALSE), ))), _xlfn.IFNA(VLOOKUP($A17, $A$40:$O$199, 15, FALSE), ), "")</f>
        <v>1700.3188097768425</v>
      </c>
      <c r="Q17" s="245"/>
      <c r="R17" s="245"/>
      <c r="S17" s="245"/>
    </row>
    <row r="18" spans="1:19" ht="17.25" customHeight="1" thickBot="1">
      <c r="A18" s="162" t="s">
        <v>120</v>
      </c>
      <c r="B18" s="126">
        <f t="shared" ref="B18:B36" si="0">IF(NOT(ISBLANK(_xlfn.IFNA(VLOOKUP($A18, $A$40:$O$199, 2, FALSE), ))), _xlfn.IFNA(VLOOKUP($A18, $A$40:$O$199, 2, FALSE), ), "")</f>
        <v>144</v>
      </c>
      <c r="C18" s="77">
        <f t="shared" ref="C18:C36" si="1">IF(NOT(ISBLANK(_xlfn.IFNA(VLOOKUP($A18, $A$40:$O$199, 3, FALSE), ))), _xlfn.IFNA(VLOOKUP($A18, $A$40:$O$199, 3, FALSE), ), "")</f>
        <v>-2.0408163300000001E-2</v>
      </c>
      <c r="D18" s="15">
        <f t="shared" ref="D18:D36" si="2">IF(NOT(ISBLANK(_xlfn.IFNA(VLOOKUP($A18, $A$40:$O$199, 4, FALSE), ))), _xlfn.IFNA(VLOOKUP($A18, $A$40:$O$199, 4, FALSE), ), "")</f>
        <v>146</v>
      </c>
      <c r="E18" s="32">
        <f t="shared" ref="E18:E36" si="3">IF(NOT(ISBLANK(_xlfn.IFNA(VLOOKUP($A18, $A$40:$O$199, 5, FALSE), ))), _xlfn.IFNA(VLOOKUP($A18, $A$40:$O$199, 5, FALSE), ), "")</f>
        <v>1.3888888888888888E-2</v>
      </c>
      <c r="F18" s="18">
        <f t="shared" ref="F18:F36" si="4">IF(NOT(ISBLANK(_xlfn.IFNA(VLOOKUP($A18, $A$40:$O$199, 6, FALSE), ))), _xlfn.IFNA(VLOOKUP($A18, $A$40:$O$199, 6, FALSE), ), "")</f>
        <v>1388.8888888888889</v>
      </c>
      <c r="G18" s="31">
        <f t="shared" ref="G18:G36" si="5">IF(NOT(ISBLANK(_xlfn.IFNA(VLOOKUP($A18, $A$40:$O$199, 7, FALSE), ))), _xlfn.IFNA(VLOOKUP($A18, $A$40:$O$199, 7, FALSE), ), "")</f>
        <v>146</v>
      </c>
      <c r="H18" s="32">
        <f t="shared" ref="H18:H36" si="6">IF(NOT(ISBLANK(_xlfn.IFNA(VLOOKUP($A18, $A$40:$O$199, 8, FALSE), ))), _xlfn.IFNA(VLOOKUP($A18, $A$40:$O$199, 8, FALSE), ), "")</f>
        <v>1.3888888888888888E-2</v>
      </c>
      <c r="I18" s="101">
        <f t="shared" ref="I18:I36" si="7">IF(NOT(ISBLANK(_xlfn.IFNA(VLOOKUP($A18, $A$40:$O$199, 9, FALSE), ))), _xlfn.IFNA(VLOOKUP($A18, $A$40:$O$199, 9, FALSE), ), "")</f>
        <v>1388.8888888888889</v>
      </c>
      <c r="J18" s="15">
        <f t="shared" ref="J18:J36" si="8">IF(NOT(ISBLANK(_xlfn.IFNA(VLOOKUP($A18, $A$40:$O$199, 10, FALSE), ))), _xlfn.IFNA(VLOOKUP($A18, $A$40:$O$199, 10, FALSE), ), "")</f>
        <v>147</v>
      </c>
      <c r="K18" s="32">
        <f t="shared" ref="K18:K36" si="9">IF(NOT(ISBLANK(_xlfn.IFNA(VLOOKUP($A18, $A$40:$O$199, 11, FALSE), ))), _xlfn.IFNA(VLOOKUP($A18, $A$40:$O$199, 11, FALSE), ), "")</f>
        <v>2.0833333333333332E-2</v>
      </c>
      <c r="L18" s="18">
        <f t="shared" ref="L18:L36" si="10">IF(NOT(ISBLANK(_xlfn.IFNA(VLOOKUP($A18, $A$40:$O$199, 12, FALSE), ))), _xlfn.IFNA(VLOOKUP($A18, $A$40:$O$199, 12, FALSE), ), "")</f>
        <v>2083.333333333333</v>
      </c>
      <c r="M18" s="31">
        <f t="shared" ref="M18:M36" si="11">IF(NOT(ISBLANK(_xlfn.IFNA(VLOOKUP($A18, $A$40:$O$199, 13, FALSE), ))), _xlfn.IFNA(VLOOKUP($A18, $A$40:$O$199, 13, FALSE), ), "")</f>
        <v>148</v>
      </c>
      <c r="N18" s="32">
        <f t="shared" ref="N18:N36" si="12">IF(NOT(ISBLANK(_xlfn.IFNA(VLOOKUP($A18, $A$40:$O$199, 14, FALSE), ))), _xlfn.IFNA(VLOOKUP($A18, $A$40:$O$199, 14, FALSE), ), "")</f>
        <v>2.7777777777777776E-2</v>
      </c>
      <c r="O18" s="18">
        <f t="shared" ref="O18:O36" si="13">IF(NOT(ISBLANK(_xlfn.IFNA(VLOOKUP($A18, $A$40:$O$199, 15, FALSE), ))), _xlfn.IFNA(VLOOKUP($A18, $A$40:$O$199, 15, FALSE), ), "")</f>
        <v>2777.7777777777778</v>
      </c>
      <c r="Q18" s="245"/>
      <c r="R18" s="245"/>
      <c r="S18" s="245"/>
    </row>
    <row r="19" spans="1:19" ht="17.25" customHeight="1" thickBot="1">
      <c r="A19" s="162" t="s">
        <v>246</v>
      </c>
      <c r="B19" s="126">
        <f t="shared" si="0"/>
        <v>311</v>
      </c>
      <c r="C19" s="77">
        <f t="shared" si="1"/>
        <v>-4.3076923099999997E-2</v>
      </c>
      <c r="D19" s="15">
        <f t="shared" si="2"/>
        <v>305</v>
      </c>
      <c r="E19" s="32">
        <f t="shared" si="3"/>
        <v>-1.9292604501607719E-2</v>
      </c>
      <c r="F19" s="18">
        <f t="shared" si="4"/>
        <v>-1929.2604501607718</v>
      </c>
      <c r="G19" s="31">
        <f t="shared" si="5"/>
        <v>307</v>
      </c>
      <c r="H19" s="32">
        <f t="shared" si="6"/>
        <v>-1.2861736334405145E-2</v>
      </c>
      <c r="I19" s="101">
        <f t="shared" si="7"/>
        <v>-1286.1736334405145</v>
      </c>
      <c r="J19" s="15">
        <f t="shared" si="8"/>
        <v>307</v>
      </c>
      <c r="K19" s="32">
        <f t="shared" si="9"/>
        <v>-1.2861736334405145E-2</v>
      </c>
      <c r="L19" s="18">
        <f t="shared" si="10"/>
        <v>-1286.1736334405145</v>
      </c>
      <c r="M19" s="31">
        <f t="shared" si="11"/>
        <v>310</v>
      </c>
      <c r="N19" s="32">
        <f t="shared" si="12"/>
        <v>-3.2154340836012861E-3</v>
      </c>
      <c r="O19" s="18">
        <f t="shared" si="13"/>
        <v>-321.54340836012864</v>
      </c>
      <c r="Q19" s="235"/>
      <c r="R19" s="235"/>
      <c r="S19" s="235"/>
    </row>
    <row r="20" spans="1:19" ht="17.25" customHeight="1" thickBot="1">
      <c r="A20" s="162" t="s">
        <v>112</v>
      </c>
      <c r="B20" s="126">
        <f t="shared" si="0"/>
        <v>161</v>
      </c>
      <c r="C20" s="77">
        <f t="shared" si="1"/>
        <v>-2.4242424200000001E-2</v>
      </c>
      <c r="D20" s="15">
        <f t="shared" si="2"/>
        <v>161</v>
      </c>
      <c r="E20" s="32">
        <f t="shared" si="3"/>
        <v>0</v>
      </c>
      <c r="F20" s="18">
        <f t="shared" si="4"/>
        <v>0</v>
      </c>
      <c r="G20" s="31">
        <f t="shared" si="5"/>
        <v>161</v>
      </c>
      <c r="H20" s="32">
        <f t="shared" si="6"/>
        <v>0</v>
      </c>
      <c r="I20" s="101">
        <f t="shared" si="7"/>
        <v>0</v>
      </c>
      <c r="J20" s="15">
        <f t="shared" si="8"/>
        <v>162</v>
      </c>
      <c r="K20" s="32">
        <f t="shared" si="9"/>
        <v>6.2111801242236021E-3</v>
      </c>
      <c r="L20" s="18">
        <f t="shared" si="10"/>
        <v>621.11801242236015</v>
      </c>
      <c r="M20" s="31">
        <f t="shared" si="11"/>
        <v>164</v>
      </c>
      <c r="N20" s="32">
        <f t="shared" si="12"/>
        <v>1.8633540372670808E-2</v>
      </c>
      <c r="O20" s="18">
        <f t="shared" si="13"/>
        <v>1863.3540372670807</v>
      </c>
      <c r="Q20" s="235"/>
      <c r="R20" s="235"/>
      <c r="S20" s="235"/>
    </row>
    <row r="21" spans="1:19" ht="17.25" customHeight="1" thickBot="1">
      <c r="A21" s="163" t="s">
        <v>202</v>
      </c>
      <c r="B21" s="128">
        <f t="shared" si="0"/>
        <v>121</v>
      </c>
      <c r="C21" s="78">
        <f t="shared" si="1"/>
        <v>-3.2000000000000001E-2</v>
      </c>
      <c r="D21" s="20">
        <f t="shared" si="2"/>
        <v>124</v>
      </c>
      <c r="E21" s="21">
        <f t="shared" si="3"/>
        <v>2.4793388429752067E-2</v>
      </c>
      <c r="F21" s="22">
        <f t="shared" si="4"/>
        <v>2479.3388429752067</v>
      </c>
      <c r="G21" s="30">
        <f t="shared" si="5"/>
        <v>121</v>
      </c>
      <c r="H21" s="21">
        <f t="shared" si="6"/>
        <v>0</v>
      </c>
      <c r="I21" s="105">
        <f t="shared" si="7"/>
        <v>0</v>
      </c>
      <c r="J21" s="20">
        <f t="shared" si="8"/>
        <v>122</v>
      </c>
      <c r="K21" s="21">
        <f t="shared" si="9"/>
        <v>8.2644628099173556E-3</v>
      </c>
      <c r="L21" s="22">
        <f t="shared" si="10"/>
        <v>826.44628099173553</v>
      </c>
      <c r="M21" s="30">
        <f t="shared" si="11"/>
        <v>124</v>
      </c>
      <c r="N21" s="21">
        <f t="shared" si="12"/>
        <v>2.4793388429752067E-2</v>
      </c>
      <c r="O21" s="22">
        <f t="shared" si="13"/>
        <v>2479.3388429752067</v>
      </c>
      <c r="Q21" s="235"/>
      <c r="R21" s="235"/>
      <c r="S21" s="235"/>
    </row>
    <row r="22" spans="1:19" ht="17.25" customHeight="1" thickBot="1">
      <c r="A22" s="162" t="s">
        <v>212</v>
      </c>
      <c r="B22" s="129">
        <f t="shared" si="0"/>
        <v>77.7</v>
      </c>
      <c r="C22" s="80">
        <f t="shared" si="1"/>
        <v>-3.9555006199999999E-2</v>
      </c>
      <c r="D22" s="106">
        <f t="shared" si="2"/>
        <v>78.400000000000006</v>
      </c>
      <c r="E22" s="107">
        <f t="shared" si="3"/>
        <v>9.0090090090090454E-3</v>
      </c>
      <c r="F22" s="108">
        <f t="shared" si="4"/>
        <v>900.9009009009045</v>
      </c>
      <c r="G22" s="109">
        <f t="shared" si="5"/>
        <v>78.2</v>
      </c>
      <c r="H22" s="107">
        <f t="shared" si="6"/>
        <v>6.4350064350064346E-3</v>
      </c>
      <c r="I22" s="110">
        <f t="shared" si="7"/>
        <v>643.50064350064349</v>
      </c>
      <c r="J22" s="106">
        <f t="shared" si="8"/>
        <v>78.099999999999994</v>
      </c>
      <c r="K22" s="107">
        <f t="shared" si="9"/>
        <v>5.1480051480050377E-3</v>
      </c>
      <c r="L22" s="108">
        <f t="shared" si="10"/>
        <v>514.80051480050372</v>
      </c>
      <c r="M22" s="109">
        <f t="shared" si="11"/>
        <v>79.7</v>
      </c>
      <c r="N22" s="107">
        <f t="shared" si="12"/>
        <v>2.5740025740025738E-2</v>
      </c>
      <c r="O22" s="108">
        <f t="shared" si="13"/>
        <v>2574.002574002574</v>
      </c>
      <c r="Q22" s="235"/>
      <c r="R22" s="235"/>
      <c r="S22" s="235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5"/>
      <c r="R23" s="235"/>
      <c r="S23" s="235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5"/>
      <c r="R24" s="235"/>
      <c r="S24" s="235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6"/>
      <c r="R26" s="237"/>
      <c r="S26" s="238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9"/>
      <c r="R27" s="240"/>
      <c r="S27" s="241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2"/>
      <c r="R28" s="243"/>
      <c r="S28" s="244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5"/>
      <c r="R29" s="235"/>
      <c r="S29" s="235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5"/>
      <c r="R30" s="245"/>
      <c r="S30" s="245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5"/>
      <c r="R31" s="245"/>
      <c r="S31" s="24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5"/>
      <c r="R32" s="235"/>
      <c r="S32" s="235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5"/>
      <c r="R33" s="235"/>
      <c r="S33" s="235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5"/>
      <c r="R34" s="235"/>
      <c r="S34" s="235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4"/>
      <c r="R35" s="225"/>
      <c r="S35" s="22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7"/>
      <c r="R36" s="228"/>
      <c r="S36" s="229"/>
    </row>
    <row r="37" spans="1:19" ht="17.25" customHeight="1" thickBot="1">
      <c r="A37" s="132" t="s">
        <v>42</v>
      </c>
      <c r="B37" s="288">
        <v>100000</v>
      </c>
      <c r="C37" s="289"/>
      <c r="D37" s="26" t="s">
        <v>43</v>
      </c>
      <c r="E37" s="27">
        <f>IF(COUNT(E17:E36), SUM(E17:E36) / COUNT(E17:E36), 0)</f>
        <v>5.0873467230438925E-3</v>
      </c>
      <c r="F37" s="28">
        <f>SUM(F17:F36)</f>
        <v>3052.4080338263357</v>
      </c>
      <c r="G37" s="26" t="s">
        <v>43</v>
      </c>
      <c r="H37" s="27">
        <f>IF(COUNT(H17:H36), SUM(H17:H36) / COUNT(H17:H36), 0)</f>
        <v>1.7750427929703102E-3</v>
      </c>
      <c r="I37" s="28">
        <f>SUM(I17:I36)</f>
        <v>1065.0256757821862</v>
      </c>
      <c r="J37" s="26" t="s">
        <v>43</v>
      </c>
      <c r="K37" s="27">
        <f>IF(COUNT(K17:K36), SUM(K17:K36) / COUNT(K17:K36), 0)</f>
        <v>4.2449744281422104E-3</v>
      </c>
      <c r="L37" s="28">
        <f>SUM(L17:L36)</f>
        <v>2546.9846568853259</v>
      </c>
      <c r="M37" s="26" t="s">
        <v>43</v>
      </c>
      <c r="N37" s="27">
        <f>IF(COUNT(N17:N36), SUM(N17:N36) / COUNT(N17:N36), 0)</f>
        <v>1.8455414389065585E-2</v>
      </c>
      <c r="O37" s="28">
        <f>SUM(O17:O36)</f>
        <v>11073.248633439354</v>
      </c>
      <c r="Q37" s="230"/>
      <c r="R37" s="231"/>
      <c r="S37" s="232"/>
    </row>
    <row r="38" spans="1:19" ht="17.25" customHeight="1"/>
    <row r="39" spans="1:19" ht="17.25" customHeight="1" thickBot="1"/>
    <row r="40" spans="1:19" ht="17.25" customHeight="1" thickBot="1">
      <c r="A40" s="246" t="s">
        <v>44</v>
      </c>
      <c r="B40" s="247"/>
      <c r="C40" s="247"/>
      <c r="D40" s="247"/>
      <c r="E40" s="247"/>
      <c r="F40" s="247"/>
      <c r="G40" s="247"/>
      <c r="H40" s="247"/>
      <c r="I40" s="247"/>
      <c r="J40" s="247"/>
      <c r="K40" s="247"/>
      <c r="L40" s="247"/>
      <c r="M40" s="247"/>
      <c r="N40" s="247"/>
      <c r="O40" s="248"/>
      <c r="Q40" s="245"/>
      <c r="R40" s="245"/>
      <c r="S40" s="245"/>
    </row>
    <row r="41" spans="1:19" ht="17.25" customHeight="1" thickBot="1">
      <c r="A41" s="164" t="s">
        <v>297</v>
      </c>
      <c r="B41" s="246" t="s">
        <v>49</v>
      </c>
      <c r="C41" s="248"/>
      <c r="D41" s="246" t="s">
        <v>58</v>
      </c>
      <c r="E41" s="247"/>
      <c r="F41" s="248"/>
      <c r="G41" s="249">
        <f>_xlfn.IFNA(VLOOKUP(B41, 현재가테이블!$B$2:$D$200, 2, FALSE), "-")</f>
        <v>45335000</v>
      </c>
      <c r="H41" s="250"/>
      <c r="I41" s="251"/>
      <c r="J41" s="246" t="s">
        <v>59</v>
      </c>
      <c r="K41" s="247"/>
      <c r="L41" s="248"/>
      <c r="M41" s="252">
        <f>_xlfn.IFNA(VLOOKUP(B41, 현재가테이블!$B$2:$D$200, 3, FALSE), "-")</f>
        <v>-2.27209037E-2</v>
      </c>
      <c r="N41" s="253"/>
      <c r="O41" s="254"/>
      <c r="Q41" s="245"/>
      <c r="R41" s="245"/>
      <c r="S41" s="245"/>
    </row>
    <row r="42" spans="1:19" ht="17.25" customHeight="1" thickBot="1">
      <c r="A42" s="290" t="s">
        <v>55</v>
      </c>
      <c r="B42" s="286" t="str">
        <f>TEXT($G$1, "[$-ko-KR]yyyy-mm-dd(ddd) ") &amp; "오전 00:00"</f>
        <v>2021-06-02(수) 오전 00:00</v>
      </c>
      <c r="C42" s="287"/>
      <c r="D42" s="259" t="str">
        <f>TEXT($G$1, "[$-ko-KR]yyyy-mm-dd(ddd) ") &amp; "오후 14:00"</f>
        <v>2021-06-02(수) 오후 14:00</v>
      </c>
      <c r="E42" s="260"/>
      <c r="F42" s="261"/>
      <c r="G42" s="259" t="str">
        <f>TEXT($G$1, "[$-ko-KR]yyyy-mm-dd(ddd) ") &amp; "오후 19:00"</f>
        <v>2021-06-02(수) 오후 19:00</v>
      </c>
      <c r="H42" s="260"/>
      <c r="I42" s="261"/>
      <c r="J42" s="259" t="str">
        <f>TEXT($G$1, "[$-ko-KR]yyyy-mm-dd(ddd) ") &amp; "오후 21:00"</f>
        <v>2021-06-02(수) 오후 21:00</v>
      </c>
      <c r="K42" s="260"/>
      <c r="L42" s="261"/>
      <c r="M42" s="259" t="str">
        <f>TEXT($G$1+1, "[$-ko-KR]yyyy-mm-dd(ddd) ") &amp; "오전 00:00"</f>
        <v>2021-06-03(목) 오전 00:00</v>
      </c>
      <c r="N42" s="260"/>
      <c r="O42" s="261"/>
      <c r="Q42" s="245"/>
      <c r="R42" s="245"/>
      <c r="S42" s="245"/>
    </row>
    <row r="43" spans="1:19" ht="17.25" customHeight="1" thickBot="1">
      <c r="A43" s="291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65" t="s">
        <v>58</v>
      </c>
      <c r="H43" s="166" t="s">
        <v>298</v>
      </c>
      <c r="I43" s="167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5"/>
      <c r="R43" s="235"/>
      <c r="S43" s="235"/>
    </row>
    <row r="44" spans="1:19" ht="17.25" customHeight="1" thickBot="1">
      <c r="A44" s="161" t="s">
        <v>72</v>
      </c>
      <c r="B44" s="124">
        <v>21.2</v>
      </c>
      <c r="C44" s="76">
        <v>1.4354067E-2</v>
      </c>
      <c r="D44" s="13">
        <v>21</v>
      </c>
      <c r="E44" s="14">
        <f>IF(ISNUMBER(D44), (D44 - $B44) / $B44, "")</f>
        <v>-9.4339622641509101E-3</v>
      </c>
      <c r="F44" s="16">
        <f>IF(ISNUMBER(D44), $B64 * E44, "")</f>
        <v>-943.39622641509106</v>
      </c>
      <c r="G44" s="29">
        <v>21.1</v>
      </c>
      <c r="H44" s="14">
        <f>IF(ISNUMBER(G44), (G44 - $B44) / $B44, "")</f>
        <v>-4.7169811320753709E-3</v>
      </c>
      <c r="I44" s="100">
        <f>IF(ISNUMBER(G44), $B64 * H44, "")</f>
        <v>-471.69811320753706</v>
      </c>
      <c r="J44" s="13">
        <v>21.1</v>
      </c>
      <c r="K44" s="14">
        <f>IF(ISNUMBER(J44), (J44 - $B44) / $B44, "")</f>
        <v>-4.7169811320753709E-3</v>
      </c>
      <c r="L44" s="16">
        <f>IF(ISNUMBER(J44), $B64 * K44, "")</f>
        <v>-471.69811320753706</v>
      </c>
      <c r="M44" s="29">
        <v>21.8</v>
      </c>
      <c r="N44" s="14">
        <f>IF(ISNUMBER(M44), (M44 - $B44) / $B44, "")</f>
        <v>2.8301886792452897E-2</v>
      </c>
      <c r="O44" s="16">
        <f>IF(ISNUMBER(M44), $B64 * N44, "")</f>
        <v>2830.1886792452897</v>
      </c>
      <c r="Q44" s="245"/>
      <c r="R44" s="245"/>
      <c r="S44" s="245"/>
    </row>
    <row r="45" spans="1:19" ht="17.25" customHeight="1" thickBot="1">
      <c r="A45" s="162" t="s">
        <v>156</v>
      </c>
      <c r="B45" s="126">
        <v>88.7</v>
      </c>
      <c r="C45" s="77">
        <v>-1.6629711799999999E-2</v>
      </c>
      <c r="D45" s="15">
        <v>89.8</v>
      </c>
      <c r="E45" s="32">
        <f t="shared" ref="E45:E48" si="14">IF(ISNUMBER(D45), (D45 - $B45) / $B45, "")</f>
        <v>1.2401352874859011E-2</v>
      </c>
      <c r="F45" s="18">
        <f>IF(ISNUMBER(D45), $B64 * E45, "")</f>
        <v>1240.135287485901</v>
      </c>
      <c r="G45" s="31">
        <v>89.5</v>
      </c>
      <c r="H45" s="32">
        <f t="shared" ref="H45:H48" si="15">IF(ISNUMBER(G45), (G45 - $B45) / $B45, "")</f>
        <v>9.0191657271702051E-3</v>
      </c>
      <c r="I45" s="101">
        <f>IF(ISNUMBER(G45), $B64 * H45, "")</f>
        <v>901.91657271702047</v>
      </c>
      <c r="J45" s="15">
        <v>89.7</v>
      </c>
      <c r="K45" s="32">
        <f t="shared" ref="K45:K48" si="16">IF(ISNUMBER(J45), (J45 - $B45) / $B45, "")</f>
        <v>1.1273957158962795E-2</v>
      </c>
      <c r="L45" s="18">
        <f>IF(ISNUMBER(J45), $B64 * K45, "")</f>
        <v>1127.3957158962796</v>
      </c>
      <c r="M45" s="31">
        <v>91.4</v>
      </c>
      <c r="N45" s="32">
        <f t="shared" ref="N45:N48" si="17">IF(ISNUMBER(M45), (M45 - $B45) / $B45, "")</f>
        <v>3.0439684329199579E-2</v>
      </c>
      <c r="O45" s="18">
        <f>IF(ISNUMBER(M45), $B64 * N45, "")</f>
        <v>3043.9684329199581</v>
      </c>
      <c r="Q45" s="245"/>
      <c r="R45" s="245"/>
      <c r="S45" s="245"/>
    </row>
    <row r="46" spans="1:19" ht="17.25" customHeight="1" thickBot="1">
      <c r="A46" s="162" t="s">
        <v>278</v>
      </c>
      <c r="B46" s="126">
        <v>78.8</v>
      </c>
      <c r="C46" s="77">
        <v>-1.7456359099999999E-2</v>
      </c>
      <c r="D46" s="15">
        <v>79.2</v>
      </c>
      <c r="E46" s="32">
        <f t="shared" si="14"/>
        <v>5.0761421319797679E-3</v>
      </c>
      <c r="F46" s="18">
        <f>IF(ISNUMBER(D46), $B64 * E46, "")</f>
        <v>507.61421319797677</v>
      </c>
      <c r="G46" s="31">
        <v>79</v>
      </c>
      <c r="H46" s="32">
        <f t="shared" si="15"/>
        <v>2.5380710659898839E-3</v>
      </c>
      <c r="I46" s="101">
        <f>IF(ISNUMBER(G46), $B64 * H46, "")</f>
        <v>253.80710659898838</v>
      </c>
      <c r="J46" s="15">
        <v>79.099999999999994</v>
      </c>
      <c r="K46" s="32">
        <f t="shared" si="16"/>
        <v>3.8071065989847357E-3</v>
      </c>
      <c r="L46" s="18">
        <f>IF(ISNUMBER(J46), $B64 * K46, "")</f>
        <v>380.71065989847358</v>
      </c>
      <c r="M46" s="31">
        <v>81.8</v>
      </c>
      <c r="N46" s="32">
        <f t="shared" si="17"/>
        <v>3.8071065989847719E-2</v>
      </c>
      <c r="O46" s="18">
        <f>IF(ISNUMBER(M46), $B64 * N46, "")</f>
        <v>3807.1065989847721</v>
      </c>
      <c r="Q46" s="235"/>
      <c r="R46" s="235"/>
      <c r="S46" s="235"/>
    </row>
    <row r="47" spans="1:19" ht="17.25" customHeight="1" thickBot="1">
      <c r="A47" s="162" t="s">
        <v>100</v>
      </c>
      <c r="B47" s="126">
        <v>4.43</v>
      </c>
      <c r="C47" s="77">
        <v>-1.7738359200000001E-2</v>
      </c>
      <c r="D47" s="15">
        <v>4.41</v>
      </c>
      <c r="E47" s="32">
        <f t="shared" si="14"/>
        <v>-4.5146726862301525E-3</v>
      </c>
      <c r="F47" s="18">
        <f>IF(ISNUMBER(D47), $B64 * E47, "")</f>
        <v>-451.46726862301523</v>
      </c>
      <c r="G47" s="31">
        <v>4.3899999999999997</v>
      </c>
      <c r="H47" s="32">
        <f t="shared" si="15"/>
        <v>-9.0293453724605045E-3</v>
      </c>
      <c r="I47" s="101">
        <f>IF(ISNUMBER(G47), $B64 * H47, "")</f>
        <v>-902.93453724605047</v>
      </c>
      <c r="J47" s="15">
        <v>4.4000000000000004</v>
      </c>
      <c r="K47" s="32">
        <f t="shared" si="16"/>
        <v>-6.7720090293452283E-3</v>
      </c>
      <c r="L47" s="18">
        <f>IF(ISNUMBER(J47), $B64 * K47, "")</f>
        <v>-677.20090293452279</v>
      </c>
      <c r="M47" s="31">
        <v>4.46</v>
      </c>
      <c r="N47" s="32">
        <f t="shared" si="17"/>
        <v>6.7720090293454287E-3</v>
      </c>
      <c r="O47" s="18">
        <f>IF(ISNUMBER(M47), $B64 * N47, "")</f>
        <v>677.20090293454291</v>
      </c>
      <c r="Q47" s="235"/>
      <c r="R47" s="235"/>
      <c r="S47" s="235"/>
    </row>
    <row r="48" spans="1:19" ht="17.25" customHeight="1" thickBot="1">
      <c r="A48" s="163" t="s">
        <v>154</v>
      </c>
      <c r="B48" s="128">
        <v>11</v>
      </c>
      <c r="C48" s="78">
        <v>-1.7857142900000001E-2</v>
      </c>
      <c r="D48" s="20">
        <v>11</v>
      </c>
      <c r="E48" s="21">
        <f t="shared" si="14"/>
        <v>0</v>
      </c>
      <c r="F48" s="22">
        <f>IF(ISNUMBER(D48), $B64 * E48, "")</f>
        <v>0</v>
      </c>
      <c r="G48" s="30">
        <v>11.1</v>
      </c>
      <c r="H48" s="21">
        <f t="shared" si="15"/>
        <v>9.0909090909090592E-3</v>
      </c>
      <c r="I48" s="105">
        <f>IF(ISNUMBER(G48), $B64 * H48, "")</f>
        <v>909.09090909090594</v>
      </c>
      <c r="J48" s="20">
        <v>10.9</v>
      </c>
      <c r="K48" s="21">
        <f t="shared" si="16"/>
        <v>-9.0909090909090592E-3</v>
      </c>
      <c r="L48" s="22">
        <f>IF(ISNUMBER(J48), $B64 * K48, "")</f>
        <v>-909.09090909090594</v>
      </c>
      <c r="M48" s="30">
        <v>11.4</v>
      </c>
      <c r="N48" s="21">
        <f t="shared" si="17"/>
        <v>3.6363636363636397E-2</v>
      </c>
      <c r="O48" s="22">
        <f>IF(ISNUMBER(M48), $B64 * N48, "")</f>
        <v>3636.3636363636397</v>
      </c>
      <c r="Q48" s="235"/>
      <c r="R48" s="235"/>
      <c r="S48" s="235"/>
    </row>
    <row r="49" spans="1:19" ht="17.25" customHeight="1" thickBot="1">
      <c r="A49" s="162" t="s">
        <v>172</v>
      </c>
      <c r="B49" s="129">
        <v>15.2</v>
      </c>
      <c r="C49" s="80">
        <v>-1.9354838700000002E-2</v>
      </c>
      <c r="D49" s="106">
        <v>15.1</v>
      </c>
      <c r="E49" s="107">
        <f>IF(ISNUMBER(D49), (D49 - $B49) / $B49, "")</f>
        <v>-6.5789473684210297E-3</v>
      </c>
      <c r="F49" s="108">
        <f>IF(ISNUMBER(D49), $B64 * E49, "")</f>
        <v>-657.89473684210293</v>
      </c>
      <c r="G49" s="109">
        <v>15.1</v>
      </c>
      <c r="H49" s="107">
        <f>IF(ISNUMBER(G49), (G49 - $B49) / $B49, "")</f>
        <v>-6.5789473684210297E-3</v>
      </c>
      <c r="I49" s="110">
        <f>IF(ISNUMBER(G49), $B64 * H49, "")</f>
        <v>-657.89473684210293</v>
      </c>
      <c r="J49" s="106">
        <v>15.3</v>
      </c>
      <c r="K49" s="107">
        <f>IF(ISNUMBER(J49), (J49 - $B49) / $B49, "")</f>
        <v>6.5789473684211468E-3</v>
      </c>
      <c r="L49" s="108">
        <f>IF(ISNUMBER(J49), $B64 * K49, "")</f>
        <v>657.89473684211464</v>
      </c>
      <c r="M49" s="109">
        <v>15.5</v>
      </c>
      <c r="N49" s="107">
        <f>IF(ISNUMBER(M49), (M49 - $B49) / $B49, "")</f>
        <v>1.9736842105263205E-2</v>
      </c>
      <c r="O49" s="108">
        <f>IF(ISNUMBER(M49), $B64 * N49, "")</f>
        <v>1973.6842105263206</v>
      </c>
      <c r="Q49" s="235"/>
      <c r="R49" s="235"/>
      <c r="S49" s="235"/>
    </row>
    <row r="50" spans="1:19" ht="17.25" customHeight="1" thickBot="1">
      <c r="A50" s="162" t="s">
        <v>236</v>
      </c>
      <c r="B50" s="126">
        <v>52.7</v>
      </c>
      <c r="C50" s="77">
        <v>-2.4074074099999999E-2</v>
      </c>
      <c r="D50" s="15">
        <v>52.5</v>
      </c>
      <c r="E50" s="32">
        <f t="shared" ref="E50:E53" si="18">IF(ISNUMBER(D50), (D50 - $B50) / $B50, "")</f>
        <v>-3.7950664136622929E-3</v>
      </c>
      <c r="F50" s="18">
        <f>IF(ISNUMBER(D50), $B64 * E50, "")</f>
        <v>-379.5066413662293</v>
      </c>
      <c r="G50" s="31">
        <v>52.1</v>
      </c>
      <c r="H50" s="32">
        <f t="shared" ref="H50:H53" si="19">IF(ISNUMBER(G50), (G50 - $B50) / $B50, "")</f>
        <v>-1.1385199240986743E-2</v>
      </c>
      <c r="I50" s="101">
        <f>IF(ISNUMBER(G50), $B64 * H50, "")</f>
        <v>-1138.5199240986742</v>
      </c>
      <c r="J50" s="15">
        <v>52.2</v>
      </c>
      <c r="K50" s="32">
        <f t="shared" ref="K50:K53" si="20">IF(ISNUMBER(J50), (J50 - $B50) / $B50, "")</f>
        <v>-9.4876660341555973E-3</v>
      </c>
      <c r="L50" s="18">
        <f>IF(ISNUMBER(J50), $B64 * K50, "")</f>
        <v>-948.76660341555976</v>
      </c>
      <c r="M50" s="31">
        <v>53.5</v>
      </c>
      <c r="N50" s="32">
        <f t="shared" ref="N50:N53" si="21">IF(ISNUMBER(M50), (M50 - $B50) / $B50, "")</f>
        <v>1.5180265654648901E-2</v>
      </c>
      <c r="O50" s="18">
        <f>IF(ISNUMBER(M50), $B64 * N50, "")</f>
        <v>1518.0265654648902</v>
      </c>
      <c r="Q50" s="235"/>
      <c r="R50" s="235"/>
      <c r="S50" s="235"/>
    </row>
    <row r="51" spans="1:19" ht="17.25" customHeight="1" thickBot="1">
      <c r="A51" s="162" t="s">
        <v>254</v>
      </c>
      <c r="B51" s="126">
        <v>52.4</v>
      </c>
      <c r="C51" s="77">
        <v>-2.60223048E-2</v>
      </c>
      <c r="D51" s="15">
        <v>52.1</v>
      </c>
      <c r="E51" s="32">
        <f t="shared" si="18"/>
        <v>-5.7251908396946027E-3</v>
      </c>
      <c r="F51" s="18">
        <f>IF(ISNUMBER(D51), $B64 * E51, "")</f>
        <v>-572.51908396946033</v>
      </c>
      <c r="G51" s="31">
        <v>52.1</v>
      </c>
      <c r="H51" s="32">
        <f t="shared" si="19"/>
        <v>-5.7251908396946027E-3</v>
      </c>
      <c r="I51" s="101">
        <f>IF(ISNUMBER(G51), $B64 * H51, "")</f>
        <v>-572.51908396946033</v>
      </c>
      <c r="J51" s="15">
        <v>52</v>
      </c>
      <c r="K51" s="32">
        <f t="shared" si="20"/>
        <v>-7.6335877862595148E-3</v>
      </c>
      <c r="L51" s="18">
        <f>IF(ISNUMBER(J51), $B64 * K51, "")</f>
        <v>-763.35877862595146</v>
      </c>
      <c r="M51" s="31">
        <v>52.9</v>
      </c>
      <c r="N51" s="32">
        <f t="shared" si="21"/>
        <v>9.5419847328244278E-3</v>
      </c>
      <c r="O51" s="18">
        <f>IF(ISNUMBER(M51), $B64 * N51, "")</f>
        <v>954.19847328244282</v>
      </c>
      <c r="Q51" s="235"/>
      <c r="R51" s="235"/>
      <c r="S51" s="235"/>
    </row>
    <row r="52" spans="1:19" ht="17.25" customHeight="1" thickBot="1">
      <c r="A52" s="162" t="s">
        <v>266</v>
      </c>
      <c r="B52" s="126">
        <v>59</v>
      </c>
      <c r="C52" s="77">
        <v>-2.6402640299999999E-2</v>
      </c>
      <c r="D52" s="15">
        <v>57.6</v>
      </c>
      <c r="E52" s="32">
        <f t="shared" si="18"/>
        <v>-2.372881355932201E-2</v>
      </c>
      <c r="F52" s="18">
        <f>IF(ISNUMBER(D52), $B64 * E52, "")</f>
        <v>-2372.8813559322011</v>
      </c>
      <c r="G52" s="31">
        <v>58</v>
      </c>
      <c r="H52" s="32">
        <f t="shared" si="19"/>
        <v>-1.6949152542372881E-2</v>
      </c>
      <c r="I52" s="101">
        <f>IF(ISNUMBER(G52), $B64 * H52, "")</f>
        <v>-1694.9152542372881</v>
      </c>
      <c r="J52" s="15">
        <v>57.4</v>
      </c>
      <c r="K52" s="32">
        <f t="shared" si="20"/>
        <v>-2.7118644067796634E-2</v>
      </c>
      <c r="L52" s="18">
        <f>IF(ISNUMBER(J52), $B64 * K52, "")</f>
        <v>-2711.8644067796636</v>
      </c>
      <c r="M52" s="31">
        <v>58.5</v>
      </c>
      <c r="N52" s="32">
        <f t="shared" si="21"/>
        <v>-8.4745762711864406E-3</v>
      </c>
      <c r="O52" s="18">
        <f>IF(ISNUMBER(M52), $B64 * N52, "")</f>
        <v>-847.45762711864404</v>
      </c>
      <c r="Q52" s="33"/>
      <c r="R52" s="33"/>
    </row>
    <row r="53" spans="1:19" ht="17.25" customHeight="1" thickBot="1">
      <c r="A53" s="130" t="s">
        <v>220</v>
      </c>
      <c r="B53" s="131">
        <v>10.9</v>
      </c>
      <c r="C53" s="79">
        <v>-2.6785714299999999E-2</v>
      </c>
      <c r="D53" s="24">
        <v>11.6</v>
      </c>
      <c r="E53" s="25">
        <f t="shared" si="18"/>
        <v>6.4220183486238466E-2</v>
      </c>
      <c r="F53" s="104">
        <f>IF(ISNUMBER(D53), $B64 * E53, "")</f>
        <v>6422.0183486238466</v>
      </c>
      <c r="G53" s="102">
        <v>11.5</v>
      </c>
      <c r="H53" s="25">
        <f t="shared" si="19"/>
        <v>5.5045871559632996E-2</v>
      </c>
      <c r="I53" s="103">
        <f>IF(ISNUMBER(G53), $B64 * H53, "")</f>
        <v>5504.5871559632997</v>
      </c>
      <c r="J53" s="24">
        <v>11.7</v>
      </c>
      <c r="K53" s="25">
        <f t="shared" si="20"/>
        <v>7.339449541284393E-2</v>
      </c>
      <c r="L53" s="104">
        <f>IF(ISNUMBER(J53), $B64 * K53, "")</f>
        <v>7339.4495412843926</v>
      </c>
      <c r="M53" s="102">
        <v>11.7</v>
      </c>
      <c r="N53" s="25">
        <f t="shared" si="21"/>
        <v>7.339449541284393E-2</v>
      </c>
      <c r="O53" s="104">
        <f>IF(ISNUMBER(M53), $B64 * N53, "")</f>
        <v>7339.4495412843926</v>
      </c>
      <c r="Q53" s="236"/>
      <c r="R53" s="237"/>
      <c r="S53" s="238"/>
    </row>
    <row r="54" spans="1:19" ht="17.25" customHeight="1">
      <c r="A54" s="161" t="s">
        <v>186</v>
      </c>
      <c r="B54" s="124">
        <v>13.7</v>
      </c>
      <c r="C54" s="76">
        <v>-2.83687943E-2</v>
      </c>
      <c r="D54" s="13">
        <v>13.5</v>
      </c>
      <c r="E54" s="14">
        <f>IF(ISNUMBER(D54), (D54 - $B54) / $B54, "")</f>
        <v>-1.4598540145985351E-2</v>
      </c>
      <c r="F54" s="16">
        <f>IF(ISNUMBER(D54), $B64 * E54, "")</f>
        <v>-1459.8540145985351</v>
      </c>
      <c r="G54" s="29">
        <v>13.5</v>
      </c>
      <c r="H54" s="14">
        <f>IF(ISNUMBER(G54), (G54 - $B54) / $B54, "")</f>
        <v>-1.4598540145985351E-2</v>
      </c>
      <c r="I54" s="100">
        <f>IF(ISNUMBER(G54), $B64 * H54, "")</f>
        <v>-1459.8540145985351</v>
      </c>
      <c r="J54" s="13">
        <v>13.5</v>
      </c>
      <c r="K54" s="14">
        <f>IF(ISNUMBER(J54), (J54 - $B54) / $B54, "")</f>
        <v>-1.4598540145985351E-2</v>
      </c>
      <c r="L54" s="16">
        <f>IF(ISNUMBER(J54), $B64 * K54, "")</f>
        <v>-1459.8540145985351</v>
      </c>
      <c r="M54" s="29">
        <v>13.7</v>
      </c>
      <c r="N54" s="14">
        <f>IF(ISNUMBER(M54), (M54 - $B54) / $B54, "")</f>
        <v>0</v>
      </c>
      <c r="O54" s="16">
        <f>IF(ISNUMBER(M54), $B64 * N54, "")</f>
        <v>0</v>
      </c>
      <c r="Q54" s="239"/>
      <c r="R54" s="240"/>
      <c r="S54" s="241"/>
    </row>
    <row r="55" spans="1:19" ht="17.25" customHeight="1" thickBot="1">
      <c r="A55" s="162" t="s">
        <v>134</v>
      </c>
      <c r="B55" s="126">
        <v>94.1</v>
      </c>
      <c r="C55" s="77">
        <v>-2.98969072E-2</v>
      </c>
      <c r="D55" s="15">
        <v>94.3</v>
      </c>
      <c r="E55" s="32">
        <f t="shared" ref="E55:E58" si="22">IF(ISNUMBER(D55), (D55 - $B55) / $B55, "")</f>
        <v>2.1253985122210717E-3</v>
      </c>
      <c r="F55" s="18">
        <f>IF(ISNUMBER(D55), $B64 * E55, "")</f>
        <v>212.53985122210716</v>
      </c>
      <c r="G55" s="31">
        <v>94.4</v>
      </c>
      <c r="H55" s="32">
        <f t="shared" ref="H55:H58" si="23">IF(ISNUMBER(G55), (G55 - $B55) / $B55, "")</f>
        <v>3.188097768331683E-3</v>
      </c>
      <c r="I55" s="101">
        <f>IF(ISNUMBER(G55), $B64 * H55, "")</f>
        <v>318.80977683316831</v>
      </c>
      <c r="J55" s="15">
        <v>93.9</v>
      </c>
      <c r="K55" s="32">
        <f t="shared" ref="K55:K58" si="24">IF(ISNUMBER(J55), (J55 - $B55) / $B55, "")</f>
        <v>-2.1253985122209208E-3</v>
      </c>
      <c r="L55" s="18">
        <f>IF(ISNUMBER(J55), $B64 * K55, "")</f>
        <v>-212.53985122209207</v>
      </c>
      <c r="M55" s="31">
        <v>95.7</v>
      </c>
      <c r="N55" s="32">
        <f t="shared" ref="N55:N58" si="25">IF(ISNUMBER(M55), (M55 - $B55) / $B55, "")</f>
        <v>1.7003188097768424E-2</v>
      </c>
      <c r="O55" s="18">
        <f>IF(ISNUMBER(M55), $B64 * N55, "")</f>
        <v>1700.3188097768425</v>
      </c>
      <c r="Q55" s="242"/>
      <c r="R55" s="243"/>
      <c r="S55" s="244"/>
    </row>
    <row r="56" spans="1:19" ht="17.25" customHeight="1" thickBot="1">
      <c r="A56" s="162" t="s">
        <v>196</v>
      </c>
      <c r="B56" s="126">
        <v>11.6</v>
      </c>
      <c r="C56" s="77">
        <v>-3.3333333299999997E-2</v>
      </c>
      <c r="D56" s="15">
        <v>11.7</v>
      </c>
      <c r="E56" s="32">
        <f t="shared" si="22"/>
        <v>8.6206896551723842E-3</v>
      </c>
      <c r="F56" s="18">
        <f>IF(ISNUMBER(D56), $B64 * E56, "")</f>
        <v>862.06896551723844</v>
      </c>
      <c r="G56" s="31">
        <v>11.8</v>
      </c>
      <c r="H56" s="32">
        <f t="shared" si="23"/>
        <v>1.7241379310344921E-2</v>
      </c>
      <c r="I56" s="101">
        <f>IF(ISNUMBER(G56), $B64 * H56, "")</f>
        <v>1724.1379310344921</v>
      </c>
      <c r="J56" s="15">
        <v>11.8</v>
      </c>
      <c r="K56" s="32">
        <f t="shared" si="24"/>
        <v>1.7241379310344921E-2</v>
      </c>
      <c r="L56" s="18">
        <f>IF(ISNUMBER(J56), $B64 * K56, "")</f>
        <v>1724.1379310344921</v>
      </c>
      <c r="M56" s="31">
        <v>11.9</v>
      </c>
      <c r="N56" s="32">
        <f t="shared" si="25"/>
        <v>2.5862068965517303E-2</v>
      </c>
      <c r="O56" s="18">
        <f>IF(ISNUMBER(M56), $B64 * N56, "")</f>
        <v>2586.2068965517306</v>
      </c>
      <c r="Q56" s="235"/>
      <c r="R56" s="235"/>
      <c r="S56" s="235"/>
    </row>
    <row r="57" spans="1:19" ht="17.25" customHeight="1" thickBot="1">
      <c r="A57" s="162" t="s">
        <v>222</v>
      </c>
      <c r="B57" s="126">
        <v>11.6</v>
      </c>
      <c r="C57" s="77">
        <v>-3.3333333299999997E-2</v>
      </c>
      <c r="D57" s="15">
        <v>11.5</v>
      </c>
      <c r="E57" s="32">
        <f t="shared" si="22"/>
        <v>-8.6206896551723842E-3</v>
      </c>
      <c r="F57" s="18">
        <f>IF(ISNUMBER(D57), $B64 * E57, "")</f>
        <v>-862.06896551723844</v>
      </c>
      <c r="G57" s="31">
        <v>11.4</v>
      </c>
      <c r="H57" s="32">
        <f t="shared" si="23"/>
        <v>-1.7241379310344768E-2</v>
      </c>
      <c r="I57" s="101">
        <f>IF(ISNUMBER(G57), $B64 * H57, "")</f>
        <v>-1724.1379310344769</v>
      </c>
      <c r="J57" s="15">
        <v>11.4</v>
      </c>
      <c r="K57" s="32">
        <f t="shared" si="24"/>
        <v>-1.7241379310344768E-2</v>
      </c>
      <c r="L57" s="18">
        <f>IF(ISNUMBER(J57), $B64 * K57, "")</f>
        <v>-1724.1379310344769</v>
      </c>
      <c r="M57" s="31">
        <v>11.6</v>
      </c>
      <c r="N57" s="32">
        <f t="shared" si="25"/>
        <v>0</v>
      </c>
      <c r="O57" s="18">
        <f>IF(ISNUMBER(M57), $B64 * N57, "")</f>
        <v>0</v>
      </c>
      <c r="Q57" s="245"/>
      <c r="R57" s="245"/>
      <c r="S57" s="245"/>
    </row>
    <row r="58" spans="1:19" ht="17.25" customHeight="1" thickBot="1">
      <c r="A58" s="163" t="s">
        <v>264</v>
      </c>
      <c r="B58" s="128">
        <v>89.6</v>
      </c>
      <c r="C58" s="78">
        <v>-3.3441208200000003E-2</v>
      </c>
      <c r="D58" s="20">
        <v>89.8</v>
      </c>
      <c r="E58" s="21">
        <f t="shared" si="22"/>
        <v>2.2321428571428891E-3</v>
      </c>
      <c r="F58" s="22">
        <f>IF(ISNUMBER(D58), $B64 * E58, "")</f>
        <v>223.21428571428891</v>
      </c>
      <c r="G58" s="30">
        <v>89.3</v>
      </c>
      <c r="H58" s="21">
        <f t="shared" si="23"/>
        <v>-3.3482142857142543E-3</v>
      </c>
      <c r="I58" s="105">
        <f>IF(ISNUMBER(G58), $B64 * H58, "")</f>
        <v>-334.82142857142543</v>
      </c>
      <c r="J58" s="20">
        <v>89</v>
      </c>
      <c r="K58" s="21">
        <f t="shared" si="24"/>
        <v>-6.6964285714285086E-3</v>
      </c>
      <c r="L58" s="22">
        <f>IF(ISNUMBER(J58), $B64 * K58, "")</f>
        <v>-669.64285714285086</v>
      </c>
      <c r="M58" s="30">
        <v>91.5</v>
      </c>
      <c r="N58" s="21">
        <f t="shared" si="25"/>
        <v>2.1205357142857206E-2</v>
      </c>
      <c r="O58" s="22">
        <f>IF(ISNUMBER(M58), $B64 * N58, "")</f>
        <v>2120.5357142857206</v>
      </c>
      <c r="Q58" s="245"/>
      <c r="R58" s="245"/>
      <c r="S58" s="245"/>
    </row>
    <row r="59" spans="1:19" ht="17.25" customHeight="1" thickBot="1">
      <c r="A59" s="162" t="s">
        <v>65</v>
      </c>
      <c r="B59" s="129">
        <v>37</v>
      </c>
      <c r="C59" s="80">
        <v>-3.39425587E-2</v>
      </c>
      <c r="D59" s="106">
        <v>37.299999999999997</v>
      </c>
      <c r="E59" s="107">
        <f>IF(ISNUMBER(D59), (D59 - $B59) / $B59, "")</f>
        <v>8.1081081081080305E-3</v>
      </c>
      <c r="F59" s="108">
        <f>IF(ISNUMBER(D59), $B64 * E59, "")</f>
        <v>810.8108108108031</v>
      </c>
      <c r="G59" s="109">
        <v>36.799999999999997</v>
      </c>
      <c r="H59" s="107">
        <f>IF(ISNUMBER(G59), (G59 - $B59) / $B59, "")</f>
        <v>-5.405405405405482E-3</v>
      </c>
      <c r="I59" s="110">
        <f>IF(ISNUMBER(G59), $B64 * H59, "")</f>
        <v>-540.54054054054825</v>
      </c>
      <c r="J59" s="106">
        <v>37</v>
      </c>
      <c r="K59" s="107">
        <f>IF(ISNUMBER(J59), (J59 - $B59) / $B59, "")</f>
        <v>0</v>
      </c>
      <c r="L59" s="108">
        <f>IF(ISNUMBER(J59), $B64 * K59, "")</f>
        <v>0</v>
      </c>
      <c r="M59" s="109">
        <v>38.1</v>
      </c>
      <c r="N59" s="107">
        <f>IF(ISNUMBER(M59), (M59 - $B59) / $B59, "")</f>
        <v>2.972972972972977E-2</v>
      </c>
      <c r="O59" s="108">
        <f>IF(ISNUMBER(M59), $B64 * N59, "")</f>
        <v>2972.972972972977</v>
      </c>
      <c r="Q59" s="235"/>
      <c r="R59" s="235"/>
      <c r="S59" s="235"/>
    </row>
    <row r="60" spans="1:19" ht="17.25" customHeight="1" thickBot="1">
      <c r="A60" s="162" t="s">
        <v>268</v>
      </c>
      <c r="B60" s="126">
        <v>53.4</v>
      </c>
      <c r="C60" s="77">
        <v>-3.4358047000000003E-2</v>
      </c>
      <c r="D60" s="15">
        <v>52.8</v>
      </c>
      <c r="E60" s="32">
        <f t="shared" ref="E60:E63" si="26">IF(ISNUMBER(D60), (D60 - $B60) / $B60, "")</f>
        <v>-1.1235955056179803E-2</v>
      </c>
      <c r="F60" s="18">
        <f>IF(ISNUMBER(D60), $B64 * E60, "")</f>
        <v>-1123.5955056179803</v>
      </c>
      <c r="G60" s="31">
        <v>52.4</v>
      </c>
      <c r="H60" s="32">
        <f t="shared" ref="H60:H63" si="27">IF(ISNUMBER(G60), (G60 - $B60) / $B60, "")</f>
        <v>-1.8726591760299626E-2</v>
      </c>
      <c r="I60" s="101">
        <f>IF(ISNUMBER(G60), $B64 * H60, "")</f>
        <v>-1872.6591760299625</v>
      </c>
      <c r="J60" s="15">
        <v>52.4</v>
      </c>
      <c r="K60" s="32">
        <f t="shared" ref="K60:K63" si="28">IF(ISNUMBER(J60), (J60 - $B60) / $B60, "")</f>
        <v>-1.8726591760299626E-2</v>
      </c>
      <c r="L60" s="18">
        <f>IF(ISNUMBER(J60), $B64 * K60, "")</f>
        <v>-1872.6591760299625</v>
      </c>
      <c r="M60" s="31">
        <v>53.5</v>
      </c>
      <c r="N60" s="32">
        <f t="shared" ref="N60:N63" si="29">IF(ISNUMBER(M60), (M60 - $B60) / $B60, "")</f>
        <v>1.8726591760299892E-3</v>
      </c>
      <c r="O60" s="18">
        <f>IF(ISNUMBER(M60), $B64 * N60, "")</f>
        <v>187.26591760299891</v>
      </c>
      <c r="Q60" s="235"/>
      <c r="R60" s="235"/>
      <c r="S60" s="235"/>
    </row>
    <row r="61" spans="1:19" ht="17.25" customHeight="1" thickBot="1">
      <c r="A61" s="162" t="s">
        <v>122</v>
      </c>
      <c r="B61" s="126">
        <v>70</v>
      </c>
      <c r="C61" s="77">
        <v>-3.4482758600000003E-2</v>
      </c>
      <c r="D61" s="15">
        <v>68.900000000000006</v>
      </c>
      <c r="E61" s="32">
        <f t="shared" si="26"/>
        <v>-1.5714285714285632E-2</v>
      </c>
      <c r="F61" s="18">
        <f>IF(ISNUMBER(D61), $B64 * E61, "")</f>
        <v>-1571.4285714285631</v>
      </c>
      <c r="G61" s="31">
        <v>68.900000000000006</v>
      </c>
      <c r="H61" s="32">
        <f t="shared" si="27"/>
        <v>-1.5714285714285632E-2</v>
      </c>
      <c r="I61" s="101">
        <f>IF(ISNUMBER(G61), $B64 * H61, "")</f>
        <v>-1571.4285714285631</v>
      </c>
      <c r="J61" s="15">
        <v>68.7</v>
      </c>
      <c r="K61" s="32">
        <f t="shared" si="28"/>
        <v>-1.857142857142853E-2</v>
      </c>
      <c r="L61" s="18">
        <f>IF(ISNUMBER(J61), $B64 * K61, "")</f>
        <v>-1857.142857142853</v>
      </c>
      <c r="M61" s="31">
        <v>70.400000000000006</v>
      </c>
      <c r="N61" s="32">
        <f t="shared" si="29"/>
        <v>5.7142857142857958E-3</v>
      </c>
      <c r="O61" s="18">
        <f>IF(ISNUMBER(M61), $B64 * N61, "")</f>
        <v>571.42857142857963</v>
      </c>
      <c r="Q61" s="235"/>
      <c r="R61" s="235"/>
      <c r="S61" s="235"/>
    </row>
    <row r="62" spans="1:19" ht="17.25" customHeight="1">
      <c r="A62" s="162" t="s">
        <v>198</v>
      </c>
      <c r="B62" s="126">
        <v>16.7</v>
      </c>
      <c r="C62" s="77">
        <v>-3.4682080900000002E-2</v>
      </c>
      <c r="D62" s="15">
        <v>17.100000000000001</v>
      </c>
      <c r="E62" s="32">
        <f t="shared" si="26"/>
        <v>2.3952095808383363E-2</v>
      </c>
      <c r="F62" s="18">
        <f>IF(ISNUMBER(D62), $B64 * E62, "")</f>
        <v>2395.2095808383365</v>
      </c>
      <c r="G62" s="31">
        <v>17.2</v>
      </c>
      <c r="H62" s="32">
        <f t="shared" si="27"/>
        <v>2.9940119760479042E-2</v>
      </c>
      <c r="I62" s="101">
        <f>IF(ISNUMBER(G62), $B64 * H62, "")</f>
        <v>2994.0119760479042</v>
      </c>
      <c r="J62" s="15">
        <v>17.100000000000001</v>
      </c>
      <c r="K62" s="32">
        <f t="shared" si="28"/>
        <v>2.3952095808383363E-2</v>
      </c>
      <c r="L62" s="18">
        <f>IF(ISNUMBER(J62), $B64 * K62, "")</f>
        <v>2395.2095808383365</v>
      </c>
      <c r="M62" s="31">
        <v>17.399999999999999</v>
      </c>
      <c r="N62" s="32">
        <f t="shared" si="29"/>
        <v>4.1916167664670621E-2</v>
      </c>
      <c r="O62" s="18">
        <f>IF(ISNUMBER(M62), $B64 * N62, "")</f>
        <v>4191.616766467062</v>
      </c>
      <c r="Q62" s="224"/>
      <c r="R62" s="225"/>
      <c r="S62" s="226"/>
    </row>
    <row r="63" spans="1:19" ht="17.25" customHeight="1" thickBot="1">
      <c r="A63" s="130" t="s">
        <v>218</v>
      </c>
      <c r="B63" s="131">
        <v>16.600000000000001</v>
      </c>
      <c r="C63" s="79">
        <v>-3.4883720899999998E-2</v>
      </c>
      <c r="D63" s="24">
        <v>16.600000000000001</v>
      </c>
      <c r="E63" s="25">
        <f t="shared" si="26"/>
        <v>0</v>
      </c>
      <c r="F63" s="104">
        <f>IF(ISNUMBER(D63), $B64 * E63, "")</f>
        <v>0</v>
      </c>
      <c r="G63" s="102">
        <v>16.7</v>
      </c>
      <c r="H63" s="25">
        <f t="shared" si="27"/>
        <v>6.0240963855420398E-3</v>
      </c>
      <c r="I63" s="103">
        <f>IF(ISNUMBER(G63), $B64 * H63, "")</f>
        <v>602.40963855420398</v>
      </c>
      <c r="J63" s="24">
        <v>16.600000000000001</v>
      </c>
      <c r="K63" s="25">
        <f t="shared" si="28"/>
        <v>0</v>
      </c>
      <c r="L63" s="104">
        <f>IF(ISNUMBER(J63), $B64 * K63, "")</f>
        <v>0</v>
      </c>
      <c r="M63" s="102">
        <v>17</v>
      </c>
      <c r="N63" s="25">
        <f t="shared" si="29"/>
        <v>2.4096385542168586E-2</v>
      </c>
      <c r="O63" s="104">
        <f>IF(ISNUMBER(M63), $B64 * N63, "")</f>
        <v>2409.6385542168587</v>
      </c>
      <c r="Q63" s="227"/>
      <c r="R63" s="228"/>
      <c r="S63" s="229"/>
    </row>
    <row r="64" spans="1:19" ht="17.25" customHeight="1" thickBot="1">
      <c r="A64" s="132" t="s">
        <v>300</v>
      </c>
      <c r="B64" s="288">
        <f>$B$37</f>
        <v>100000</v>
      </c>
      <c r="C64" s="289"/>
      <c r="D64" s="26" t="s">
        <v>301</v>
      </c>
      <c r="E64" s="27">
        <f>IF(COUNT(E44:E63), SUM(E44:E63) / COUNT(E44:E63), 0)</f>
        <v>1.1394994865500407E-3</v>
      </c>
      <c r="F64" s="28">
        <f>SUM(F44:F63)</f>
        <v>2278.9989731000815</v>
      </c>
      <c r="G64" s="26" t="s">
        <v>301</v>
      </c>
      <c r="H64" s="27">
        <f>IF(COUNT(H44:H63), SUM(H44:H63) / COUNT(H44:H63), 0)</f>
        <v>1.3342387751767945E-4</v>
      </c>
      <c r="I64" s="28">
        <f>SUM(I44:I63)</f>
        <v>266.84775503535923</v>
      </c>
      <c r="J64" s="26" t="s">
        <v>301</v>
      </c>
      <c r="K64" s="27">
        <f>IF(COUNT(K44:K63), SUM(K44:K63) / COUNT(K44:K63), 0)</f>
        <v>-3.2657911771541079E-4</v>
      </c>
      <c r="L64" s="28">
        <f>SUM(L44:L63)</f>
        <v>-653.15823543082297</v>
      </c>
      <c r="M64" s="26" t="s">
        <v>301</v>
      </c>
      <c r="N64" s="27">
        <f>IF(COUNT(N44:N63), SUM(N44:N63) / COUNT(N44:N63), 0)</f>
        <v>2.0836356808595181E-2</v>
      </c>
      <c r="O64" s="28">
        <f>SUM(O44:O63)</f>
        <v>41672.713617190377</v>
      </c>
      <c r="Q64" s="230"/>
      <c r="R64" s="231"/>
      <c r="S64" s="232"/>
    </row>
    <row r="65" spans="1:19" ht="17.25" customHeight="1"/>
    <row r="66" spans="1:19" ht="17.25" customHeight="1" thickBot="1"/>
    <row r="67" spans="1:19" ht="17.25" thickBot="1">
      <c r="A67" s="246" t="s">
        <v>45</v>
      </c>
      <c r="B67" s="247"/>
      <c r="C67" s="247"/>
      <c r="D67" s="247"/>
      <c r="E67" s="247"/>
      <c r="F67" s="247"/>
      <c r="G67" s="247"/>
      <c r="H67" s="247"/>
      <c r="I67" s="247"/>
      <c r="J67" s="247"/>
      <c r="K67" s="247"/>
      <c r="L67" s="247"/>
      <c r="M67" s="247"/>
      <c r="N67" s="247"/>
      <c r="O67" s="248"/>
      <c r="Q67" s="245"/>
      <c r="R67" s="245"/>
      <c r="S67" s="245"/>
    </row>
    <row r="68" spans="1:19" ht="17.25" thickBot="1">
      <c r="A68" s="164" t="s">
        <v>297</v>
      </c>
      <c r="B68" s="246" t="s">
        <v>49</v>
      </c>
      <c r="C68" s="248"/>
      <c r="D68" s="246" t="s">
        <v>58</v>
      </c>
      <c r="E68" s="247"/>
      <c r="F68" s="248"/>
      <c r="G68" s="249">
        <f>_xlfn.IFNA(VLOOKUP(B68, 현재가테이블!$B$2:$D$200, 2, FALSE), "-")</f>
        <v>45335000</v>
      </c>
      <c r="H68" s="250"/>
      <c r="I68" s="251"/>
      <c r="J68" s="246" t="s">
        <v>59</v>
      </c>
      <c r="K68" s="247"/>
      <c r="L68" s="248"/>
      <c r="M68" s="252">
        <f>_xlfn.IFNA(VLOOKUP(B68, 현재가테이블!$B$2:$D$200, 3, FALSE), "-")</f>
        <v>-2.27209037E-2</v>
      </c>
      <c r="N68" s="253"/>
      <c r="O68" s="254"/>
      <c r="Q68" s="245"/>
      <c r="R68" s="245"/>
      <c r="S68" s="245"/>
    </row>
    <row r="69" spans="1:19" ht="17.25" thickBot="1">
      <c r="A69" s="290" t="s">
        <v>55</v>
      </c>
      <c r="B69" s="286" t="str">
        <f>TEXT($G$1, "[$-ko-KR]yyyy-mm-dd(ddd) ") &amp; "오전 00:00"</f>
        <v>2021-06-02(수) 오전 00:00</v>
      </c>
      <c r="C69" s="287"/>
      <c r="D69" s="259" t="str">
        <f>TEXT($G$1, "[$-ko-KR]yyyy-mm-dd(ddd) ") &amp; "오후 14:00"</f>
        <v>2021-06-02(수) 오후 14:00</v>
      </c>
      <c r="E69" s="260"/>
      <c r="F69" s="261"/>
      <c r="G69" s="259" t="str">
        <f>TEXT($G$1, "[$-ko-KR]yyyy-mm-dd(ddd) ") &amp; "오후 19:00"</f>
        <v>2021-06-02(수) 오후 19:00</v>
      </c>
      <c r="H69" s="260"/>
      <c r="I69" s="261"/>
      <c r="J69" s="259" t="str">
        <f>TEXT($G$1, "[$-ko-KR]yyyy-mm-dd(ddd) ") &amp; "오후 21:00"</f>
        <v>2021-06-02(수) 오후 21:00</v>
      </c>
      <c r="K69" s="260"/>
      <c r="L69" s="261"/>
      <c r="M69" s="259" t="str">
        <f>TEXT($G$1+1, "[$-ko-KR]yyyy-mm-dd(ddd) ") &amp; "오전 00:00"</f>
        <v>2021-06-03(목) 오전 00:00</v>
      </c>
      <c r="N69" s="260"/>
      <c r="O69" s="261"/>
      <c r="Q69" s="245"/>
      <c r="R69" s="245"/>
      <c r="S69" s="245"/>
    </row>
    <row r="70" spans="1:19" ht="17.25" thickBot="1">
      <c r="A70" s="291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65" t="s">
        <v>58</v>
      </c>
      <c r="H70" s="166" t="s">
        <v>298</v>
      </c>
      <c r="I70" s="167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5"/>
      <c r="R70" s="235"/>
      <c r="S70" s="235"/>
    </row>
    <row r="71" spans="1:19" ht="17.25" thickBot="1">
      <c r="A71" s="161" t="s">
        <v>51</v>
      </c>
      <c r="B71" s="124">
        <v>513</v>
      </c>
      <c r="C71" s="76">
        <v>8.4566596199999997E-2</v>
      </c>
      <c r="D71" s="13">
        <v>492</v>
      </c>
      <c r="E71" s="14">
        <f>IF(ISNUMBER(D71), (D71 - $B71) / $B71, "")</f>
        <v>-4.0935672514619881E-2</v>
      </c>
      <c r="F71" s="16">
        <f>IF(ISNUMBER(D71), $B91 * E71, "")</f>
        <v>-4093.5672514619882</v>
      </c>
      <c r="G71" s="29">
        <v>484</v>
      </c>
      <c r="H71" s="14">
        <f>IF(ISNUMBER(G71), (G71 - $B71) / $B71, "")</f>
        <v>-5.6530214424951264E-2</v>
      </c>
      <c r="I71" s="100">
        <f>IF(ISNUMBER(G71), $B91 * H71, "")</f>
        <v>-5653.0214424951264</v>
      </c>
      <c r="J71" s="13">
        <v>487</v>
      </c>
      <c r="K71" s="14">
        <f>IF(ISNUMBER(J71), (J71 - $B71) / $B71, "")</f>
        <v>-5.0682261208576995E-2</v>
      </c>
      <c r="L71" s="16">
        <f>IF(ISNUMBER(J71), $B91 * K71, "")</f>
        <v>-5068.2261208576992</v>
      </c>
      <c r="M71" s="29">
        <v>493</v>
      </c>
      <c r="N71" s="14">
        <f>IF(ISNUMBER(M71), (M71 - $B71) / $B71, "")</f>
        <v>-3.8986354775828458E-2</v>
      </c>
      <c r="O71" s="16">
        <f>IF(ISNUMBER(M71), $B91 * N71, "")</f>
        <v>-3898.6354775828459</v>
      </c>
      <c r="Q71" s="245"/>
      <c r="R71" s="245"/>
      <c r="S71" s="245"/>
    </row>
    <row r="72" spans="1:19" ht="17.25" thickBot="1">
      <c r="A72" s="162" t="s">
        <v>142</v>
      </c>
      <c r="B72" s="126">
        <v>411</v>
      </c>
      <c r="C72" s="77">
        <v>4.0506329100000002E-2</v>
      </c>
      <c r="D72" s="15">
        <v>413</v>
      </c>
      <c r="E72" s="32">
        <f t="shared" ref="E72:E75" si="30">IF(ISNUMBER(D72), (D72 - $B72) / $B72, "")</f>
        <v>4.8661800486618006E-3</v>
      </c>
      <c r="F72" s="18">
        <f>IF(ISNUMBER(D72), $B91 * E72, "")</f>
        <v>486.61800486618006</v>
      </c>
      <c r="G72" s="31">
        <v>412</v>
      </c>
      <c r="H72" s="32">
        <f t="shared" ref="H72:H75" si="31">IF(ISNUMBER(G72), (G72 - $B72) / $B72, "")</f>
        <v>2.4330900243309003E-3</v>
      </c>
      <c r="I72" s="101">
        <f>IF(ISNUMBER(G72), $B91 * H72, "")</f>
        <v>243.30900243309003</v>
      </c>
      <c r="J72" s="15">
        <v>413</v>
      </c>
      <c r="K72" s="32">
        <f t="shared" ref="K72:K75" si="32">IF(ISNUMBER(J72), (J72 - $B72) / $B72, "")</f>
        <v>4.8661800486618006E-3</v>
      </c>
      <c r="L72" s="18">
        <f>IF(ISNUMBER(J72), $B91 * K72, "")</f>
        <v>486.61800486618006</v>
      </c>
      <c r="M72" s="31">
        <v>416</v>
      </c>
      <c r="N72" s="32">
        <f t="shared" ref="N72:N75" si="33">IF(ISNUMBER(M72), (M72 - $B72) / $B72, "")</f>
        <v>1.2165450121654502E-2</v>
      </c>
      <c r="O72" s="18">
        <f>IF(ISNUMBER(M72), $B91 * N72, "")</f>
        <v>1216.5450121654501</v>
      </c>
      <c r="Q72" s="245"/>
      <c r="R72" s="245"/>
      <c r="S72" s="245"/>
    </row>
    <row r="73" spans="1:19" ht="17.25" thickBot="1">
      <c r="A73" s="162" t="s">
        <v>136</v>
      </c>
      <c r="B73" s="126">
        <v>140</v>
      </c>
      <c r="C73" s="77">
        <v>2.9411764699999999E-2</v>
      </c>
      <c r="D73" s="15">
        <v>148</v>
      </c>
      <c r="E73" s="32">
        <f t="shared" si="30"/>
        <v>5.7142857142857141E-2</v>
      </c>
      <c r="F73" s="18">
        <f>IF(ISNUMBER(D73), $B91 * E73, "")</f>
        <v>5714.2857142857138</v>
      </c>
      <c r="G73" s="31">
        <v>145</v>
      </c>
      <c r="H73" s="32">
        <f t="shared" si="31"/>
        <v>3.5714285714285712E-2</v>
      </c>
      <c r="I73" s="101">
        <f>IF(ISNUMBER(G73), $B91 * H73, "")</f>
        <v>3571.4285714285711</v>
      </c>
      <c r="J73" s="15">
        <v>147</v>
      </c>
      <c r="K73" s="32">
        <f t="shared" si="32"/>
        <v>0.05</v>
      </c>
      <c r="L73" s="18">
        <f>IF(ISNUMBER(J73), $B91 * K73, "")</f>
        <v>5000</v>
      </c>
      <c r="M73" s="31">
        <v>147</v>
      </c>
      <c r="N73" s="32">
        <f t="shared" si="33"/>
        <v>0.05</v>
      </c>
      <c r="O73" s="18">
        <f>IF(ISNUMBER(M73), $B91 * N73, "")</f>
        <v>5000</v>
      </c>
      <c r="Q73" s="235"/>
      <c r="R73" s="235"/>
      <c r="S73" s="235"/>
    </row>
    <row r="74" spans="1:19" ht="17.25" thickBot="1">
      <c r="A74" s="162" t="s">
        <v>168</v>
      </c>
      <c r="B74" s="126">
        <v>112</v>
      </c>
      <c r="C74" s="77">
        <v>1.8181818200000002E-2</v>
      </c>
      <c r="D74" s="15">
        <v>113</v>
      </c>
      <c r="E74" s="32">
        <f t="shared" si="30"/>
        <v>8.9285714285714281E-3</v>
      </c>
      <c r="F74" s="18">
        <f>IF(ISNUMBER(D74), $B91 * E74, "")</f>
        <v>892.85714285714278</v>
      </c>
      <c r="G74" s="31">
        <v>113</v>
      </c>
      <c r="H74" s="32">
        <f t="shared" si="31"/>
        <v>8.9285714285714281E-3</v>
      </c>
      <c r="I74" s="101">
        <f>IF(ISNUMBER(G74), $B91 * H74, "")</f>
        <v>892.85714285714278</v>
      </c>
      <c r="J74" s="15">
        <v>112</v>
      </c>
      <c r="K74" s="32">
        <f t="shared" si="32"/>
        <v>0</v>
      </c>
      <c r="L74" s="18">
        <f>IF(ISNUMBER(J74), $B91 * K74, "")</f>
        <v>0</v>
      </c>
      <c r="M74" s="31">
        <v>115</v>
      </c>
      <c r="N74" s="32">
        <f t="shared" si="33"/>
        <v>2.6785714285714284E-2</v>
      </c>
      <c r="O74" s="18">
        <f>IF(ISNUMBER(M74), $B91 * N74, "")</f>
        <v>2678.5714285714284</v>
      </c>
      <c r="Q74" s="235"/>
      <c r="R74" s="235"/>
      <c r="S74" s="235"/>
    </row>
    <row r="75" spans="1:19" ht="17.25" thickBot="1">
      <c r="A75" s="163" t="s">
        <v>226</v>
      </c>
      <c r="B75" s="128">
        <v>308</v>
      </c>
      <c r="C75" s="78">
        <v>1.6501650199999999E-2</v>
      </c>
      <c r="D75" s="20">
        <v>298</v>
      </c>
      <c r="E75" s="21">
        <f t="shared" si="30"/>
        <v>-3.2467532467532464E-2</v>
      </c>
      <c r="F75" s="22">
        <f>IF(ISNUMBER(D75), $B91 * E75, "")</f>
        <v>-3246.7532467532465</v>
      </c>
      <c r="G75" s="30">
        <v>296</v>
      </c>
      <c r="H75" s="21">
        <f t="shared" si="31"/>
        <v>-3.896103896103896E-2</v>
      </c>
      <c r="I75" s="105">
        <f>IF(ISNUMBER(G75), $B91 * H75, "")</f>
        <v>-3896.1038961038962</v>
      </c>
      <c r="J75" s="20">
        <v>297</v>
      </c>
      <c r="K75" s="21">
        <f t="shared" si="32"/>
        <v>-3.5714285714285712E-2</v>
      </c>
      <c r="L75" s="22">
        <f>IF(ISNUMBER(J75), $B91 * K75, "")</f>
        <v>-3571.4285714285711</v>
      </c>
      <c r="M75" s="30">
        <v>304</v>
      </c>
      <c r="N75" s="21">
        <f t="shared" si="33"/>
        <v>-1.2987012987012988E-2</v>
      </c>
      <c r="O75" s="22">
        <f>IF(ISNUMBER(M75), $B91 * N75, "")</f>
        <v>-1298.7012987012988</v>
      </c>
      <c r="Q75" s="235"/>
      <c r="R75" s="235"/>
      <c r="S75" s="235"/>
    </row>
    <row r="76" spans="1:19" ht="17.25" thickBot="1">
      <c r="A76" s="162" t="s">
        <v>148</v>
      </c>
      <c r="B76" s="129">
        <v>126</v>
      </c>
      <c r="C76" s="80">
        <v>1.6129032299999999E-2</v>
      </c>
      <c r="D76" s="106">
        <v>124</v>
      </c>
      <c r="E76" s="107">
        <f>IF(ISNUMBER(D76), (D76 - $B76) / $B76, "")</f>
        <v>-1.5873015873015872E-2</v>
      </c>
      <c r="F76" s="108">
        <f>IF(ISNUMBER(D76), $B91 * E76, "")</f>
        <v>-1587.3015873015872</v>
      </c>
      <c r="G76" s="109">
        <v>125</v>
      </c>
      <c r="H76" s="107">
        <f>IF(ISNUMBER(G76), (G76 - $B76) / $B76, "")</f>
        <v>-7.9365079365079361E-3</v>
      </c>
      <c r="I76" s="110">
        <f>IF(ISNUMBER(G76), $B91 * H76, "")</f>
        <v>-793.65079365079362</v>
      </c>
      <c r="J76" s="106">
        <v>125</v>
      </c>
      <c r="K76" s="107">
        <f>IF(ISNUMBER(J76), (J76 - $B76) / $B76, "")</f>
        <v>-7.9365079365079361E-3</v>
      </c>
      <c r="L76" s="108">
        <f>IF(ISNUMBER(J76), $B91 * K76, "")</f>
        <v>-793.65079365079362</v>
      </c>
      <c r="M76" s="109">
        <v>126</v>
      </c>
      <c r="N76" s="107">
        <f>IF(ISNUMBER(M76), (M76 - $B76) / $B76, "")</f>
        <v>0</v>
      </c>
      <c r="O76" s="108">
        <f>IF(ISNUMBER(M76), $B91 * N76, "")</f>
        <v>0</v>
      </c>
      <c r="Q76" s="235"/>
      <c r="R76" s="235"/>
      <c r="S76" s="235"/>
    </row>
    <row r="77" spans="1:19" ht="17.25" thickBot="1">
      <c r="A77" s="162" t="s">
        <v>296</v>
      </c>
      <c r="B77" s="126">
        <v>377</v>
      </c>
      <c r="C77" s="77">
        <v>-1.04986877E-2</v>
      </c>
      <c r="D77" s="15">
        <v>459</v>
      </c>
      <c r="E77" s="32">
        <f t="shared" ref="E77:E80" si="34">IF(ISNUMBER(D77), (D77 - $B77) / $B77, "")</f>
        <v>0.21750663129973474</v>
      </c>
      <c r="F77" s="18">
        <f>IF(ISNUMBER(D77), $B91 * E77, "")</f>
        <v>21750.663129973473</v>
      </c>
      <c r="G77" s="31">
        <v>500</v>
      </c>
      <c r="H77" s="32">
        <f t="shared" ref="H77:H80" si="35">IF(ISNUMBER(G77), (G77 - $B77) / $B77, "")</f>
        <v>0.32625994694960214</v>
      </c>
      <c r="I77" s="101">
        <f>IF(ISNUMBER(G77), $B91 * H77, "")</f>
        <v>32625.994694960213</v>
      </c>
      <c r="J77" s="15">
        <v>501</v>
      </c>
      <c r="K77" s="32">
        <f t="shared" ref="K77:K80" si="36">IF(ISNUMBER(J77), (J77 - $B77) / $B77, "")</f>
        <v>0.32891246684350134</v>
      </c>
      <c r="L77" s="18">
        <f>IF(ISNUMBER(J77), $B91 * K77, "")</f>
        <v>32891.246684350132</v>
      </c>
      <c r="M77" s="31">
        <v>488</v>
      </c>
      <c r="N77" s="32">
        <f t="shared" ref="N77:N80" si="37">IF(ISNUMBER(M77), (M77 - $B77) / $B77, "")</f>
        <v>0.29442970822281167</v>
      </c>
      <c r="O77" s="18">
        <f>IF(ISNUMBER(M77), $B91 * N77, "")</f>
        <v>29442.970822281168</v>
      </c>
      <c r="Q77" s="235"/>
      <c r="R77" s="235"/>
      <c r="S77" s="235"/>
    </row>
    <row r="78" spans="1:19" ht="17.25" thickBot="1">
      <c r="A78" s="162" t="s">
        <v>216</v>
      </c>
      <c r="B78" s="126">
        <v>291</v>
      </c>
      <c r="C78" s="77">
        <v>-1.3559322E-2</v>
      </c>
      <c r="D78" s="15">
        <v>293</v>
      </c>
      <c r="E78" s="32">
        <f t="shared" si="34"/>
        <v>6.8728522336769758E-3</v>
      </c>
      <c r="F78" s="18">
        <f>IF(ISNUMBER(D78), $B91 * E78, "")</f>
        <v>687.28522336769754</v>
      </c>
      <c r="G78" s="31">
        <v>291</v>
      </c>
      <c r="H78" s="32">
        <f t="shared" si="35"/>
        <v>0</v>
      </c>
      <c r="I78" s="101">
        <f>IF(ISNUMBER(G78), $B91 * H78, "")</f>
        <v>0</v>
      </c>
      <c r="J78" s="15">
        <v>290</v>
      </c>
      <c r="K78" s="32">
        <f t="shared" si="36"/>
        <v>-3.4364261168384879E-3</v>
      </c>
      <c r="L78" s="18">
        <f>IF(ISNUMBER(J78), $B91 * K78, "")</f>
        <v>-343.64261168384877</v>
      </c>
      <c r="M78" s="31">
        <v>294</v>
      </c>
      <c r="N78" s="32">
        <f t="shared" si="37"/>
        <v>1.0309278350515464E-2</v>
      </c>
      <c r="O78" s="18">
        <f>IF(ISNUMBER(M78), $B91 * N78, "")</f>
        <v>1030.9278350515465</v>
      </c>
      <c r="Q78" s="235"/>
      <c r="R78" s="235"/>
      <c r="S78" s="235"/>
    </row>
    <row r="79" spans="1:19" ht="17.25" thickBot="1">
      <c r="A79" s="162" t="s">
        <v>210</v>
      </c>
      <c r="B79" s="126">
        <v>133</v>
      </c>
      <c r="C79" s="77">
        <v>-1.4814814799999999E-2</v>
      </c>
      <c r="D79" s="15">
        <v>135</v>
      </c>
      <c r="E79" s="32">
        <f t="shared" si="34"/>
        <v>1.5037593984962405E-2</v>
      </c>
      <c r="F79" s="18">
        <f>IF(ISNUMBER(D79), $B91 * E79, "")</f>
        <v>1503.7593984962405</v>
      </c>
      <c r="G79" s="31">
        <v>133</v>
      </c>
      <c r="H79" s="32">
        <f t="shared" si="35"/>
        <v>0</v>
      </c>
      <c r="I79" s="101">
        <f>IF(ISNUMBER(G79), $B91 * H79, "")</f>
        <v>0</v>
      </c>
      <c r="J79" s="15">
        <v>134</v>
      </c>
      <c r="K79" s="32">
        <f t="shared" si="36"/>
        <v>7.5187969924812026E-3</v>
      </c>
      <c r="L79" s="18">
        <f>IF(ISNUMBER(J79), $B91 * K79, "")</f>
        <v>751.87969924812023</v>
      </c>
      <c r="M79" s="31">
        <v>135</v>
      </c>
      <c r="N79" s="32">
        <f t="shared" si="37"/>
        <v>1.5037593984962405E-2</v>
      </c>
      <c r="O79" s="18">
        <f>IF(ISNUMBER(M79), $B91 * N79, "")</f>
        <v>1503.7593984962405</v>
      </c>
      <c r="Q79" s="33"/>
      <c r="R79" s="33"/>
    </row>
    <row r="80" spans="1:19" ht="17.25" thickBot="1">
      <c r="A80" s="130" t="s">
        <v>240</v>
      </c>
      <c r="B80" s="131">
        <v>128</v>
      </c>
      <c r="C80" s="79">
        <v>-1.5384615399999999E-2</v>
      </c>
      <c r="D80" s="24">
        <v>126</v>
      </c>
      <c r="E80" s="25">
        <f t="shared" si="34"/>
        <v>-1.5625E-2</v>
      </c>
      <c r="F80" s="104">
        <f>IF(ISNUMBER(D80), $B91 * E80, "")</f>
        <v>-1562.5</v>
      </c>
      <c r="G80" s="102">
        <v>125</v>
      </c>
      <c r="H80" s="25">
        <f t="shared" si="35"/>
        <v>-2.34375E-2</v>
      </c>
      <c r="I80" s="103">
        <f>IF(ISNUMBER(G80), $B91 * H80, "")</f>
        <v>-2343.75</v>
      </c>
      <c r="J80" s="24">
        <v>126</v>
      </c>
      <c r="K80" s="25">
        <f t="shared" si="36"/>
        <v>-1.5625E-2</v>
      </c>
      <c r="L80" s="104">
        <f>IF(ISNUMBER(J80), $B91 * K80, "")</f>
        <v>-1562.5</v>
      </c>
      <c r="M80" s="102">
        <v>128</v>
      </c>
      <c r="N80" s="25">
        <f t="shared" si="37"/>
        <v>0</v>
      </c>
      <c r="O80" s="104">
        <f>IF(ISNUMBER(M80), $B91 * N80, "")</f>
        <v>0</v>
      </c>
      <c r="Q80" s="236"/>
      <c r="R80" s="237"/>
      <c r="S80" s="238"/>
    </row>
    <row r="81" spans="1:19">
      <c r="A81" s="161" t="s">
        <v>170</v>
      </c>
      <c r="B81" s="124">
        <v>295</v>
      </c>
      <c r="C81" s="76">
        <v>-1.9933554799999999E-2</v>
      </c>
      <c r="D81" s="13">
        <v>296</v>
      </c>
      <c r="E81" s="14">
        <f>IF(ISNUMBER(D81), (D81 - $B81) / $B81, "")</f>
        <v>3.3898305084745762E-3</v>
      </c>
      <c r="F81" s="16">
        <f>IF(ISNUMBER(D81), $B91 * E81, "")</f>
        <v>338.9830508474576</v>
      </c>
      <c r="G81" s="29">
        <v>297</v>
      </c>
      <c r="H81" s="14">
        <f>IF(ISNUMBER(G81), (G81 - $B81) / $B81, "")</f>
        <v>6.7796610169491523E-3</v>
      </c>
      <c r="I81" s="100">
        <f>IF(ISNUMBER(G81), $B91 * H81, "")</f>
        <v>677.96610169491521</v>
      </c>
      <c r="J81" s="13">
        <v>295</v>
      </c>
      <c r="K81" s="14">
        <f>IF(ISNUMBER(J81), (J81 - $B81) / $B81, "")</f>
        <v>0</v>
      </c>
      <c r="L81" s="16">
        <f>IF(ISNUMBER(J81), $B91 * K81, "")</f>
        <v>0</v>
      </c>
      <c r="M81" s="29">
        <v>302</v>
      </c>
      <c r="N81" s="14">
        <f>IF(ISNUMBER(M81), (M81 - $B81) / $B81, "")</f>
        <v>2.3728813559322035E-2</v>
      </c>
      <c r="O81" s="16">
        <f>IF(ISNUMBER(M81), $B91 * N81, "")</f>
        <v>2372.8813559322034</v>
      </c>
      <c r="Q81" s="239"/>
      <c r="R81" s="240"/>
      <c r="S81" s="241"/>
    </row>
    <row r="82" spans="1:19" ht="17.25" thickBot="1">
      <c r="A82" s="162" t="s">
        <v>132</v>
      </c>
      <c r="B82" s="126">
        <v>145</v>
      </c>
      <c r="C82" s="77">
        <v>-2.02702703E-2</v>
      </c>
      <c r="D82" s="15">
        <v>144</v>
      </c>
      <c r="E82" s="32">
        <f t="shared" ref="E82:E85" si="38">IF(ISNUMBER(D82), (D82 - $B82) / $B82, "")</f>
        <v>-6.8965517241379309E-3</v>
      </c>
      <c r="F82" s="18">
        <f>IF(ISNUMBER(D82), $B91 * E82, "")</f>
        <v>-689.65517241379314</v>
      </c>
      <c r="G82" s="31">
        <v>144</v>
      </c>
      <c r="H82" s="32">
        <f t="shared" ref="H82:H85" si="39">IF(ISNUMBER(G82), (G82 - $B82) / $B82, "")</f>
        <v>-6.8965517241379309E-3</v>
      </c>
      <c r="I82" s="101">
        <f>IF(ISNUMBER(G82), $B91 * H82, "")</f>
        <v>-689.65517241379314</v>
      </c>
      <c r="J82" s="15">
        <v>147</v>
      </c>
      <c r="K82" s="32">
        <f t="shared" ref="K82:K85" si="40">IF(ISNUMBER(J82), (J82 - $B82) / $B82, "")</f>
        <v>1.3793103448275862E-2</v>
      </c>
      <c r="L82" s="18">
        <f>IF(ISNUMBER(J82), $B91 * K82, "")</f>
        <v>1379.3103448275863</v>
      </c>
      <c r="M82" s="31">
        <v>149</v>
      </c>
      <c r="N82" s="32">
        <f t="shared" ref="N82:N85" si="41">IF(ISNUMBER(M82), (M82 - $B82) / $B82, "")</f>
        <v>2.7586206896551724E-2</v>
      </c>
      <c r="O82" s="18">
        <f>IF(ISNUMBER(M82), $B91 * N82, "")</f>
        <v>2758.6206896551726</v>
      </c>
      <c r="Q82" s="242"/>
      <c r="R82" s="243"/>
      <c r="S82" s="244"/>
    </row>
    <row r="83" spans="1:19" ht="17.25" thickBot="1">
      <c r="A83" s="162" t="s">
        <v>120</v>
      </c>
      <c r="B83" s="126">
        <v>144</v>
      </c>
      <c r="C83" s="77">
        <v>-2.0408163300000001E-2</v>
      </c>
      <c r="D83" s="15">
        <v>146</v>
      </c>
      <c r="E83" s="32">
        <f t="shared" si="38"/>
        <v>1.3888888888888888E-2</v>
      </c>
      <c r="F83" s="18">
        <f>IF(ISNUMBER(D83), $B91 * E83, "")</f>
        <v>1388.8888888888889</v>
      </c>
      <c r="G83" s="31">
        <v>146</v>
      </c>
      <c r="H83" s="32">
        <f t="shared" si="39"/>
        <v>1.3888888888888888E-2</v>
      </c>
      <c r="I83" s="101">
        <f>IF(ISNUMBER(G83), $B91 * H83, "")</f>
        <v>1388.8888888888889</v>
      </c>
      <c r="J83" s="15">
        <v>147</v>
      </c>
      <c r="K83" s="32">
        <f t="shared" si="40"/>
        <v>2.0833333333333332E-2</v>
      </c>
      <c r="L83" s="18">
        <f>IF(ISNUMBER(J83), $B91 * K83, "")</f>
        <v>2083.333333333333</v>
      </c>
      <c r="M83" s="31">
        <v>148</v>
      </c>
      <c r="N83" s="32">
        <f t="shared" si="41"/>
        <v>2.7777777777777776E-2</v>
      </c>
      <c r="O83" s="18">
        <f>IF(ISNUMBER(M83), $B91 * N83, "")</f>
        <v>2777.7777777777778</v>
      </c>
      <c r="Q83" s="235"/>
      <c r="R83" s="235"/>
      <c r="S83" s="235"/>
    </row>
    <row r="84" spans="1:19" ht="17.25" thickBot="1">
      <c r="A84" s="162" t="s">
        <v>182</v>
      </c>
      <c r="B84" s="126">
        <v>297</v>
      </c>
      <c r="C84" s="77">
        <v>-2.3026315799999999E-2</v>
      </c>
      <c r="D84" s="15">
        <v>300</v>
      </c>
      <c r="E84" s="32">
        <f t="shared" si="38"/>
        <v>1.0101010101010102E-2</v>
      </c>
      <c r="F84" s="18">
        <f>IF(ISNUMBER(D84), $B91 * E84, "")</f>
        <v>1010.1010101010102</v>
      </c>
      <c r="G84" s="31">
        <v>298</v>
      </c>
      <c r="H84" s="32">
        <f t="shared" si="39"/>
        <v>3.3670033670033669E-3</v>
      </c>
      <c r="I84" s="101">
        <f>IF(ISNUMBER(G84), $B91 * H84, "")</f>
        <v>336.70033670033666</v>
      </c>
      <c r="J84" s="15">
        <v>299</v>
      </c>
      <c r="K84" s="32">
        <f t="shared" si="40"/>
        <v>6.7340067340067337E-3</v>
      </c>
      <c r="L84" s="18">
        <f>IF(ISNUMBER(J84), $B91 * K84, "")</f>
        <v>673.40067340067333</v>
      </c>
      <c r="M84" s="31">
        <v>308</v>
      </c>
      <c r="N84" s="32">
        <f t="shared" si="41"/>
        <v>3.7037037037037035E-2</v>
      </c>
      <c r="O84" s="18">
        <f>IF(ISNUMBER(M84), $B91 * N84, "")</f>
        <v>3703.7037037037035</v>
      </c>
      <c r="Q84" s="245"/>
      <c r="R84" s="245"/>
      <c r="S84" s="245"/>
    </row>
    <row r="85" spans="1:19" ht="17.25" thickBot="1">
      <c r="A85" s="163" t="s">
        <v>112</v>
      </c>
      <c r="B85" s="128">
        <v>161</v>
      </c>
      <c r="C85" s="78">
        <v>-2.4242424200000001E-2</v>
      </c>
      <c r="D85" s="20">
        <v>161</v>
      </c>
      <c r="E85" s="21">
        <f t="shared" si="38"/>
        <v>0</v>
      </c>
      <c r="F85" s="22">
        <f>IF(ISNUMBER(D85), $B91 * E85, "")</f>
        <v>0</v>
      </c>
      <c r="G85" s="30">
        <v>161</v>
      </c>
      <c r="H85" s="21">
        <f t="shared" si="39"/>
        <v>0</v>
      </c>
      <c r="I85" s="105">
        <f>IF(ISNUMBER(G85), $B91 * H85, "")</f>
        <v>0</v>
      </c>
      <c r="J85" s="20">
        <v>162</v>
      </c>
      <c r="K85" s="21">
        <f t="shared" si="40"/>
        <v>6.2111801242236021E-3</v>
      </c>
      <c r="L85" s="22">
        <f>IF(ISNUMBER(J85), $B91 * K85, "")</f>
        <v>621.11801242236015</v>
      </c>
      <c r="M85" s="30">
        <v>164</v>
      </c>
      <c r="N85" s="21">
        <f t="shared" si="41"/>
        <v>1.8633540372670808E-2</v>
      </c>
      <c r="O85" s="22">
        <f>IF(ISNUMBER(M85), $B91 * N85, "")</f>
        <v>1863.3540372670807</v>
      </c>
      <c r="Q85" s="245"/>
      <c r="R85" s="245"/>
      <c r="S85" s="245"/>
    </row>
    <row r="86" spans="1:19" ht="17.25" thickBot="1">
      <c r="A86" s="162" t="s">
        <v>250</v>
      </c>
      <c r="B86" s="129">
        <v>116</v>
      </c>
      <c r="C86" s="80">
        <v>-2.5210084000000001E-2</v>
      </c>
      <c r="D86" s="106">
        <v>116</v>
      </c>
      <c r="E86" s="107">
        <f>IF(ISNUMBER(D86), (D86 - $B86) / $B86, "")</f>
        <v>0</v>
      </c>
      <c r="F86" s="108">
        <f>IF(ISNUMBER(D86), $B91 * E86, "")</f>
        <v>0</v>
      </c>
      <c r="G86" s="109">
        <v>115</v>
      </c>
      <c r="H86" s="107">
        <f>IF(ISNUMBER(G86), (G86 - $B86) / $B86, "")</f>
        <v>-8.6206896551724137E-3</v>
      </c>
      <c r="I86" s="110">
        <f>IF(ISNUMBER(G86), $B91 * H86, "")</f>
        <v>-862.06896551724139</v>
      </c>
      <c r="J86" s="106">
        <v>115</v>
      </c>
      <c r="K86" s="107">
        <f>IF(ISNUMBER(J86), (J86 - $B86) / $B86, "")</f>
        <v>-8.6206896551724137E-3</v>
      </c>
      <c r="L86" s="108">
        <f>IF(ISNUMBER(J86), $B91 * K86, "")</f>
        <v>-862.06896551724139</v>
      </c>
      <c r="M86" s="109">
        <v>118</v>
      </c>
      <c r="N86" s="107">
        <f>IF(ISNUMBER(M86), (M86 - $B86) / $B86, "")</f>
        <v>1.7241379310344827E-2</v>
      </c>
      <c r="O86" s="108">
        <f>IF(ISNUMBER(M86), $B91 * N86, "")</f>
        <v>1724.1379310344828</v>
      </c>
      <c r="Q86" s="235"/>
      <c r="R86" s="235"/>
      <c r="S86" s="235"/>
    </row>
    <row r="87" spans="1:19" ht="17.25" thickBot="1">
      <c r="A87" s="162" t="s">
        <v>252</v>
      </c>
      <c r="B87" s="126">
        <v>306</v>
      </c>
      <c r="C87" s="77">
        <v>-2.5477706999999999E-2</v>
      </c>
      <c r="D87" s="15">
        <v>305</v>
      </c>
      <c r="E87" s="32">
        <f t="shared" ref="E87:E90" si="42">IF(ISNUMBER(D87), (D87 - $B87) / $B87, "")</f>
        <v>-3.2679738562091504E-3</v>
      </c>
      <c r="F87" s="18">
        <f>IF(ISNUMBER(D87), $B91 * E87, "")</f>
        <v>-326.79738562091507</v>
      </c>
      <c r="G87" s="31">
        <v>305</v>
      </c>
      <c r="H87" s="32">
        <f t="shared" ref="H87:H90" si="43">IF(ISNUMBER(G87), (G87 - $B87) / $B87, "")</f>
        <v>-3.2679738562091504E-3</v>
      </c>
      <c r="I87" s="101">
        <f>IF(ISNUMBER(G87), $B91 * H87, "")</f>
        <v>-326.79738562091507</v>
      </c>
      <c r="J87" s="15">
        <v>306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>
        <v>310</v>
      </c>
      <c r="N87" s="32">
        <f t="shared" ref="N87:N90" si="45">IF(ISNUMBER(M87), (M87 - $B87) / $B87, "")</f>
        <v>1.3071895424836602E-2</v>
      </c>
      <c r="O87" s="18">
        <f>IF(ISNUMBER(M87), $B91 * N87, "")</f>
        <v>1307.1895424836603</v>
      </c>
      <c r="Q87" s="235"/>
      <c r="R87" s="235"/>
      <c r="S87" s="235"/>
    </row>
    <row r="88" spans="1:19" ht="17.25" thickBot="1">
      <c r="A88" s="162" t="s">
        <v>128</v>
      </c>
      <c r="B88" s="126">
        <v>382</v>
      </c>
      <c r="C88" s="77">
        <v>-2.5510204099999999E-2</v>
      </c>
      <c r="D88" s="15">
        <v>389</v>
      </c>
      <c r="E88" s="32">
        <f t="shared" si="42"/>
        <v>1.832460732984293E-2</v>
      </c>
      <c r="F88" s="18">
        <f>IF(ISNUMBER(D88), $B91 * E88, "")</f>
        <v>1832.4607329842931</v>
      </c>
      <c r="G88" s="31">
        <v>390</v>
      </c>
      <c r="H88" s="32">
        <f t="shared" si="43"/>
        <v>2.0942408376963352E-2</v>
      </c>
      <c r="I88" s="101">
        <f>IF(ISNUMBER(G88), $B91 * H88, "")</f>
        <v>2094.2408376963353</v>
      </c>
      <c r="J88" s="15">
        <v>390</v>
      </c>
      <c r="K88" s="32">
        <f t="shared" si="44"/>
        <v>2.0942408376963352E-2</v>
      </c>
      <c r="L88" s="18">
        <f>IF(ISNUMBER(J88), $B91 * K88, "")</f>
        <v>2094.2408376963353</v>
      </c>
      <c r="M88" s="31">
        <v>398</v>
      </c>
      <c r="N88" s="32">
        <f t="shared" si="45"/>
        <v>4.1884816753926704E-2</v>
      </c>
      <c r="O88" s="18">
        <f>IF(ISNUMBER(M88), $B91 * N88, "")</f>
        <v>4188.4816753926707</v>
      </c>
      <c r="Q88" s="235"/>
      <c r="R88" s="235"/>
      <c r="S88" s="235"/>
    </row>
    <row r="89" spans="1:19">
      <c r="A89" s="162" t="s">
        <v>88</v>
      </c>
      <c r="B89" s="126">
        <v>322</v>
      </c>
      <c r="C89" s="77">
        <v>-2.7190332300000002E-2</v>
      </c>
      <c r="D89" s="15">
        <v>319</v>
      </c>
      <c r="E89" s="32">
        <f t="shared" si="42"/>
        <v>-9.316770186335404E-3</v>
      </c>
      <c r="F89" s="18">
        <f>IF(ISNUMBER(D89), $B91 * E89, "")</f>
        <v>-931.67701863354034</v>
      </c>
      <c r="G89" s="31">
        <v>322</v>
      </c>
      <c r="H89" s="32">
        <f t="shared" si="43"/>
        <v>0</v>
      </c>
      <c r="I89" s="101">
        <f>IF(ISNUMBER(G89), $B91 * H89, "")</f>
        <v>0</v>
      </c>
      <c r="J89" s="15">
        <v>319</v>
      </c>
      <c r="K89" s="32">
        <f t="shared" si="44"/>
        <v>-9.316770186335404E-3</v>
      </c>
      <c r="L89" s="18">
        <f>IF(ISNUMBER(J89), $B91 * K89, "")</f>
        <v>-931.67701863354034</v>
      </c>
      <c r="M89" s="31">
        <v>324</v>
      </c>
      <c r="N89" s="32">
        <f t="shared" si="45"/>
        <v>6.2111801242236021E-3</v>
      </c>
      <c r="O89" s="18">
        <f>IF(ISNUMBER(M89), $B91 * N89, "")</f>
        <v>621.11801242236015</v>
      </c>
      <c r="Q89" s="224"/>
      <c r="R89" s="225"/>
      <c r="S89" s="226"/>
    </row>
    <row r="90" spans="1:19" ht="17.25" thickBot="1">
      <c r="A90" s="130" t="s">
        <v>256</v>
      </c>
      <c r="B90" s="131">
        <v>175</v>
      </c>
      <c r="C90" s="79">
        <v>-2.77777778E-2</v>
      </c>
      <c r="D90" s="24">
        <v>176</v>
      </c>
      <c r="E90" s="25">
        <f t="shared" si="42"/>
        <v>5.7142857142857143E-3</v>
      </c>
      <c r="F90" s="104">
        <f>IF(ISNUMBER(D90), $B91 * E90, "")</f>
        <v>571.42857142857144</v>
      </c>
      <c r="G90" s="102">
        <v>176</v>
      </c>
      <c r="H90" s="25">
        <f t="shared" si="43"/>
        <v>5.7142857142857143E-3</v>
      </c>
      <c r="I90" s="103">
        <f>IF(ISNUMBER(G90), $B91 * H90, "")</f>
        <v>571.42857142857144</v>
      </c>
      <c r="J90" s="24">
        <v>176</v>
      </c>
      <c r="K90" s="25">
        <f t="shared" si="44"/>
        <v>5.7142857142857143E-3</v>
      </c>
      <c r="L90" s="104">
        <f>IF(ISNUMBER(J90), $B91 * K90, "")</f>
        <v>571.42857142857144</v>
      </c>
      <c r="M90" s="102">
        <v>181</v>
      </c>
      <c r="N90" s="25">
        <f t="shared" si="45"/>
        <v>3.4285714285714287E-2</v>
      </c>
      <c r="O90" s="104">
        <f>IF(ISNUMBER(M90), $B91 * N90, "")</f>
        <v>3428.5714285714289</v>
      </c>
      <c r="Q90" s="227"/>
      <c r="R90" s="228"/>
      <c r="S90" s="229"/>
    </row>
    <row r="91" spans="1:19" ht="17.25" thickBot="1">
      <c r="A91" s="132" t="s">
        <v>300</v>
      </c>
      <c r="B91" s="288">
        <f>$B$37</f>
        <v>100000</v>
      </c>
      <c r="C91" s="289"/>
      <c r="D91" s="26" t="s">
        <v>301</v>
      </c>
      <c r="E91" s="27">
        <f>IF(COUNT(E71:E90), SUM(E71:E90) / COUNT(E71:E90), 0)</f>
        <v>1.1869539602955802E-2</v>
      </c>
      <c r="F91" s="28">
        <f>SUM(F71:F90)</f>
        <v>23739.079205911603</v>
      </c>
      <c r="G91" s="26" t="s">
        <v>301</v>
      </c>
      <c r="H91" s="27">
        <f>IF(COUNT(H71:H90), SUM(H71:H90) / COUNT(H71:H90), 0)</f>
        <v>1.3918883246143151E-2</v>
      </c>
      <c r="I91" s="28">
        <f>SUM(I71:I90)</f>
        <v>27837.766492286304</v>
      </c>
      <c r="J91" s="26" t="s">
        <v>301</v>
      </c>
      <c r="K91" s="27">
        <f>IF(COUNT(K71:K90), SUM(K71:K90) / COUNT(K71:K90), 0)</f>
        <v>1.67096910399008E-2</v>
      </c>
      <c r="L91" s="28">
        <f>SUM(L71:L90)</f>
        <v>33419.382079801595</v>
      </c>
      <c r="M91" s="26" t="s">
        <v>301</v>
      </c>
      <c r="N91" s="27">
        <f>IF(COUNT(N71:N90), SUM(N71:N90) / COUNT(N71:N90), 0)</f>
        <v>3.0210636937261115E-2</v>
      </c>
      <c r="O91" s="28">
        <f>SUM(O71:O90)</f>
        <v>60421.27387452223</v>
      </c>
      <c r="Q91" s="230"/>
      <c r="R91" s="231"/>
      <c r="S91" s="232"/>
    </row>
    <row r="93" spans="1:19" ht="17.25" thickBot="1"/>
    <row r="94" spans="1:19" ht="17.25" thickBot="1">
      <c r="A94" s="246" t="s">
        <v>46</v>
      </c>
      <c r="B94" s="247"/>
      <c r="C94" s="247"/>
      <c r="D94" s="247"/>
      <c r="E94" s="247"/>
      <c r="F94" s="247"/>
      <c r="G94" s="247"/>
      <c r="H94" s="247"/>
      <c r="I94" s="247"/>
      <c r="J94" s="247"/>
      <c r="K94" s="247"/>
      <c r="L94" s="247"/>
      <c r="M94" s="247"/>
      <c r="N94" s="247"/>
      <c r="O94" s="248"/>
      <c r="Q94" s="245"/>
      <c r="R94" s="245"/>
      <c r="S94" s="245"/>
    </row>
    <row r="95" spans="1:19" ht="17.25" thickBot="1">
      <c r="A95" s="164" t="s">
        <v>297</v>
      </c>
      <c r="B95" s="246" t="s">
        <v>49</v>
      </c>
      <c r="C95" s="248"/>
      <c r="D95" s="246" t="s">
        <v>58</v>
      </c>
      <c r="E95" s="247"/>
      <c r="F95" s="248"/>
      <c r="G95" s="249">
        <f>_xlfn.IFNA(VLOOKUP(B95, 현재가테이블!$B$2:$D$200, 2, FALSE), "-")</f>
        <v>45335000</v>
      </c>
      <c r="H95" s="250"/>
      <c r="I95" s="251"/>
      <c r="J95" s="246" t="s">
        <v>59</v>
      </c>
      <c r="K95" s="247"/>
      <c r="L95" s="248"/>
      <c r="M95" s="252">
        <f>_xlfn.IFNA(VLOOKUP(B95, 현재가테이블!$B$2:$D$200, 3, FALSE), "-")</f>
        <v>-2.27209037E-2</v>
      </c>
      <c r="N95" s="253"/>
      <c r="O95" s="254"/>
      <c r="Q95" s="245"/>
      <c r="R95" s="245"/>
      <c r="S95" s="245"/>
    </row>
    <row r="96" spans="1:19" ht="17.25" thickBot="1">
      <c r="A96" s="290" t="s">
        <v>55</v>
      </c>
      <c r="B96" s="286" t="str">
        <f>TEXT($G$1, "[$-ko-KR]yyyy-mm-dd(ddd) ") &amp; "오전 00:00"</f>
        <v>2021-06-02(수) 오전 00:00</v>
      </c>
      <c r="C96" s="287"/>
      <c r="D96" s="259" t="str">
        <f>TEXT($G$1, "[$-ko-KR]yyyy-mm-dd(ddd) ") &amp; "오후 14:00"</f>
        <v>2021-06-02(수) 오후 14:00</v>
      </c>
      <c r="E96" s="260"/>
      <c r="F96" s="261"/>
      <c r="G96" s="259" t="str">
        <f>TEXT($G$1, "[$-ko-KR]yyyy-mm-dd(ddd) ") &amp; "오후 19:00"</f>
        <v>2021-06-02(수) 오후 19:00</v>
      </c>
      <c r="H96" s="260"/>
      <c r="I96" s="261"/>
      <c r="J96" s="259" t="str">
        <f>TEXT($G$1, "[$-ko-KR]yyyy-mm-dd(ddd) ") &amp; "오후 21:00"</f>
        <v>2021-06-02(수) 오후 21:00</v>
      </c>
      <c r="K96" s="260"/>
      <c r="L96" s="261"/>
      <c r="M96" s="259" t="str">
        <f>TEXT($G$1+1, "[$-ko-KR]yyyy-mm-dd(ddd) ") &amp; "오전 00:00"</f>
        <v>2021-06-03(목) 오전 00:00</v>
      </c>
      <c r="N96" s="260"/>
      <c r="O96" s="261"/>
      <c r="Q96" s="245"/>
      <c r="R96" s="245"/>
      <c r="S96" s="245"/>
    </row>
    <row r="97" spans="1:19" ht="17.25" thickBot="1">
      <c r="A97" s="291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65" t="s">
        <v>58</v>
      </c>
      <c r="H97" s="166" t="s">
        <v>298</v>
      </c>
      <c r="I97" s="167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5"/>
      <c r="R97" s="235"/>
      <c r="S97" s="235"/>
    </row>
    <row r="98" spans="1:19" ht="17.25" thickBot="1">
      <c r="A98" s="161" t="s">
        <v>51</v>
      </c>
      <c r="B98" s="124">
        <v>513</v>
      </c>
      <c r="C98" s="76">
        <v>8.4566596199999997E-2</v>
      </c>
      <c r="D98" s="13">
        <v>492</v>
      </c>
      <c r="E98" s="14">
        <f>IF(ISNUMBER(D98), (D98 - $B98) / $B98, "")</f>
        <v>-4.0935672514619881E-2</v>
      </c>
      <c r="F98" s="16">
        <f>IF(ISNUMBER(D98), $B118 * E98, "")</f>
        <v>-4093.5672514619882</v>
      </c>
      <c r="G98" s="29">
        <v>484</v>
      </c>
      <c r="H98" s="14">
        <f>IF(ISNUMBER(G98), (G98 - $B98) / $B98, "")</f>
        <v>-5.6530214424951264E-2</v>
      </c>
      <c r="I98" s="100">
        <f>IF(ISNUMBER(G98), $B118 * H98, "")</f>
        <v>-5653.0214424951264</v>
      </c>
      <c r="J98" s="13">
        <v>487</v>
      </c>
      <c r="K98" s="14">
        <f>IF(ISNUMBER(J98), (J98 - $B98) / $B98, "")</f>
        <v>-5.0682261208576995E-2</v>
      </c>
      <c r="L98" s="16">
        <f>IF(ISNUMBER(J98), $B118 * K98, "")</f>
        <v>-5068.2261208576992</v>
      </c>
      <c r="M98" s="29">
        <v>493</v>
      </c>
      <c r="N98" s="14">
        <f>IF(ISNUMBER(M98), (M98 - $B98) / $B98, "")</f>
        <v>-3.8986354775828458E-2</v>
      </c>
      <c r="O98" s="16">
        <f>IF(ISNUMBER(M98), $B118 * N98, "")</f>
        <v>-3898.6354775828459</v>
      </c>
      <c r="Q98" s="245"/>
      <c r="R98" s="245"/>
      <c r="S98" s="245"/>
    </row>
    <row r="99" spans="1:19" ht="17.25" thickBot="1">
      <c r="A99" s="162" t="s">
        <v>114</v>
      </c>
      <c r="B99" s="126">
        <v>8960</v>
      </c>
      <c r="C99" s="77">
        <v>7.4340527599999998E-2</v>
      </c>
      <c r="D99" s="15">
        <v>9160</v>
      </c>
      <c r="E99" s="32">
        <f t="shared" ref="E99:E102" si="46">IF(ISNUMBER(D99), (D99 - $B99) / $B99, "")</f>
        <v>2.2321428571428572E-2</v>
      </c>
      <c r="F99" s="18">
        <f>IF(ISNUMBER(D99), $B118 * E99, "")</f>
        <v>2232.1428571428573</v>
      </c>
      <c r="G99" s="31">
        <v>9025</v>
      </c>
      <c r="H99" s="32">
        <f t="shared" ref="H99:H102" si="47">IF(ISNUMBER(G99), (G99 - $B99) / $B99, "")</f>
        <v>7.254464285714286E-3</v>
      </c>
      <c r="I99" s="101">
        <f>IF(ISNUMBER(G99), $B118 * H99, "")</f>
        <v>725.44642857142856</v>
      </c>
      <c r="J99" s="15">
        <v>9120</v>
      </c>
      <c r="K99" s="32">
        <f t="shared" ref="K99:K102" si="48">IF(ISNUMBER(J99), (J99 - $B99) / $B99, "")</f>
        <v>1.7857142857142856E-2</v>
      </c>
      <c r="L99" s="18">
        <f>IF(ISNUMBER(J99), $B118 * K99, "")</f>
        <v>1785.7142857142856</v>
      </c>
      <c r="M99" s="31">
        <v>9145</v>
      </c>
      <c r="N99" s="32">
        <f t="shared" ref="N99:N102" si="49">IF(ISNUMBER(M99), (M99 - $B99) / $B99, "")</f>
        <v>2.0647321428571428E-2</v>
      </c>
      <c r="O99" s="18">
        <f>IF(ISNUMBER(M99), $B118 * N99, "")</f>
        <v>2064.7321428571427</v>
      </c>
      <c r="Q99" s="245"/>
      <c r="R99" s="245"/>
      <c r="S99" s="245"/>
    </row>
    <row r="100" spans="1:19" ht="17.25" thickBot="1">
      <c r="A100" s="162" t="s">
        <v>142</v>
      </c>
      <c r="B100" s="126">
        <v>411</v>
      </c>
      <c r="C100" s="77">
        <v>4.0506329100000002E-2</v>
      </c>
      <c r="D100" s="15">
        <v>413</v>
      </c>
      <c r="E100" s="32">
        <f t="shared" si="46"/>
        <v>4.8661800486618006E-3</v>
      </c>
      <c r="F100" s="18">
        <f>IF(ISNUMBER(D100), $B118 * E100, "")</f>
        <v>486.61800486618006</v>
      </c>
      <c r="G100" s="31">
        <v>412</v>
      </c>
      <c r="H100" s="32">
        <f t="shared" si="47"/>
        <v>2.4330900243309003E-3</v>
      </c>
      <c r="I100" s="101">
        <f>IF(ISNUMBER(G100), $B118 * H100, "")</f>
        <v>243.30900243309003</v>
      </c>
      <c r="J100" s="15">
        <v>413</v>
      </c>
      <c r="K100" s="32">
        <f t="shared" si="48"/>
        <v>4.8661800486618006E-3</v>
      </c>
      <c r="L100" s="18">
        <f>IF(ISNUMBER(J100), $B118 * K100, "")</f>
        <v>486.61800486618006</v>
      </c>
      <c r="M100" s="31">
        <v>416</v>
      </c>
      <c r="N100" s="32">
        <f t="shared" si="49"/>
        <v>1.2165450121654502E-2</v>
      </c>
      <c r="O100" s="18">
        <f>IF(ISNUMBER(M100), $B118 * N100, "")</f>
        <v>1216.5450121654501</v>
      </c>
      <c r="Q100" s="235"/>
      <c r="R100" s="235"/>
      <c r="S100" s="235"/>
    </row>
    <row r="101" spans="1:19" ht="17.25" thickBot="1">
      <c r="A101" s="162" t="s">
        <v>146</v>
      </c>
      <c r="B101" s="126">
        <v>10870</v>
      </c>
      <c r="C101" s="77">
        <v>3.3269962E-2</v>
      </c>
      <c r="D101" s="15">
        <v>10760</v>
      </c>
      <c r="E101" s="32">
        <f t="shared" si="46"/>
        <v>-1.0119595216191352E-2</v>
      </c>
      <c r="F101" s="18">
        <f>IF(ISNUMBER(D101), $B118 * E101, "")</f>
        <v>-1011.9595216191352</v>
      </c>
      <c r="G101" s="31">
        <v>10640</v>
      </c>
      <c r="H101" s="32">
        <f t="shared" si="47"/>
        <v>-2.1159153633854646E-2</v>
      </c>
      <c r="I101" s="101">
        <f>IF(ISNUMBER(G101), $B118 * H101, "")</f>
        <v>-2115.9153633854644</v>
      </c>
      <c r="J101" s="15">
        <v>10580</v>
      </c>
      <c r="K101" s="32">
        <f t="shared" si="48"/>
        <v>-2.6678932842686291E-2</v>
      </c>
      <c r="L101" s="18">
        <f>IF(ISNUMBER(J101), $B118 * K101, "")</f>
        <v>-2667.893284268629</v>
      </c>
      <c r="M101" s="31">
        <v>10830</v>
      </c>
      <c r="N101" s="32">
        <f t="shared" si="49"/>
        <v>-3.6798528058877645E-3</v>
      </c>
      <c r="O101" s="18">
        <f>IF(ISNUMBER(M101), $B118 * N101, "")</f>
        <v>-367.98528058877645</v>
      </c>
      <c r="Q101" s="235"/>
      <c r="R101" s="235"/>
      <c r="S101" s="235"/>
    </row>
    <row r="102" spans="1:19" ht="17.25" thickBot="1">
      <c r="A102" s="163" t="s">
        <v>248</v>
      </c>
      <c r="B102" s="128">
        <v>1865</v>
      </c>
      <c r="C102" s="78">
        <v>3.0386740299999999E-2</v>
      </c>
      <c r="D102" s="20">
        <v>1840</v>
      </c>
      <c r="E102" s="21">
        <f t="shared" si="46"/>
        <v>-1.3404825737265416E-2</v>
      </c>
      <c r="F102" s="22">
        <f>IF(ISNUMBER(D102), $B118 * E102, "")</f>
        <v>-1340.4825737265417</v>
      </c>
      <c r="G102" s="30">
        <v>1815</v>
      </c>
      <c r="H102" s="21">
        <f t="shared" si="47"/>
        <v>-2.6809651474530832E-2</v>
      </c>
      <c r="I102" s="105">
        <f>IF(ISNUMBER(G102), $B118 * H102, "")</f>
        <v>-2680.9651474530833</v>
      </c>
      <c r="J102" s="20">
        <v>1820</v>
      </c>
      <c r="K102" s="21">
        <f t="shared" si="48"/>
        <v>-2.4128686327077747E-2</v>
      </c>
      <c r="L102" s="22">
        <f>IF(ISNUMBER(J102), $B118 * K102, "")</f>
        <v>-2412.8686327077749</v>
      </c>
      <c r="M102" s="30">
        <v>1900</v>
      </c>
      <c r="N102" s="21">
        <f t="shared" si="49"/>
        <v>1.876675603217158E-2</v>
      </c>
      <c r="O102" s="22">
        <f>IF(ISNUMBER(M102), $B118 * N102, "")</f>
        <v>1876.6756032171581</v>
      </c>
      <c r="Q102" s="235"/>
      <c r="R102" s="235"/>
      <c r="S102" s="235"/>
    </row>
    <row r="103" spans="1:19" ht="17.25" thickBot="1">
      <c r="A103" s="162" t="s">
        <v>136</v>
      </c>
      <c r="B103" s="129">
        <v>140</v>
      </c>
      <c r="C103" s="80">
        <v>2.9411764699999999E-2</v>
      </c>
      <c r="D103" s="106">
        <v>148</v>
      </c>
      <c r="E103" s="107">
        <f>IF(ISNUMBER(D103), (D103 - $B103) / $B103, "")</f>
        <v>5.7142857142857141E-2</v>
      </c>
      <c r="F103" s="108">
        <f>IF(ISNUMBER(D103), $B118 * E103, "")</f>
        <v>5714.2857142857138</v>
      </c>
      <c r="G103" s="109">
        <v>145</v>
      </c>
      <c r="H103" s="107">
        <f>IF(ISNUMBER(G103), (G103 - $B103) / $B103, "")</f>
        <v>3.5714285714285712E-2</v>
      </c>
      <c r="I103" s="110">
        <f>IF(ISNUMBER(G103), $B118 * H103, "")</f>
        <v>3571.4285714285711</v>
      </c>
      <c r="J103" s="106">
        <v>147</v>
      </c>
      <c r="K103" s="107">
        <f>IF(ISNUMBER(J103), (J103 - $B103) / $B103, "")</f>
        <v>0.05</v>
      </c>
      <c r="L103" s="108">
        <f>IF(ISNUMBER(J103), $B118 * K103, "")</f>
        <v>5000</v>
      </c>
      <c r="M103" s="109">
        <v>147</v>
      </c>
      <c r="N103" s="107">
        <f>IF(ISNUMBER(M103), (M103 - $B103) / $B103, "")</f>
        <v>0.05</v>
      </c>
      <c r="O103" s="108">
        <f>IF(ISNUMBER(M103), $B118 * N103, "")</f>
        <v>5000</v>
      </c>
      <c r="Q103" s="235"/>
      <c r="R103" s="235"/>
      <c r="S103" s="235"/>
    </row>
    <row r="104" spans="1:19" ht="17.25" thickBot="1">
      <c r="A104" s="162" t="s">
        <v>168</v>
      </c>
      <c r="B104" s="126">
        <v>112</v>
      </c>
      <c r="C104" s="77">
        <v>1.8181818200000002E-2</v>
      </c>
      <c r="D104" s="15">
        <v>113</v>
      </c>
      <c r="E104" s="32">
        <f t="shared" ref="E104:E107" si="50">IF(ISNUMBER(D104), (D104 - $B104) / $B104, "")</f>
        <v>8.9285714285714281E-3</v>
      </c>
      <c r="F104" s="18">
        <f>IF(ISNUMBER(D104), $B118 * E104, "")</f>
        <v>892.85714285714278</v>
      </c>
      <c r="G104" s="31">
        <v>113</v>
      </c>
      <c r="H104" s="32">
        <f t="shared" ref="H104:H107" si="51">IF(ISNUMBER(G104), (G104 - $B104) / $B104, "")</f>
        <v>8.9285714285714281E-3</v>
      </c>
      <c r="I104" s="101">
        <f>IF(ISNUMBER(G104), $B118 * H104, "")</f>
        <v>892.85714285714278</v>
      </c>
      <c r="J104" s="15">
        <v>112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115</v>
      </c>
      <c r="N104" s="32">
        <f t="shared" ref="N104:N107" si="53">IF(ISNUMBER(M104), (M104 - $B104) / $B104, "")</f>
        <v>2.6785714285714284E-2</v>
      </c>
      <c r="O104" s="18">
        <f>IF(ISNUMBER(M104), $B118 * N104, "")</f>
        <v>2678.5714285714284</v>
      </c>
      <c r="Q104" s="235"/>
      <c r="R104" s="235"/>
      <c r="S104" s="235"/>
    </row>
    <row r="105" spans="1:19" ht="17.25" thickBot="1">
      <c r="A105" s="162" t="s">
        <v>226</v>
      </c>
      <c r="B105" s="126">
        <v>308</v>
      </c>
      <c r="C105" s="77">
        <v>1.6501650199999999E-2</v>
      </c>
      <c r="D105" s="15">
        <v>298</v>
      </c>
      <c r="E105" s="32">
        <f t="shared" si="50"/>
        <v>-3.2467532467532464E-2</v>
      </c>
      <c r="F105" s="18">
        <f>IF(ISNUMBER(D105), $B118 * E105, "")</f>
        <v>-3246.7532467532465</v>
      </c>
      <c r="G105" s="31">
        <v>296</v>
      </c>
      <c r="H105" s="32">
        <f t="shared" si="51"/>
        <v>-3.896103896103896E-2</v>
      </c>
      <c r="I105" s="101">
        <f>IF(ISNUMBER(G105), $B118 * H105, "")</f>
        <v>-3896.1038961038962</v>
      </c>
      <c r="J105" s="15">
        <v>297</v>
      </c>
      <c r="K105" s="32">
        <f t="shared" si="52"/>
        <v>-3.5714285714285712E-2</v>
      </c>
      <c r="L105" s="18">
        <f>IF(ISNUMBER(J105), $B118 * K105, "")</f>
        <v>-3571.4285714285711</v>
      </c>
      <c r="M105" s="31">
        <v>304</v>
      </c>
      <c r="N105" s="32">
        <f t="shared" si="53"/>
        <v>-1.2987012987012988E-2</v>
      </c>
      <c r="O105" s="18">
        <f>IF(ISNUMBER(M105), $B118 * N105, "")</f>
        <v>-1298.7012987012988</v>
      </c>
      <c r="Q105" s="235"/>
      <c r="R105" s="235"/>
      <c r="S105" s="235"/>
    </row>
    <row r="106" spans="1:19" ht="17.25" thickBot="1">
      <c r="A106" s="162" t="s">
        <v>148</v>
      </c>
      <c r="B106" s="126">
        <v>126</v>
      </c>
      <c r="C106" s="77">
        <v>1.6129032299999999E-2</v>
      </c>
      <c r="D106" s="15">
        <v>124</v>
      </c>
      <c r="E106" s="32">
        <f t="shared" si="50"/>
        <v>-1.5873015873015872E-2</v>
      </c>
      <c r="F106" s="18">
        <f>IF(ISNUMBER(D106), $B118 * E106, "")</f>
        <v>-1587.3015873015872</v>
      </c>
      <c r="G106" s="31">
        <v>125</v>
      </c>
      <c r="H106" s="32">
        <f t="shared" si="51"/>
        <v>-7.9365079365079361E-3</v>
      </c>
      <c r="I106" s="101">
        <f>IF(ISNUMBER(G106), $B118 * H106, "")</f>
        <v>-793.65079365079362</v>
      </c>
      <c r="J106" s="15">
        <v>125</v>
      </c>
      <c r="K106" s="32">
        <f t="shared" si="52"/>
        <v>-7.9365079365079361E-3</v>
      </c>
      <c r="L106" s="18">
        <f>IF(ISNUMBER(J106), $B118 * K106, "")</f>
        <v>-793.65079365079362</v>
      </c>
      <c r="M106" s="31">
        <v>126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72</v>
      </c>
      <c r="B107" s="131">
        <v>21.2</v>
      </c>
      <c r="C107" s="79">
        <v>1.4354067E-2</v>
      </c>
      <c r="D107" s="24">
        <v>21</v>
      </c>
      <c r="E107" s="25">
        <f t="shared" si="50"/>
        <v>-9.4339622641509101E-3</v>
      </c>
      <c r="F107" s="104">
        <f>IF(ISNUMBER(D107), $B118 * E107, "")</f>
        <v>-943.39622641509106</v>
      </c>
      <c r="G107" s="102">
        <v>21.1</v>
      </c>
      <c r="H107" s="25">
        <f t="shared" si="51"/>
        <v>-4.7169811320753709E-3</v>
      </c>
      <c r="I107" s="103">
        <f>IF(ISNUMBER(G107), $B118 * H107, "")</f>
        <v>-471.69811320753706</v>
      </c>
      <c r="J107" s="24">
        <v>21.1</v>
      </c>
      <c r="K107" s="25">
        <f t="shared" si="52"/>
        <v>-4.7169811320753709E-3</v>
      </c>
      <c r="L107" s="104">
        <f>IF(ISNUMBER(J107), $B118 * K107, "")</f>
        <v>-471.69811320753706</v>
      </c>
      <c r="M107" s="102">
        <v>21.8</v>
      </c>
      <c r="N107" s="25">
        <f t="shared" si="53"/>
        <v>2.8301886792452897E-2</v>
      </c>
      <c r="O107" s="104">
        <f>IF(ISNUMBER(M107), $B118 * N107, "")</f>
        <v>2830.1886792452897</v>
      </c>
      <c r="Q107" s="236"/>
      <c r="R107" s="237"/>
      <c r="S107" s="238"/>
    </row>
    <row r="108" spans="1:19">
      <c r="A108" s="161" t="s">
        <v>98</v>
      </c>
      <c r="B108" s="124">
        <v>4240</v>
      </c>
      <c r="C108" s="76">
        <v>3.5502959000000001E-3</v>
      </c>
      <c r="D108" s="13">
        <v>4395</v>
      </c>
      <c r="E108" s="14">
        <f>IF(ISNUMBER(D108), (D108 - $B108) / $B108, "")</f>
        <v>3.6556603773584904E-2</v>
      </c>
      <c r="F108" s="16">
        <f>IF(ISNUMBER(D108), $B118 * E108, "")</f>
        <v>3655.6603773584902</v>
      </c>
      <c r="G108" s="29">
        <v>4350</v>
      </c>
      <c r="H108" s="14">
        <f>IF(ISNUMBER(G108), (G108 - $B108) / $B108, "")</f>
        <v>2.5943396226415096E-2</v>
      </c>
      <c r="I108" s="100">
        <f>IF(ISNUMBER(G108), $B118 * H108, "")</f>
        <v>2594.3396226415098</v>
      </c>
      <c r="J108" s="13">
        <v>4380</v>
      </c>
      <c r="K108" s="14">
        <f>IF(ISNUMBER(J108), (J108 - $B108) / $B108, "")</f>
        <v>3.3018867924528301E-2</v>
      </c>
      <c r="L108" s="16">
        <f>IF(ISNUMBER(J108), $B118 * K108, "")</f>
        <v>3301.8867924528299</v>
      </c>
      <c r="M108" s="29">
        <v>4460</v>
      </c>
      <c r="N108" s="14">
        <f>IF(ISNUMBER(M108), (M108 - $B108) / $B108, "")</f>
        <v>5.1886792452830191E-2</v>
      </c>
      <c r="O108" s="16">
        <f>IF(ISNUMBER(M108), $B118 * N108, "")</f>
        <v>5188.6792452830196</v>
      </c>
      <c r="Q108" s="239"/>
      <c r="R108" s="240"/>
      <c r="S108" s="241"/>
    </row>
    <row r="109" spans="1:19" ht="17.25" thickBot="1">
      <c r="A109" s="162" t="s">
        <v>242</v>
      </c>
      <c r="B109" s="126">
        <v>4190</v>
      </c>
      <c r="C109" s="77">
        <v>0</v>
      </c>
      <c r="D109" s="15">
        <v>4240</v>
      </c>
      <c r="E109" s="32">
        <f t="shared" ref="E109:E112" si="54">IF(ISNUMBER(D109), (D109 - $B109) / $B109, "")</f>
        <v>1.1933174224343675E-2</v>
      </c>
      <c r="F109" s="18">
        <f>IF(ISNUMBER(D109), $B118 * E109, "")</f>
        <v>1193.3174224343675</v>
      </c>
      <c r="G109" s="31">
        <v>4240</v>
      </c>
      <c r="H109" s="32">
        <f t="shared" ref="H109:H112" si="55">IF(ISNUMBER(G109), (G109 - $B109) / $B109, "")</f>
        <v>1.1933174224343675E-2</v>
      </c>
      <c r="I109" s="101">
        <f>IF(ISNUMBER(G109), $B118 * H109, "")</f>
        <v>1193.3174224343675</v>
      </c>
      <c r="J109" s="15">
        <v>4260</v>
      </c>
      <c r="K109" s="32">
        <f t="shared" ref="K109:K112" si="56">IF(ISNUMBER(J109), (J109 - $B109) / $B109, "")</f>
        <v>1.6706443914081145E-2</v>
      </c>
      <c r="L109" s="18">
        <f>IF(ISNUMBER(J109), $B118 * K109, "")</f>
        <v>1670.6443914081146</v>
      </c>
      <c r="M109" s="31">
        <v>4455</v>
      </c>
      <c r="N109" s="32">
        <f t="shared" ref="N109:N112" si="57">IF(ISNUMBER(M109), (M109 - $B109) / $B109, "")</f>
        <v>6.3245823389021474E-2</v>
      </c>
      <c r="O109" s="18">
        <f>IF(ISNUMBER(M109), $B118 * N109, "")</f>
        <v>6324.5823389021471</v>
      </c>
      <c r="Q109" s="242"/>
      <c r="R109" s="243"/>
      <c r="S109" s="244"/>
    </row>
    <row r="110" spans="1:19" ht="17.25" thickBot="1">
      <c r="A110" s="162" t="s">
        <v>106</v>
      </c>
      <c r="B110" s="126">
        <v>1195</v>
      </c>
      <c r="C110" s="77">
        <v>0</v>
      </c>
      <c r="D110" s="15">
        <v>1305</v>
      </c>
      <c r="E110" s="32">
        <f t="shared" si="54"/>
        <v>9.2050209205020925E-2</v>
      </c>
      <c r="F110" s="18">
        <f>IF(ISNUMBER(D110), $B118 * E110, "")</f>
        <v>9205.0209205020928</v>
      </c>
      <c r="G110" s="31">
        <v>1265</v>
      </c>
      <c r="H110" s="32">
        <f t="shared" si="55"/>
        <v>5.8577405857740586E-2</v>
      </c>
      <c r="I110" s="101">
        <f>IF(ISNUMBER(G110), $B118 * H110, "")</f>
        <v>5857.7405857740587</v>
      </c>
      <c r="J110" s="15">
        <v>1285</v>
      </c>
      <c r="K110" s="32">
        <f t="shared" si="56"/>
        <v>7.5313807531380755E-2</v>
      </c>
      <c r="L110" s="18">
        <f>IF(ISNUMBER(J110), $B118 * K110, "")</f>
        <v>7531.3807531380753</v>
      </c>
      <c r="M110" s="31">
        <v>1365</v>
      </c>
      <c r="N110" s="32">
        <f t="shared" si="57"/>
        <v>0.14225941422594143</v>
      </c>
      <c r="O110" s="18">
        <f>IF(ISNUMBER(M110), $B118 * N110, "")</f>
        <v>14225.941422594144</v>
      </c>
      <c r="Q110" s="235"/>
      <c r="R110" s="235"/>
      <c r="S110" s="235"/>
    </row>
    <row r="111" spans="1:19" ht="17.25" thickBot="1">
      <c r="A111" s="162" t="s">
        <v>82</v>
      </c>
      <c r="B111" s="126">
        <v>1020</v>
      </c>
      <c r="C111" s="77">
        <v>-4.8780487999999997E-3</v>
      </c>
      <c r="D111" s="15">
        <v>1040</v>
      </c>
      <c r="E111" s="32">
        <f t="shared" si="54"/>
        <v>1.9607843137254902E-2</v>
      </c>
      <c r="F111" s="18">
        <f>IF(ISNUMBER(D111), $B118 * E111, "")</f>
        <v>1960.7843137254902</v>
      </c>
      <c r="G111" s="31">
        <v>1045</v>
      </c>
      <c r="H111" s="32">
        <f t="shared" si="55"/>
        <v>2.4509803921568627E-2</v>
      </c>
      <c r="I111" s="101">
        <f>IF(ISNUMBER(G111), $B118 * H111, "")</f>
        <v>2450.9803921568628</v>
      </c>
      <c r="J111" s="15">
        <v>1050</v>
      </c>
      <c r="K111" s="32">
        <f t="shared" si="56"/>
        <v>2.9411764705882353E-2</v>
      </c>
      <c r="L111" s="18">
        <f>IF(ISNUMBER(J111), $B118 * K111, "")</f>
        <v>2941.1764705882351</v>
      </c>
      <c r="M111" s="31">
        <v>1075</v>
      </c>
      <c r="N111" s="32">
        <f t="shared" si="57"/>
        <v>5.3921568627450983E-2</v>
      </c>
      <c r="O111" s="18">
        <f>IF(ISNUMBER(M111), $B118 * N111, "")</f>
        <v>5392.1568627450979</v>
      </c>
      <c r="Q111" s="245"/>
      <c r="R111" s="245"/>
      <c r="S111" s="245"/>
    </row>
    <row r="112" spans="1:19" ht="17.25" thickBot="1">
      <c r="A112" s="163" t="s">
        <v>84</v>
      </c>
      <c r="B112" s="128">
        <v>2015</v>
      </c>
      <c r="C112" s="78">
        <v>-7.3891625999999997E-3</v>
      </c>
      <c r="D112" s="20">
        <v>2080</v>
      </c>
      <c r="E112" s="21">
        <f t="shared" si="54"/>
        <v>3.2258064516129031E-2</v>
      </c>
      <c r="F112" s="22">
        <f>IF(ISNUMBER(D112), $B118 * E112, "")</f>
        <v>3225.8064516129029</v>
      </c>
      <c r="G112" s="30">
        <v>2050</v>
      </c>
      <c r="H112" s="21">
        <f t="shared" si="55"/>
        <v>1.7369727047146403E-2</v>
      </c>
      <c r="I112" s="105">
        <f>IF(ISNUMBER(G112), $B118 * H112, "")</f>
        <v>1736.9727047146403</v>
      </c>
      <c r="J112" s="20">
        <v>2055</v>
      </c>
      <c r="K112" s="21">
        <f t="shared" si="56"/>
        <v>1.9851116625310174E-2</v>
      </c>
      <c r="L112" s="22">
        <f>IF(ISNUMBER(J112), $B118 * K112, "")</f>
        <v>1985.1116625310174</v>
      </c>
      <c r="M112" s="30">
        <v>2060</v>
      </c>
      <c r="N112" s="21">
        <f t="shared" si="57"/>
        <v>2.2332506203473945E-2</v>
      </c>
      <c r="O112" s="22">
        <f>IF(ISNUMBER(M112), $B118 * N112, "")</f>
        <v>2233.2506203473945</v>
      </c>
      <c r="Q112" s="245"/>
      <c r="R112" s="245"/>
      <c r="S112" s="245"/>
    </row>
    <row r="113" spans="1:19" ht="17.25" thickBot="1">
      <c r="A113" s="162" t="s">
        <v>74</v>
      </c>
      <c r="B113" s="129">
        <v>16190</v>
      </c>
      <c r="C113" s="80">
        <v>-9.7859326999999996E-3</v>
      </c>
      <c r="D113" s="106">
        <v>16520</v>
      </c>
      <c r="E113" s="107">
        <f>IF(ISNUMBER(D113), (D113 - $B113) / $B113, "")</f>
        <v>2.0382952439777641E-2</v>
      </c>
      <c r="F113" s="108">
        <f>IF(ISNUMBER(D113), $B118 * E113, "")</f>
        <v>2038.2952439777641</v>
      </c>
      <c r="G113" s="109">
        <v>16500</v>
      </c>
      <c r="H113" s="107">
        <f>IF(ISNUMBER(G113), (G113 - $B113) / $B113, "")</f>
        <v>1.9147621988882025E-2</v>
      </c>
      <c r="I113" s="110">
        <f>IF(ISNUMBER(G113), $B118 * H113, "")</f>
        <v>1914.7621988882024</v>
      </c>
      <c r="J113" s="106">
        <v>16550</v>
      </c>
      <c r="K113" s="107">
        <f>IF(ISNUMBER(J113), (J113 - $B113) / $B113, "")</f>
        <v>2.2235948116121063E-2</v>
      </c>
      <c r="L113" s="108">
        <f>IF(ISNUMBER(J113), $B118 * K113, "")</f>
        <v>2223.5948116121062</v>
      </c>
      <c r="M113" s="109">
        <v>17420</v>
      </c>
      <c r="N113" s="107">
        <f>IF(ISNUMBER(M113), (M113 - $B113) / $B113, "")</f>
        <v>7.5972822730080297E-2</v>
      </c>
      <c r="O113" s="108">
        <f>IF(ISNUMBER(M113), $B118 * N113, "")</f>
        <v>7597.2822730080297</v>
      </c>
      <c r="Q113" s="235"/>
      <c r="R113" s="235"/>
      <c r="S113" s="235"/>
    </row>
    <row r="114" spans="1:19" ht="17.25" thickBot="1">
      <c r="A114" s="162" t="s">
        <v>296</v>
      </c>
      <c r="B114" s="126">
        <v>377</v>
      </c>
      <c r="C114" s="77">
        <v>-1.04986877E-2</v>
      </c>
      <c r="D114" s="15">
        <v>459</v>
      </c>
      <c r="E114" s="32">
        <f t="shared" ref="E114:E117" si="58">IF(ISNUMBER(D114), (D114 - $B114) / $B114, "")</f>
        <v>0.21750663129973474</v>
      </c>
      <c r="F114" s="18">
        <f>IF(ISNUMBER(D114), $B118 * E114, "")</f>
        <v>21750.663129973473</v>
      </c>
      <c r="G114" s="31">
        <v>500</v>
      </c>
      <c r="H114" s="32">
        <f t="shared" ref="H114:H117" si="59">IF(ISNUMBER(G114), (G114 - $B114) / $B114, "")</f>
        <v>0.32625994694960214</v>
      </c>
      <c r="I114" s="101">
        <f>IF(ISNUMBER(G114), $B118 * H114, "")</f>
        <v>32625.994694960213</v>
      </c>
      <c r="J114" s="15">
        <v>501</v>
      </c>
      <c r="K114" s="32">
        <f t="shared" ref="K114:K117" si="60">IF(ISNUMBER(J114), (J114 - $B114) / $B114, "")</f>
        <v>0.32891246684350134</v>
      </c>
      <c r="L114" s="18">
        <f>IF(ISNUMBER(J114), $B118 * K114, "")</f>
        <v>32891.246684350132</v>
      </c>
      <c r="M114" s="31">
        <v>488</v>
      </c>
      <c r="N114" s="32">
        <f t="shared" ref="N114:N117" si="61">IF(ISNUMBER(M114), (M114 - $B114) / $B114, "")</f>
        <v>0.29442970822281167</v>
      </c>
      <c r="O114" s="18">
        <f>IF(ISNUMBER(M114), $B118 * N114, "")</f>
        <v>29442.970822281168</v>
      </c>
      <c r="Q114" s="235"/>
      <c r="R114" s="235"/>
      <c r="S114" s="235"/>
    </row>
    <row r="115" spans="1:19" ht="17.25" thickBot="1">
      <c r="A115" s="162" t="s">
        <v>184</v>
      </c>
      <c r="B115" s="126">
        <v>1360</v>
      </c>
      <c r="C115" s="77">
        <v>-1.09090909E-2</v>
      </c>
      <c r="D115" s="15">
        <v>1395</v>
      </c>
      <c r="E115" s="32">
        <f t="shared" si="58"/>
        <v>2.5735294117647058E-2</v>
      </c>
      <c r="F115" s="18">
        <f>IF(ISNUMBER(D115), $B118 * E115, "")</f>
        <v>2573.5294117647059</v>
      </c>
      <c r="G115" s="31">
        <v>1405</v>
      </c>
      <c r="H115" s="32">
        <f t="shared" si="59"/>
        <v>3.3088235294117647E-2</v>
      </c>
      <c r="I115" s="101">
        <f>IF(ISNUMBER(G115), $B118 * H115, "")</f>
        <v>3308.8235294117649</v>
      </c>
      <c r="J115" s="15">
        <v>1405</v>
      </c>
      <c r="K115" s="32">
        <f t="shared" si="60"/>
        <v>3.3088235294117647E-2</v>
      </c>
      <c r="L115" s="18">
        <f>IF(ISNUMBER(J115), $B118 * K115, "")</f>
        <v>3308.8235294117649</v>
      </c>
      <c r="M115" s="31">
        <v>1505</v>
      </c>
      <c r="N115" s="32">
        <f t="shared" si="61"/>
        <v>0.10661764705882353</v>
      </c>
      <c r="O115" s="18">
        <f>IF(ISNUMBER(M115), $B118 * N115, "")</f>
        <v>10661.764705882353</v>
      </c>
      <c r="Q115" s="235"/>
      <c r="R115" s="235"/>
      <c r="S115" s="235"/>
    </row>
    <row r="116" spans="1:19">
      <c r="A116" s="162" t="s">
        <v>162</v>
      </c>
      <c r="B116" s="126">
        <v>1270</v>
      </c>
      <c r="C116" s="77">
        <v>-1.16731518E-2</v>
      </c>
      <c r="D116" s="15">
        <v>1280</v>
      </c>
      <c r="E116" s="32">
        <f t="shared" si="58"/>
        <v>7.874015748031496E-3</v>
      </c>
      <c r="F116" s="18">
        <f>IF(ISNUMBER(D116), $B118 * E116, "")</f>
        <v>787.40157480314963</v>
      </c>
      <c r="G116" s="31">
        <v>1280</v>
      </c>
      <c r="H116" s="32">
        <f t="shared" si="59"/>
        <v>7.874015748031496E-3</v>
      </c>
      <c r="I116" s="101">
        <f>IF(ISNUMBER(G116), $B118 * H116, "")</f>
        <v>787.40157480314963</v>
      </c>
      <c r="J116" s="15">
        <v>1265</v>
      </c>
      <c r="K116" s="32">
        <f t="shared" si="60"/>
        <v>-3.937007874015748E-3</v>
      </c>
      <c r="L116" s="18">
        <f>IF(ISNUMBER(J116), $B118 * K116, "")</f>
        <v>-393.70078740157481</v>
      </c>
      <c r="M116" s="31">
        <v>1290</v>
      </c>
      <c r="N116" s="32">
        <f t="shared" si="61"/>
        <v>1.5748031496062992E-2</v>
      </c>
      <c r="O116" s="18">
        <f>IF(ISNUMBER(M116), $B118 * N116, "")</f>
        <v>1574.8031496062993</v>
      </c>
      <c r="Q116" s="224"/>
      <c r="R116" s="225"/>
      <c r="S116" s="226"/>
    </row>
    <row r="117" spans="1:19" ht="17.25" thickBot="1">
      <c r="A117" s="130" t="s">
        <v>92</v>
      </c>
      <c r="B117" s="131">
        <v>1200</v>
      </c>
      <c r="C117" s="79">
        <v>-1.2345679E-2</v>
      </c>
      <c r="D117" s="24">
        <v>1185</v>
      </c>
      <c r="E117" s="25">
        <f t="shared" si="58"/>
        <v>-1.2500000000000001E-2</v>
      </c>
      <c r="F117" s="104">
        <f>IF(ISNUMBER(D117), $B118 * E117, "")</f>
        <v>-1250</v>
      </c>
      <c r="G117" s="102">
        <v>1180</v>
      </c>
      <c r="H117" s="25">
        <f t="shared" si="59"/>
        <v>-1.6666666666666666E-2</v>
      </c>
      <c r="I117" s="103">
        <f>IF(ISNUMBER(G117), $B118 * H117, "")</f>
        <v>-1666.6666666666667</v>
      </c>
      <c r="J117" s="24">
        <v>1185</v>
      </c>
      <c r="K117" s="25">
        <f t="shared" si="60"/>
        <v>-1.2500000000000001E-2</v>
      </c>
      <c r="L117" s="104">
        <f>IF(ISNUMBER(J117), $B118 * K117, "")</f>
        <v>-1250</v>
      </c>
      <c r="M117" s="102">
        <v>1195</v>
      </c>
      <c r="N117" s="25">
        <f t="shared" si="61"/>
        <v>-4.1666666666666666E-3</v>
      </c>
      <c r="O117" s="104">
        <f>IF(ISNUMBER(M117), $B118 * N117, "")</f>
        <v>-416.66666666666669</v>
      </c>
      <c r="Q117" s="227"/>
      <c r="R117" s="228"/>
      <c r="S117" s="229"/>
    </row>
    <row r="118" spans="1:19" ht="17.25" thickBot="1">
      <c r="A118" s="132" t="s">
        <v>300</v>
      </c>
      <c r="B118" s="288">
        <f>$B$37</f>
        <v>100000</v>
      </c>
      <c r="C118" s="289"/>
      <c r="D118" s="26" t="s">
        <v>301</v>
      </c>
      <c r="E118" s="27">
        <f>IF(COUNT(E98:E117), SUM(E98:E117) / COUNT(E98:E117), 0)</f>
        <v>2.112146107901337E-2</v>
      </c>
      <c r="F118" s="28">
        <f>SUM(F98:F117)</f>
        <v>42242.92215802674</v>
      </c>
      <c r="G118" s="26" t="s">
        <v>301</v>
      </c>
      <c r="H118" s="27">
        <f>IF(COUNT(H98:H117), SUM(H98:H117) / COUNT(H98:H117), 0)</f>
        <v>2.0312676224056216E-2</v>
      </c>
      <c r="I118" s="28">
        <f>SUM(I98:I117)</f>
        <v>40625.352448112433</v>
      </c>
      <c r="J118" s="26" t="s">
        <v>301</v>
      </c>
      <c r="K118" s="27">
        <f>IF(COUNT(K98:K117), SUM(K98:K117) / COUNT(K98:K117), 0)</f>
        <v>2.324836554127508E-2</v>
      </c>
      <c r="L118" s="28">
        <f>SUM(L98:L117)</f>
        <v>46496.731082550155</v>
      </c>
      <c r="M118" s="26" t="s">
        <v>301</v>
      </c>
      <c r="N118" s="27">
        <f>IF(COUNT(N98:N117), SUM(N98:N117) / COUNT(N98:N117), 0)</f>
        <v>4.6163077791583268E-2</v>
      </c>
      <c r="O118" s="28">
        <f>SUM(O98:O117)</f>
        <v>92326.155583166532</v>
      </c>
      <c r="Q118" s="230"/>
      <c r="R118" s="231"/>
      <c r="S118" s="232"/>
    </row>
    <row r="120" spans="1:19" ht="17.25" thickBot="1"/>
    <row r="121" spans="1:19" ht="17.25" thickBot="1">
      <c r="A121" s="246" t="s">
        <v>288</v>
      </c>
      <c r="B121" s="247"/>
      <c r="C121" s="247"/>
      <c r="D121" s="247"/>
      <c r="E121" s="247"/>
      <c r="F121" s="247"/>
      <c r="G121" s="247"/>
      <c r="H121" s="247"/>
      <c r="I121" s="247"/>
      <c r="J121" s="247"/>
      <c r="K121" s="247"/>
      <c r="L121" s="247"/>
      <c r="M121" s="247"/>
      <c r="N121" s="247"/>
      <c r="O121" s="248"/>
      <c r="Q121" s="245"/>
      <c r="R121" s="245"/>
      <c r="S121" s="245"/>
    </row>
    <row r="122" spans="1:19" ht="17.25" thickBot="1">
      <c r="A122" s="164" t="s">
        <v>297</v>
      </c>
      <c r="B122" s="246" t="s">
        <v>49</v>
      </c>
      <c r="C122" s="248"/>
      <c r="D122" s="246" t="s">
        <v>58</v>
      </c>
      <c r="E122" s="247"/>
      <c r="F122" s="248"/>
      <c r="G122" s="249">
        <f>_xlfn.IFNA(VLOOKUP(B122, 현재가테이블!$B$2:$D$200, 2, FALSE), "-")</f>
        <v>45335000</v>
      </c>
      <c r="H122" s="250"/>
      <c r="I122" s="251"/>
      <c r="J122" s="246" t="s">
        <v>59</v>
      </c>
      <c r="K122" s="247"/>
      <c r="L122" s="248"/>
      <c r="M122" s="252">
        <f>_xlfn.IFNA(VLOOKUP(B122, 현재가테이블!$B$2:$D$200, 3, FALSE), "-")</f>
        <v>-2.27209037E-2</v>
      </c>
      <c r="N122" s="253"/>
      <c r="O122" s="254"/>
      <c r="Q122" s="245"/>
      <c r="R122" s="245"/>
      <c r="S122" s="245"/>
    </row>
    <row r="123" spans="1:19" ht="17.25" thickBot="1">
      <c r="A123" s="290" t="s">
        <v>55</v>
      </c>
      <c r="B123" s="286" t="str">
        <f>TEXT($G$1, "[$-ko-KR]yyyy-mm-dd(ddd) ") &amp; "오전 00:00"</f>
        <v>2021-06-02(수) 오전 00:00</v>
      </c>
      <c r="C123" s="287"/>
      <c r="D123" s="259" t="str">
        <f>TEXT($G$1, "[$-ko-KR]yyyy-mm-dd(ddd) ") &amp; "오후 14:00"</f>
        <v>2021-06-02(수) 오후 14:00</v>
      </c>
      <c r="E123" s="260"/>
      <c r="F123" s="261"/>
      <c r="G123" s="259" t="str">
        <f>TEXT($G$1, "[$-ko-KR]yyyy-mm-dd(ddd) ") &amp; "오후 19:00"</f>
        <v>2021-06-02(수) 오후 19:00</v>
      </c>
      <c r="H123" s="260"/>
      <c r="I123" s="261"/>
      <c r="J123" s="259" t="str">
        <f>TEXT($G$1, "[$-ko-KR]yyyy-mm-dd(ddd) ") &amp; "오후 21:00"</f>
        <v>2021-06-02(수) 오후 21:00</v>
      </c>
      <c r="K123" s="260"/>
      <c r="L123" s="261"/>
      <c r="M123" s="259" t="str">
        <f>TEXT($G$1+1, "[$-ko-KR]yyyy-mm-dd(ddd) ") &amp; "오전 00:00"</f>
        <v>2021-06-03(목) 오전 00:00</v>
      </c>
      <c r="N123" s="260"/>
      <c r="O123" s="261"/>
      <c r="Q123" s="245"/>
      <c r="R123" s="245"/>
      <c r="S123" s="245"/>
    </row>
    <row r="124" spans="1:19" ht="17.25" thickBot="1">
      <c r="A124" s="291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65" t="s">
        <v>58</v>
      </c>
      <c r="H124" s="166" t="s">
        <v>298</v>
      </c>
      <c r="I124" s="167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5"/>
      <c r="R124" s="235"/>
      <c r="S124" s="235"/>
    </row>
    <row r="125" spans="1:19" ht="17.25" thickBot="1">
      <c r="A125" s="161" t="s">
        <v>236</v>
      </c>
      <c r="B125" s="124">
        <v>52.7</v>
      </c>
      <c r="C125" s="76">
        <v>-2.4074074099999999E-2</v>
      </c>
      <c r="D125" s="13">
        <v>52.5</v>
      </c>
      <c r="E125" s="14">
        <f>IF(ISNUMBER(D125), (D125 - $B125) / $B125, "")</f>
        <v>-3.7950664136622929E-3</v>
      </c>
      <c r="F125" s="16">
        <f>IF(ISNUMBER(D125), $B145 * E125, "")</f>
        <v>-379.5066413662293</v>
      </c>
      <c r="G125" s="29">
        <v>52.1</v>
      </c>
      <c r="H125" s="14">
        <f>IF(ISNUMBER(G125), (G125 - $B125) / $B125, "")</f>
        <v>-1.1385199240986743E-2</v>
      </c>
      <c r="I125" s="100">
        <f>IF(ISNUMBER(G125), $B145 * H125, "")</f>
        <v>-1138.5199240986742</v>
      </c>
      <c r="J125" s="13">
        <v>52.2</v>
      </c>
      <c r="K125" s="14">
        <f>IF(ISNUMBER(J125), (J125 - $B125) / $B125, "")</f>
        <v>-9.4876660341555973E-3</v>
      </c>
      <c r="L125" s="16">
        <f>IF(ISNUMBER(J125), $B145 * K125, "")</f>
        <v>-948.76660341555976</v>
      </c>
      <c r="M125" s="29">
        <v>53.5</v>
      </c>
      <c r="N125" s="14">
        <f>IF(ISNUMBER(M125), (M125 - $B125) / $B125, "")</f>
        <v>1.5180265654648901E-2</v>
      </c>
      <c r="O125" s="16">
        <f>IF(ISNUMBER(M125), $B145 * N125, "")</f>
        <v>1518.0265654648902</v>
      </c>
      <c r="Q125" s="245"/>
      <c r="R125" s="245"/>
      <c r="S125" s="245"/>
    </row>
    <row r="126" spans="1:19" ht="17.25" thickBot="1">
      <c r="A126" s="162" t="s">
        <v>254</v>
      </c>
      <c r="B126" s="126">
        <v>52.4</v>
      </c>
      <c r="C126" s="77">
        <v>-2.60223048E-2</v>
      </c>
      <c r="D126" s="15">
        <v>52.1</v>
      </c>
      <c r="E126" s="32">
        <f t="shared" ref="E126:E129" si="62">IF(ISNUMBER(D126), (D126 - $B126) / $B126, "")</f>
        <v>-5.7251908396946027E-3</v>
      </c>
      <c r="F126" s="18">
        <f>IF(ISNUMBER(D126), $B145 * E126, "")</f>
        <v>-572.51908396946033</v>
      </c>
      <c r="G126" s="31">
        <v>52.1</v>
      </c>
      <c r="H126" s="32">
        <f t="shared" ref="H126:H129" si="63">IF(ISNUMBER(G126), (G126 - $B126) / $B126, "")</f>
        <v>-5.7251908396946027E-3</v>
      </c>
      <c r="I126" s="101">
        <f>IF(ISNUMBER(G126), $B145 * H126, "")</f>
        <v>-572.51908396946033</v>
      </c>
      <c r="J126" s="15">
        <v>52</v>
      </c>
      <c r="K126" s="32">
        <f t="shared" ref="K126:K129" si="64">IF(ISNUMBER(J126), (J126 - $B126) / $B126, "")</f>
        <v>-7.6335877862595148E-3</v>
      </c>
      <c r="L126" s="18">
        <f>IF(ISNUMBER(J126), $B145 * K126, "")</f>
        <v>-763.35877862595146</v>
      </c>
      <c r="M126" s="31">
        <v>52.9</v>
      </c>
      <c r="N126" s="32">
        <f t="shared" ref="N126:N129" si="65">IF(ISNUMBER(M126), (M126 - $B126) / $B126, "")</f>
        <v>9.5419847328244278E-3</v>
      </c>
      <c r="O126" s="18">
        <f>IF(ISNUMBER(M126), $B145 * N126, "")</f>
        <v>954.19847328244282</v>
      </c>
      <c r="Q126" s="245"/>
      <c r="R126" s="245"/>
      <c r="S126" s="245"/>
    </row>
    <row r="127" spans="1:19" ht="17.25" thickBot="1">
      <c r="A127" s="162" t="s">
        <v>266</v>
      </c>
      <c r="B127" s="126">
        <v>59</v>
      </c>
      <c r="C127" s="77">
        <v>-2.6402640299999999E-2</v>
      </c>
      <c r="D127" s="15">
        <v>57.6</v>
      </c>
      <c r="E127" s="32">
        <f t="shared" si="62"/>
        <v>-2.372881355932201E-2</v>
      </c>
      <c r="F127" s="18">
        <f>IF(ISNUMBER(D127), $B145 * E127, "")</f>
        <v>-2372.8813559322011</v>
      </c>
      <c r="G127" s="31">
        <v>58</v>
      </c>
      <c r="H127" s="32">
        <f t="shared" si="63"/>
        <v>-1.6949152542372881E-2</v>
      </c>
      <c r="I127" s="101">
        <f>IF(ISNUMBER(G127), $B145 * H127, "")</f>
        <v>-1694.9152542372881</v>
      </c>
      <c r="J127" s="15">
        <v>57.4</v>
      </c>
      <c r="K127" s="32">
        <f t="shared" si="64"/>
        <v>-2.7118644067796634E-2</v>
      </c>
      <c r="L127" s="18">
        <f>IF(ISNUMBER(J127), $B145 * K127, "")</f>
        <v>-2711.8644067796636</v>
      </c>
      <c r="M127" s="31">
        <v>58.5</v>
      </c>
      <c r="N127" s="32">
        <f t="shared" si="65"/>
        <v>-8.4745762711864406E-3</v>
      </c>
      <c r="O127" s="18">
        <f>IF(ISNUMBER(M127), $B145 * N127, "")</f>
        <v>-847.45762711864404</v>
      </c>
      <c r="Q127" s="235"/>
      <c r="R127" s="235"/>
      <c r="S127" s="235"/>
    </row>
    <row r="128" spans="1:19" ht="17.25" thickBot="1">
      <c r="A128" s="162" t="s">
        <v>220</v>
      </c>
      <c r="B128" s="126">
        <v>10.9</v>
      </c>
      <c r="C128" s="77">
        <v>-2.6785714299999999E-2</v>
      </c>
      <c r="D128" s="15">
        <v>11.6</v>
      </c>
      <c r="E128" s="32">
        <f t="shared" si="62"/>
        <v>6.4220183486238466E-2</v>
      </c>
      <c r="F128" s="18">
        <f>IF(ISNUMBER(D128), $B145 * E128, "")</f>
        <v>6422.0183486238466</v>
      </c>
      <c r="G128" s="31">
        <v>11.5</v>
      </c>
      <c r="H128" s="32">
        <f t="shared" si="63"/>
        <v>5.5045871559632996E-2</v>
      </c>
      <c r="I128" s="101">
        <f>IF(ISNUMBER(G128), $B145 * H128, "")</f>
        <v>5504.5871559632997</v>
      </c>
      <c r="J128" s="15">
        <v>11.7</v>
      </c>
      <c r="K128" s="32">
        <f t="shared" si="64"/>
        <v>7.339449541284393E-2</v>
      </c>
      <c r="L128" s="18">
        <f>IF(ISNUMBER(J128), $B145 * K128, "")</f>
        <v>7339.4495412843926</v>
      </c>
      <c r="M128" s="31">
        <v>11.7</v>
      </c>
      <c r="N128" s="32">
        <f t="shared" si="65"/>
        <v>7.339449541284393E-2</v>
      </c>
      <c r="O128" s="18">
        <f>IF(ISNUMBER(M128), $B145 * N128, "")</f>
        <v>7339.4495412843926</v>
      </c>
      <c r="Q128" s="235"/>
      <c r="R128" s="235"/>
      <c r="S128" s="235"/>
    </row>
    <row r="129" spans="1:19" ht="17.25" thickBot="1">
      <c r="A129" s="163" t="s">
        <v>186</v>
      </c>
      <c r="B129" s="128">
        <v>13.7</v>
      </c>
      <c r="C129" s="78">
        <v>-2.83687943E-2</v>
      </c>
      <c r="D129" s="20">
        <v>13.5</v>
      </c>
      <c r="E129" s="21">
        <f t="shared" si="62"/>
        <v>-1.4598540145985351E-2</v>
      </c>
      <c r="F129" s="22">
        <f>IF(ISNUMBER(D129), $B145 * E129, "")</f>
        <v>-1459.8540145985351</v>
      </c>
      <c r="G129" s="30">
        <v>13.5</v>
      </c>
      <c r="H129" s="21">
        <f t="shared" si="63"/>
        <v>-1.4598540145985351E-2</v>
      </c>
      <c r="I129" s="105">
        <f>IF(ISNUMBER(G129), $B145 * H129, "")</f>
        <v>-1459.8540145985351</v>
      </c>
      <c r="J129" s="20">
        <v>13.5</v>
      </c>
      <c r="K129" s="21">
        <f t="shared" si="64"/>
        <v>-1.4598540145985351E-2</v>
      </c>
      <c r="L129" s="22">
        <f>IF(ISNUMBER(J129), $B145 * K129, "")</f>
        <v>-1459.8540145985351</v>
      </c>
      <c r="M129" s="30">
        <v>13.7</v>
      </c>
      <c r="N129" s="21">
        <f t="shared" si="65"/>
        <v>0</v>
      </c>
      <c r="O129" s="22">
        <f>IF(ISNUMBER(M129), $B145 * N129, "")</f>
        <v>0</v>
      </c>
      <c r="Q129" s="235"/>
      <c r="R129" s="235"/>
      <c r="S129" s="235"/>
    </row>
    <row r="130" spans="1:19" ht="17.25" thickBot="1">
      <c r="A130" s="162" t="s">
        <v>134</v>
      </c>
      <c r="B130" s="129">
        <v>94.1</v>
      </c>
      <c r="C130" s="80">
        <v>-2.98969072E-2</v>
      </c>
      <c r="D130" s="106">
        <v>94.3</v>
      </c>
      <c r="E130" s="107">
        <f>IF(ISNUMBER(D130), (D130 - $B130) / $B130, "")</f>
        <v>2.1253985122210717E-3</v>
      </c>
      <c r="F130" s="108">
        <f>IF(ISNUMBER(D130), $B145 * E130, "")</f>
        <v>212.53985122210716</v>
      </c>
      <c r="G130" s="109">
        <v>94.4</v>
      </c>
      <c r="H130" s="107">
        <f>IF(ISNUMBER(G130), (G130 - $B130) / $B130, "")</f>
        <v>3.188097768331683E-3</v>
      </c>
      <c r="I130" s="110">
        <f>IF(ISNUMBER(G130), $B145 * H130, "")</f>
        <v>318.80977683316831</v>
      </c>
      <c r="J130" s="106">
        <v>93.9</v>
      </c>
      <c r="K130" s="107">
        <f>IF(ISNUMBER(J130), (J130 - $B130) / $B130, "")</f>
        <v>-2.1253985122209208E-3</v>
      </c>
      <c r="L130" s="108">
        <f>IF(ISNUMBER(J130), $B145 * K130, "")</f>
        <v>-212.53985122209207</v>
      </c>
      <c r="M130" s="109">
        <v>95.7</v>
      </c>
      <c r="N130" s="107">
        <f>IF(ISNUMBER(M130), (M130 - $B130) / $B130, "")</f>
        <v>1.7003188097768424E-2</v>
      </c>
      <c r="O130" s="108">
        <f>IF(ISNUMBER(M130), $B145 * N130, "")</f>
        <v>1700.3188097768425</v>
      </c>
      <c r="Q130" s="235"/>
      <c r="R130" s="235"/>
      <c r="S130" s="235"/>
    </row>
    <row r="131" spans="1:19" ht="17.25" thickBot="1">
      <c r="A131" s="162" t="s">
        <v>196</v>
      </c>
      <c r="B131" s="126">
        <v>11.6</v>
      </c>
      <c r="C131" s="77">
        <v>-3.3333333299999997E-2</v>
      </c>
      <c r="D131" s="15">
        <v>11.7</v>
      </c>
      <c r="E131" s="32">
        <f t="shared" ref="E131:E134" si="66">IF(ISNUMBER(D131), (D131 - $B131) / $B131, "")</f>
        <v>8.6206896551723842E-3</v>
      </c>
      <c r="F131" s="18">
        <f>IF(ISNUMBER(D131), $B145 * E131, "")</f>
        <v>862.06896551723844</v>
      </c>
      <c r="G131" s="31">
        <v>11.8</v>
      </c>
      <c r="H131" s="32">
        <f t="shared" ref="H131:H134" si="67">IF(ISNUMBER(G131), (G131 - $B131) / $B131, "")</f>
        <v>1.7241379310344921E-2</v>
      </c>
      <c r="I131" s="101">
        <f>IF(ISNUMBER(G131), $B145 * H131, "")</f>
        <v>1724.1379310344921</v>
      </c>
      <c r="J131" s="15">
        <v>11.8</v>
      </c>
      <c r="K131" s="32">
        <f t="shared" ref="K131:K134" si="68">IF(ISNUMBER(J131), (J131 - $B131) / $B131, "")</f>
        <v>1.7241379310344921E-2</v>
      </c>
      <c r="L131" s="18">
        <f>IF(ISNUMBER(J131), $B145 * K131, "")</f>
        <v>1724.1379310344921</v>
      </c>
      <c r="M131" s="31">
        <v>11.9</v>
      </c>
      <c r="N131" s="32">
        <f t="shared" ref="N131:N134" si="69">IF(ISNUMBER(M131), (M131 - $B131) / $B131, "")</f>
        <v>2.5862068965517303E-2</v>
      </c>
      <c r="O131" s="18">
        <f>IF(ISNUMBER(M131), $B145 * N131, "")</f>
        <v>2586.2068965517306</v>
      </c>
      <c r="Q131" s="235"/>
      <c r="R131" s="235"/>
      <c r="S131" s="235"/>
    </row>
    <row r="132" spans="1:19" ht="17.25" thickBot="1">
      <c r="A132" s="162" t="s">
        <v>222</v>
      </c>
      <c r="B132" s="126">
        <v>11.6</v>
      </c>
      <c r="C132" s="77">
        <v>-3.3333333299999997E-2</v>
      </c>
      <c r="D132" s="15">
        <v>11.5</v>
      </c>
      <c r="E132" s="32">
        <f t="shared" si="66"/>
        <v>-8.6206896551723842E-3</v>
      </c>
      <c r="F132" s="18">
        <f>IF(ISNUMBER(D132), $B145 * E132, "")</f>
        <v>-862.06896551723844</v>
      </c>
      <c r="G132" s="31">
        <v>11.4</v>
      </c>
      <c r="H132" s="32">
        <f t="shared" si="67"/>
        <v>-1.7241379310344768E-2</v>
      </c>
      <c r="I132" s="101">
        <f>IF(ISNUMBER(G132), $B145 * H132, "")</f>
        <v>-1724.1379310344769</v>
      </c>
      <c r="J132" s="15">
        <v>11.4</v>
      </c>
      <c r="K132" s="32">
        <f t="shared" si="68"/>
        <v>-1.7241379310344768E-2</v>
      </c>
      <c r="L132" s="18">
        <f>IF(ISNUMBER(J132), $B145 * K132, "")</f>
        <v>-1724.1379310344769</v>
      </c>
      <c r="M132" s="31">
        <v>11.6</v>
      </c>
      <c r="N132" s="32">
        <f t="shared" si="69"/>
        <v>0</v>
      </c>
      <c r="O132" s="18">
        <f>IF(ISNUMBER(M132), $B145 * N132, "")</f>
        <v>0</v>
      </c>
      <c r="Q132" s="235"/>
      <c r="R132" s="235"/>
      <c r="S132" s="235"/>
    </row>
    <row r="133" spans="1:19" ht="17.25" thickBot="1">
      <c r="A133" s="162" t="s">
        <v>264</v>
      </c>
      <c r="B133" s="126">
        <v>89.6</v>
      </c>
      <c r="C133" s="77">
        <v>-3.3441208200000003E-2</v>
      </c>
      <c r="D133" s="15">
        <v>89.8</v>
      </c>
      <c r="E133" s="32">
        <f t="shared" si="66"/>
        <v>2.2321428571428891E-3</v>
      </c>
      <c r="F133" s="18">
        <f>IF(ISNUMBER(D133), $B145 * E133, "")</f>
        <v>223.21428571428891</v>
      </c>
      <c r="G133" s="31">
        <v>89.3</v>
      </c>
      <c r="H133" s="32">
        <f t="shared" si="67"/>
        <v>-3.3482142857142543E-3</v>
      </c>
      <c r="I133" s="101">
        <f>IF(ISNUMBER(G133), $B145 * H133, "")</f>
        <v>-334.82142857142543</v>
      </c>
      <c r="J133" s="15">
        <v>89</v>
      </c>
      <c r="K133" s="32">
        <f t="shared" si="68"/>
        <v>-6.6964285714285086E-3</v>
      </c>
      <c r="L133" s="18">
        <f>IF(ISNUMBER(J133), $B145 * K133, "")</f>
        <v>-669.64285714285086</v>
      </c>
      <c r="M133" s="31">
        <v>91.5</v>
      </c>
      <c r="N133" s="32">
        <f t="shared" si="69"/>
        <v>2.1205357142857206E-2</v>
      </c>
      <c r="O133" s="18">
        <f>IF(ISNUMBER(M133), $B145 * N133, "")</f>
        <v>2120.5357142857206</v>
      </c>
      <c r="Q133" s="33"/>
      <c r="R133" s="33"/>
    </row>
    <row r="134" spans="1:19" ht="17.25" thickBot="1">
      <c r="A134" s="130" t="s">
        <v>65</v>
      </c>
      <c r="B134" s="131">
        <v>37</v>
      </c>
      <c r="C134" s="79">
        <v>-3.39425587E-2</v>
      </c>
      <c r="D134" s="24">
        <v>37.299999999999997</v>
      </c>
      <c r="E134" s="25">
        <f t="shared" si="66"/>
        <v>8.1081081081080305E-3</v>
      </c>
      <c r="F134" s="104">
        <f>IF(ISNUMBER(D134), $B145 * E134, "")</f>
        <v>810.8108108108031</v>
      </c>
      <c r="G134" s="102">
        <v>36.799999999999997</v>
      </c>
      <c r="H134" s="25">
        <f t="shared" si="67"/>
        <v>-5.405405405405482E-3</v>
      </c>
      <c r="I134" s="103">
        <f>IF(ISNUMBER(G134), $B145 * H134, "")</f>
        <v>-540.54054054054825</v>
      </c>
      <c r="J134" s="24">
        <v>37</v>
      </c>
      <c r="K134" s="25">
        <f t="shared" si="68"/>
        <v>0</v>
      </c>
      <c r="L134" s="104">
        <f>IF(ISNUMBER(J134), $B145 * K134, "")</f>
        <v>0</v>
      </c>
      <c r="M134" s="102">
        <v>38.1</v>
      </c>
      <c r="N134" s="25">
        <f t="shared" si="69"/>
        <v>2.972972972972977E-2</v>
      </c>
      <c r="O134" s="104">
        <f>IF(ISNUMBER(M134), $B145 * N134, "")</f>
        <v>2972.972972972977</v>
      </c>
      <c r="Q134" s="236"/>
      <c r="R134" s="237"/>
      <c r="S134" s="238"/>
    </row>
    <row r="135" spans="1:19">
      <c r="A135" s="161" t="s">
        <v>268</v>
      </c>
      <c r="B135" s="124">
        <v>53.4</v>
      </c>
      <c r="C135" s="76">
        <v>-3.4358047000000003E-2</v>
      </c>
      <c r="D135" s="13">
        <v>52.8</v>
      </c>
      <c r="E135" s="14">
        <f>IF(ISNUMBER(D135), (D135 - $B135) / $B135, "")</f>
        <v>-1.1235955056179803E-2</v>
      </c>
      <c r="F135" s="16">
        <f>IF(ISNUMBER(D135), $B145 * E135, "")</f>
        <v>-1123.5955056179803</v>
      </c>
      <c r="G135" s="29">
        <v>52.4</v>
      </c>
      <c r="H135" s="14">
        <f>IF(ISNUMBER(G135), (G135 - $B135) / $B135, "")</f>
        <v>-1.8726591760299626E-2</v>
      </c>
      <c r="I135" s="100">
        <f>IF(ISNUMBER(G135), $B145 * H135, "")</f>
        <v>-1872.6591760299625</v>
      </c>
      <c r="J135" s="13">
        <v>52.4</v>
      </c>
      <c r="K135" s="14">
        <f>IF(ISNUMBER(J135), (J135 - $B135) / $B135, "")</f>
        <v>-1.8726591760299626E-2</v>
      </c>
      <c r="L135" s="16">
        <f>IF(ISNUMBER(J135), $B145 * K135, "")</f>
        <v>-1872.6591760299625</v>
      </c>
      <c r="M135" s="29">
        <v>53.5</v>
      </c>
      <c r="N135" s="14">
        <f>IF(ISNUMBER(M135), (M135 - $B135) / $B135, "")</f>
        <v>1.8726591760299892E-3</v>
      </c>
      <c r="O135" s="16">
        <f>IF(ISNUMBER(M135), $B145 * N135, "")</f>
        <v>187.26591760299891</v>
      </c>
      <c r="Q135" s="239"/>
      <c r="R135" s="240"/>
      <c r="S135" s="241"/>
    </row>
    <row r="136" spans="1:19" ht="17.25" thickBot="1">
      <c r="A136" s="162" t="s">
        <v>122</v>
      </c>
      <c r="B136" s="126">
        <v>70</v>
      </c>
      <c r="C136" s="77">
        <v>-3.4482758600000003E-2</v>
      </c>
      <c r="D136" s="15">
        <v>68.900000000000006</v>
      </c>
      <c r="E136" s="32">
        <f t="shared" ref="E136:E139" si="70">IF(ISNUMBER(D136), (D136 - $B136) / $B136, "")</f>
        <v>-1.5714285714285632E-2</v>
      </c>
      <c r="F136" s="18">
        <f>IF(ISNUMBER(D136), $B145 * E136, "")</f>
        <v>-1571.4285714285631</v>
      </c>
      <c r="G136" s="31">
        <v>68.900000000000006</v>
      </c>
      <c r="H136" s="32">
        <f t="shared" ref="H136:H139" si="71">IF(ISNUMBER(G136), (G136 - $B136) / $B136, "")</f>
        <v>-1.5714285714285632E-2</v>
      </c>
      <c r="I136" s="101">
        <f>IF(ISNUMBER(G136), $B145 * H136, "")</f>
        <v>-1571.4285714285631</v>
      </c>
      <c r="J136" s="15">
        <v>68.7</v>
      </c>
      <c r="K136" s="32">
        <f t="shared" ref="K136:K139" si="72">IF(ISNUMBER(J136), (J136 - $B136) / $B136, "")</f>
        <v>-1.857142857142853E-2</v>
      </c>
      <c r="L136" s="18">
        <f>IF(ISNUMBER(J136), $B145 * K136, "")</f>
        <v>-1857.142857142853</v>
      </c>
      <c r="M136" s="31">
        <v>70.400000000000006</v>
      </c>
      <c r="N136" s="32">
        <f t="shared" ref="N136:N139" si="73">IF(ISNUMBER(M136), (M136 - $B136) / $B136, "")</f>
        <v>5.7142857142857958E-3</v>
      </c>
      <c r="O136" s="18">
        <f>IF(ISNUMBER(M136), $B145 * N136, "")</f>
        <v>571.42857142857963</v>
      </c>
      <c r="Q136" s="242"/>
      <c r="R136" s="243"/>
      <c r="S136" s="244"/>
    </row>
    <row r="137" spans="1:19" ht="17.25" thickBot="1">
      <c r="A137" s="162" t="s">
        <v>198</v>
      </c>
      <c r="B137" s="126">
        <v>16.7</v>
      </c>
      <c r="C137" s="77">
        <v>-3.4682080900000002E-2</v>
      </c>
      <c r="D137" s="15">
        <v>17.100000000000001</v>
      </c>
      <c r="E137" s="32">
        <f t="shared" si="70"/>
        <v>2.3952095808383363E-2</v>
      </c>
      <c r="F137" s="18">
        <f>IF(ISNUMBER(D137), $B145 * E137, "")</f>
        <v>2395.2095808383365</v>
      </c>
      <c r="G137" s="31">
        <v>17.2</v>
      </c>
      <c r="H137" s="32">
        <f t="shared" si="71"/>
        <v>2.9940119760479042E-2</v>
      </c>
      <c r="I137" s="101">
        <f>IF(ISNUMBER(G137), $B145 * H137, "")</f>
        <v>2994.0119760479042</v>
      </c>
      <c r="J137" s="15">
        <v>17.100000000000001</v>
      </c>
      <c r="K137" s="32">
        <f t="shared" si="72"/>
        <v>2.3952095808383363E-2</v>
      </c>
      <c r="L137" s="18">
        <f>IF(ISNUMBER(J137), $B145 * K137, "")</f>
        <v>2395.2095808383365</v>
      </c>
      <c r="M137" s="31">
        <v>17.399999999999999</v>
      </c>
      <c r="N137" s="32">
        <f t="shared" si="73"/>
        <v>4.1916167664670621E-2</v>
      </c>
      <c r="O137" s="18">
        <f>IF(ISNUMBER(M137), $B145 * N137, "")</f>
        <v>4191.616766467062</v>
      </c>
      <c r="Q137" s="235"/>
      <c r="R137" s="235"/>
      <c r="S137" s="235"/>
    </row>
    <row r="138" spans="1:19" ht="17.25" thickBot="1">
      <c r="A138" s="162" t="s">
        <v>218</v>
      </c>
      <c r="B138" s="126">
        <v>16.600000000000001</v>
      </c>
      <c r="C138" s="77">
        <v>-3.4883720899999998E-2</v>
      </c>
      <c r="D138" s="15">
        <v>16.600000000000001</v>
      </c>
      <c r="E138" s="32">
        <f t="shared" si="70"/>
        <v>0</v>
      </c>
      <c r="F138" s="18">
        <f>IF(ISNUMBER(D138), $B145 * E138, "")</f>
        <v>0</v>
      </c>
      <c r="G138" s="31">
        <v>16.7</v>
      </c>
      <c r="H138" s="32">
        <f t="shared" si="71"/>
        <v>6.0240963855420398E-3</v>
      </c>
      <c r="I138" s="101">
        <f>IF(ISNUMBER(G138), $B145 * H138, "")</f>
        <v>602.40963855420398</v>
      </c>
      <c r="J138" s="15">
        <v>16.600000000000001</v>
      </c>
      <c r="K138" s="32">
        <f t="shared" si="72"/>
        <v>0</v>
      </c>
      <c r="L138" s="18">
        <f>IF(ISNUMBER(J138), $B145 * K138, "")</f>
        <v>0</v>
      </c>
      <c r="M138" s="31">
        <v>17</v>
      </c>
      <c r="N138" s="32">
        <f t="shared" si="73"/>
        <v>2.4096385542168586E-2</v>
      </c>
      <c r="O138" s="18">
        <f>IF(ISNUMBER(M138), $B145 * N138, "")</f>
        <v>2409.6385542168587</v>
      </c>
      <c r="Q138" s="245"/>
      <c r="R138" s="245"/>
      <c r="S138" s="245"/>
    </row>
    <row r="139" spans="1:19" ht="17.25" thickBot="1">
      <c r="A139" s="163" t="s">
        <v>228</v>
      </c>
      <c r="B139" s="128">
        <v>10.7</v>
      </c>
      <c r="C139" s="78">
        <v>-3.6036036E-2</v>
      </c>
      <c r="D139" s="20">
        <v>10.8</v>
      </c>
      <c r="E139" s="21">
        <f t="shared" si="70"/>
        <v>9.3457943925234974E-3</v>
      </c>
      <c r="F139" s="22">
        <f>IF(ISNUMBER(D139), $B145 * E139, "")</f>
        <v>934.57943925234974</v>
      </c>
      <c r="G139" s="30">
        <v>10.7</v>
      </c>
      <c r="H139" s="21">
        <f t="shared" si="71"/>
        <v>0</v>
      </c>
      <c r="I139" s="105">
        <f>IF(ISNUMBER(G139), $B145 * H139, "")</f>
        <v>0</v>
      </c>
      <c r="J139" s="20">
        <v>10.8</v>
      </c>
      <c r="K139" s="21">
        <f t="shared" si="72"/>
        <v>9.3457943925234974E-3</v>
      </c>
      <c r="L139" s="22">
        <f>IF(ISNUMBER(J139), $B145 * K139, "")</f>
        <v>934.57943925234974</v>
      </c>
      <c r="M139" s="30">
        <v>10.9</v>
      </c>
      <c r="N139" s="21">
        <f t="shared" si="73"/>
        <v>1.8691588785046828E-2</v>
      </c>
      <c r="O139" s="22">
        <f>IF(ISNUMBER(M139), $B145 * N139, "")</f>
        <v>1869.1588785046829</v>
      </c>
      <c r="Q139" s="245"/>
      <c r="R139" s="245"/>
      <c r="S139" s="245"/>
    </row>
    <row r="140" spans="1:19" ht="17.25" thickBot="1">
      <c r="A140" s="162" t="s">
        <v>152</v>
      </c>
      <c r="B140" s="129">
        <v>20.2</v>
      </c>
      <c r="C140" s="80">
        <v>-3.8095238099999998E-2</v>
      </c>
      <c r="D140" s="106">
        <v>20.2</v>
      </c>
      <c r="E140" s="107">
        <f>IF(ISNUMBER(D140), (D140 - $B140) / $B140, "")</f>
        <v>0</v>
      </c>
      <c r="F140" s="108">
        <f>IF(ISNUMBER(D140), $B145 * E140, "")</f>
        <v>0</v>
      </c>
      <c r="G140" s="109">
        <v>20</v>
      </c>
      <c r="H140" s="107">
        <f>IF(ISNUMBER(G140), (G140 - $B140) / $B140, "")</f>
        <v>-9.9009900990098664E-3</v>
      </c>
      <c r="I140" s="110">
        <f>IF(ISNUMBER(G140), $B145 * H140, "")</f>
        <v>-990.09900990098663</v>
      </c>
      <c r="J140" s="106">
        <v>20</v>
      </c>
      <c r="K140" s="107">
        <f>IF(ISNUMBER(J140), (J140 - $B140) / $B140, "")</f>
        <v>-9.9009900990098664E-3</v>
      </c>
      <c r="L140" s="108">
        <f>IF(ISNUMBER(J140), $B145 * K140, "")</f>
        <v>-990.09900990098663</v>
      </c>
      <c r="M140" s="109">
        <v>20.399999999999999</v>
      </c>
      <c r="N140" s="107">
        <f>IF(ISNUMBER(M140), (M140 - $B140) / $B140, "")</f>
        <v>9.9009900990098664E-3</v>
      </c>
      <c r="O140" s="108">
        <f>IF(ISNUMBER(M140), $B145 * N140, "")</f>
        <v>990.09900990098663</v>
      </c>
      <c r="Q140" s="235"/>
      <c r="R140" s="235"/>
      <c r="S140" s="235"/>
    </row>
    <row r="141" spans="1:19" ht="17.25" thickBot="1">
      <c r="A141" s="162" t="s">
        <v>212</v>
      </c>
      <c r="B141" s="126">
        <v>77.7</v>
      </c>
      <c r="C141" s="77">
        <v>-3.9555006199999999E-2</v>
      </c>
      <c r="D141" s="15">
        <v>78.400000000000006</v>
      </c>
      <c r="E141" s="32">
        <f t="shared" ref="E141:E144" si="74">IF(ISNUMBER(D141), (D141 - $B141) / $B141, "")</f>
        <v>9.0090090090090454E-3</v>
      </c>
      <c r="F141" s="18">
        <f>IF(ISNUMBER(D141), $B145 * E141, "")</f>
        <v>900.9009009009045</v>
      </c>
      <c r="G141" s="31">
        <v>78.2</v>
      </c>
      <c r="H141" s="32">
        <f t="shared" ref="H141:H144" si="75">IF(ISNUMBER(G141), (G141 - $B141) / $B141, "")</f>
        <v>6.4350064350064346E-3</v>
      </c>
      <c r="I141" s="101">
        <f>IF(ISNUMBER(G141), $B145 * H141, "")</f>
        <v>643.50064350064349</v>
      </c>
      <c r="J141" s="15">
        <v>78.099999999999994</v>
      </c>
      <c r="K141" s="32">
        <f t="shared" ref="K141:K144" si="76">IF(ISNUMBER(J141), (J141 - $B141) / $B141, "")</f>
        <v>5.1480051480050377E-3</v>
      </c>
      <c r="L141" s="18">
        <f>IF(ISNUMBER(J141), $B145 * K141, "")</f>
        <v>514.80051480050372</v>
      </c>
      <c r="M141" s="31">
        <v>79.7</v>
      </c>
      <c r="N141" s="32">
        <f t="shared" ref="N141:N144" si="77">IF(ISNUMBER(M141), (M141 - $B141) / $B141, "")</f>
        <v>2.5740025740025738E-2</v>
      </c>
      <c r="O141" s="18">
        <f>IF(ISNUMBER(M141), $B145 * N141, "")</f>
        <v>2574.002574002574</v>
      </c>
      <c r="Q141" s="235"/>
      <c r="R141" s="235"/>
      <c r="S141" s="235"/>
    </row>
    <row r="142" spans="1:19" ht="17.25" thickBot="1">
      <c r="A142" s="162" t="s">
        <v>214</v>
      </c>
      <c r="B142" s="126">
        <v>14.2</v>
      </c>
      <c r="C142" s="77">
        <v>-4.05405405E-2</v>
      </c>
      <c r="D142" s="15">
        <v>14.3</v>
      </c>
      <c r="E142" s="32">
        <f t="shared" si="74"/>
        <v>7.0422535211268613E-3</v>
      </c>
      <c r="F142" s="18">
        <f>IF(ISNUMBER(D142), $B145 * E142, "")</f>
        <v>704.2253521126861</v>
      </c>
      <c r="G142" s="31">
        <v>14.4</v>
      </c>
      <c r="H142" s="32">
        <f t="shared" si="75"/>
        <v>1.4084507042253596E-2</v>
      </c>
      <c r="I142" s="101">
        <f>IF(ISNUMBER(G142), $B145 * H142, "")</f>
        <v>1408.4507042253597</v>
      </c>
      <c r="J142" s="15">
        <v>14.4</v>
      </c>
      <c r="K142" s="32">
        <f t="shared" si="76"/>
        <v>1.4084507042253596E-2</v>
      </c>
      <c r="L142" s="18">
        <f>IF(ISNUMBER(J142), $B145 * K142, "")</f>
        <v>1408.4507042253597</v>
      </c>
      <c r="M142" s="31">
        <v>14.6</v>
      </c>
      <c r="N142" s="32">
        <f t="shared" si="77"/>
        <v>2.8169014084507067E-2</v>
      </c>
      <c r="O142" s="18">
        <f>IF(ISNUMBER(M142), $B145 * N142, "")</f>
        <v>2816.9014084507066</v>
      </c>
      <c r="Q142" s="235"/>
      <c r="R142" s="235"/>
      <c r="S142" s="235"/>
    </row>
    <row r="143" spans="1:19">
      <c r="A143" s="162" t="s">
        <v>260</v>
      </c>
      <c r="B143" s="126">
        <v>81</v>
      </c>
      <c r="C143" s="77">
        <v>-4.3683589100000003E-2</v>
      </c>
      <c r="D143" s="15">
        <v>80.2</v>
      </c>
      <c r="E143" s="32">
        <f t="shared" si="74"/>
        <v>-9.8765432098765083E-3</v>
      </c>
      <c r="F143" s="18">
        <f>IF(ISNUMBER(D143), $B145 * E143, "")</f>
        <v>-987.65432098765086</v>
      </c>
      <c r="G143" s="31">
        <v>79.400000000000006</v>
      </c>
      <c r="H143" s="32">
        <f t="shared" si="75"/>
        <v>-1.9753086419753017E-2</v>
      </c>
      <c r="I143" s="101">
        <f>IF(ISNUMBER(G143), $B145 * H143, "")</f>
        <v>-1975.3086419753017</v>
      </c>
      <c r="J143" s="15">
        <v>79.599999999999994</v>
      </c>
      <c r="K143" s="32">
        <f t="shared" si="76"/>
        <v>-1.7283950617284022E-2</v>
      </c>
      <c r="L143" s="18">
        <f>IF(ISNUMBER(J143), $B145 * K143, "")</f>
        <v>-1728.3950617284022</v>
      </c>
      <c r="M143" s="31">
        <v>80.8</v>
      </c>
      <c r="N143" s="32">
        <f t="shared" si="77"/>
        <v>-2.4691358024691709E-3</v>
      </c>
      <c r="O143" s="18">
        <f>IF(ISNUMBER(M143), $B145 * N143, "")</f>
        <v>-246.91358024691709</v>
      </c>
      <c r="Q143" s="224"/>
      <c r="R143" s="225"/>
      <c r="S143" s="226"/>
    </row>
    <row r="144" spans="1:19" ht="17.25" thickBot="1">
      <c r="A144" s="130" t="s">
        <v>126</v>
      </c>
      <c r="B144" s="131">
        <v>28.8</v>
      </c>
      <c r="C144" s="79">
        <v>-4.6357615900000003E-2</v>
      </c>
      <c r="D144" s="24">
        <v>29.6</v>
      </c>
      <c r="E144" s="25">
        <f t="shared" si="74"/>
        <v>2.7777777777777801E-2</v>
      </c>
      <c r="F144" s="104">
        <f>IF(ISNUMBER(D144), $B145 * E144, "")</f>
        <v>2777.7777777777801</v>
      </c>
      <c r="G144" s="102">
        <v>29.4</v>
      </c>
      <c r="H144" s="25">
        <f t="shared" si="75"/>
        <v>2.0833333333333259E-2</v>
      </c>
      <c r="I144" s="103">
        <f>IF(ISNUMBER(G144), $B145 * H144, "")</f>
        <v>2083.3333333333258</v>
      </c>
      <c r="J144" s="24">
        <v>29.3</v>
      </c>
      <c r="K144" s="25">
        <f t="shared" si="76"/>
        <v>1.7361111111111112E-2</v>
      </c>
      <c r="L144" s="104">
        <f>IF(ISNUMBER(J144), $B145 * K144, "")</f>
        <v>1736.1111111111111</v>
      </c>
      <c r="M144" s="102">
        <v>29.7</v>
      </c>
      <c r="N144" s="25">
        <f t="shared" si="77"/>
        <v>3.1249999999999951E-2</v>
      </c>
      <c r="O144" s="104">
        <f>IF(ISNUMBER(M144), $B145 * N144, "")</f>
        <v>3124.999999999995</v>
      </c>
      <c r="Q144" s="227"/>
      <c r="R144" s="228"/>
      <c r="S144" s="229"/>
    </row>
    <row r="145" spans="1:19" ht="17.25" thickBot="1">
      <c r="A145" s="132" t="s">
        <v>300</v>
      </c>
      <c r="B145" s="288">
        <f>$B$37</f>
        <v>100000</v>
      </c>
      <c r="C145" s="289"/>
      <c r="D145" s="26" t="s">
        <v>301</v>
      </c>
      <c r="E145" s="27">
        <f>IF(COUNT(E125:E144), SUM(E125:E144) / COUNT(E125:E144), 0)</f>
        <v>3.4569184266762419E-3</v>
      </c>
      <c r="F145" s="28">
        <f>SUM(F125:F144)</f>
        <v>6913.8368533524817</v>
      </c>
      <c r="G145" s="26" t="s">
        <v>301</v>
      </c>
      <c r="H145" s="27">
        <f>IF(COUNT(H125:H144), SUM(H125:H144) / COUNT(H125:H144), 0)</f>
        <v>7.0221879155358722E-4</v>
      </c>
      <c r="I145" s="28">
        <f>SUM(I125:I144)</f>
        <v>1404.4375831071748</v>
      </c>
      <c r="J145" s="26" t="s">
        <v>301</v>
      </c>
      <c r="K145" s="27">
        <f>IF(COUNT(K125:K144), SUM(K125:K144) / COUNT(K125:K144), 0)</f>
        <v>5.5713913746260597E-4</v>
      </c>
      <c r="L145" s="28">
        <f>SUM(L125:L144)</f>
        <v>1114.2782749252112</v>
      </c>
      <c r="M145" s="26" t="s">
        <v>301</v>
      </c>
      <c r="N145" s="27">
        <f>IF(COUNT(N125:N144), SUM(N125:N144) / COUNT(N125:N144), 0)</f>
        <v>1.8416224723413942E-2</v>
      </c>
      <c r="O145" s="28">
        <f>SUM(O125:O144)</f>
        <v>36832.449446827872</v>
      </c>
      <c r="Q145" s="230"/>
      <c r="R145" s="231"/>
      <c r="S145" s="232"/>
    </row>
    <row r="147" spans="1:19" ht="17.25" thickBot="1"/>
    <row r="148" spans="1:19" ht="17.25" thickBot="1">
      <c r="A148" s="246" t="s">
        <v>289</v>
      </c>
      <c r="B148" s="247"/>
      <c r="C148" s="247"/>
      <c r="D148" s="247"/>
      <c r="E148" s="247"/>
      <c r="F148" s="247"/>
      <c r="G148" s="247"/>
      <c r="H148" s="247"/>
      <c r="I148" s="247"/>
      <c r="J148" s="247"/>
      <c r="K148" s="247"/>
      <c r="L148" s="247"/>
      <c r="M148" s="247"/>
      <c r="N148" s="247"/>
      <c r="O148" s="248"/>
      <c r="Q148" s="245"/>
      <c r="R148" s="245"/>
      <c r="S148" s="245"/>
    </row>
    <row r="149" spans="1:19" ht="17.25" thickBot="1">
      <c r="A149" s="164" t="s">
        <v>297</v>
      </c>
      <c r="B149" s="246" t="s">
        <v>49</v>
      </c>
      <c r="C149" s="248"/>
      <c r="D149" s="246" t="s">
        <v>58</v>
      </c>
      <c r="E149" s="247"/>
      <c r="F149" s="248"/>
      <c r="G149" s="249">
        <f>_xlfn.IFNA(VLOOKUP(B149, 현재가테이블!$B$2:$D$200, 2, FALSE), "-")</f>
        <v>45335000</v>
      </c>
      <c r="H149" s="250"/>
      <c r="I149" s="251"/>
      <c r="J149" s="246" t="s">
        <v>59</v>
      </c>
      <c r="K149" s="247"/>
      <c r="L149" s="248"/>
      <c r="M149" s="252">
        <f>_xlfn.IFNA(VLOOKUP(B149, 현재가테이블!$B$2:$D$200, 3, FALSE), "-")</f>
        <v>-2.27209037E-2</v>
      </c>
      <c r="N149" s="253"/>
      <c r="O149" s="254"/>
      <c r="Q149" s="245"/>
      <c r="R149" s="245"/>
      <c r="S149" s="245"/>
    </row>
    <row r="150" spans="1:19" ht="17.25" thickBot="1">
      <c r="A150" s="290" t="s">
        <v>55</v>
      </c>
      <c r="B150" s="286" t="str">
        <f>TEXT($G$1, "[$-ko-KR]yyyy-mm-dd(ddd) ") &amp; "오전 00:00"</f>
        <v>2021-06-02(수) 오전 00:00</v>
      </c>
      <c r="C150" s="287"/>
      <c r="D150" s="259" t="str">
        <f>TEXT($G$1, "[$-ko-KR]yyyy-mm-dd(ddd) ") &amp; "오후 14:00"</f>
        <v>2021-06-02(수) 오후 14:00</v>
      </c>
      <c r="E150" s="260"/>
      <c r="F150" s="261"/>
      <c r="G150" s="259" t="str">
        <f>TEXT($G$1, "[$-ko-KR]yyyy-mm-dd(ddd) ") &amp; "오후 19:00"</f>
        <v>2021-06-02(수) 오후 19:00</v>
      </c>
      <c r="H150" s="260"/>
      <c r="I150" s="261"/>
      <c r="J150" s="259" t="str">
        <f>TEXT($G$1, "[$-ko-KR]yyyy-mm-dd(ddd) ") &amp; "오후 21:00"</f>
        <v>2021-06-02(수) 오후 21:00</v>
      </c>
      <c r="K150" s="260"/>
      <c r="L150" s="261"/>
      <c r="M150" s="259" t="str">
        <f>TEXT($G$1+1, "[$-ko-KR]yyyy-mm-dd(ddd) ") &amp; "오전 00:00"</f>
        <v>2021-06-03(목) 오전 00:00</v>
      </c>
      <c r="N150" s="260"/>
      <c r="O150" s="261"/>
      <c r="Q150" s="245"/>
      <c r="R150" s="245"/>
      <c r="S150" s="245"/>
    </row>
    <row r="151" spans="1:19" ht="17.25" thickBot="1">
      <c r="A151" s="291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65" t="s">
        <v>58</v>
      </c>
      <c r="H151" s="166" t="s">
        <v>298</v>
      </c>
      <c r="I151" s="167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5"/>
      <c r="R151" s="235"/>
      <c r="S151" s="235"/>
    </row>
    <row r="152" spans="1:19" ht="17.25" thickBot="1">
      <c r="A152" s="161" t="s">
        <v>256</v>
      </c>
      <c r="B152" s="124">
        <v>175</v>
      </c>
      <c r="C152" s="76">
        <v>-2.77777778E-2</v>
      </c>
      <c r="D152" s="13">
        <v>176</v>
      </c>
      <c r="E152" s="14">
        <f>IF(ISNUMBER(D152), (D152 - $B152) / $B152, "")</f>
        <v>5.7142857142857143E-3</v>
      </c>
      <c r="F152" s="16">
        <f>IF(ISNUMBER(D152), $B172 * E152, "")</f>
        <v>571.42857142857144</v>
      </c>
      <c r="G152" s="29">
        <v>176</v>
      </c>
      <c r="H152" s="14">
        <f>IF(ISNUMBER(G152), (G152 - $B152) / $B152, "")</f>
        <v>5.7142857142857143E-3</v>
      </c>
      <c r="I152" s="100">
        <f>IF(ISNUMBER(G152), $B172 * H152, "")</f>
        <v>571.42857142857144</v>
      </c>
      <c r="J152" s="13">
        <v>176</v>
      </c>
      <c r="K152" s="14">
        <f>IF(ISNUMBER(J152), (J152 - $B152) / $B152, "")</f>
        <v>5.7142857142857143E-3</v>
      </c>
      <c r="L152" s="16">
        <f>IF(ISNUMBER(J152), $B172 * K152, "")</f>
        <v>571.42857142857144</v>
      </c>
      <c r="M152" s="29">
        <v>181</v>
      </c>
      <c r="N152" s="14">
        <f>IF(ISNUMBER(M152), (M152 - $B152) / $B152, "")</f>
        <v>3.4285714285714287E-2</v>
      </c>
      <c r="O152" s="16">
        <f>IF(ISNUMBER(M152), $B172 * N152, "")</f>
        <v>3428.5714285714289</v>
      </c>
      <c r="Q152" s="245"/>
      <c r="R152" s="245"/>
      <c r="S152" s="245"/>
    </row>
    <row r="153" spans="1:19" ht="17.25" thickBot="1">
      <c r="A153" s="162" t="s">
        <v>61</v>
      </c>
      <c r="B153" s="126">
        <v>968</v>
      </c>
      <c r="C153" s="77">
        <v>-2.90872618E-2</v>
      </c>
      <c r="D153" s="15">
        <v>985</v>
      </c>
      <c r="E153" s="32">
        <f t="shared" ref="E153:E156" si="78">IF(ISNUMBER(D153), (D153 - $B153) / $B153, "")</f>
        <v>1.7561983471074381E-2</v>
      </c>
      <c r="F153" s="18">
        <f>IF(ISNUMBER(D153), $B172 * E153, "")</f>
        <v>1756.1983471074382</v>
      </c>
      <c r="G153" s="31">
        <v>984</v>
      </c>
      <c r="H153" s="32">
        <f t="shared" ref="H153:H156" si="79">IF(ISNUMBER(G153), (G153 - $B153) / $B153, "")</f>
        <v>1.6528925619834711E-2</v>
      </c>
      <c r="I153" s="101">
        <f>IF(ISNUMBER(G153), $B172 * H153, "")</f>
        <v>1652.8925619834711</v>
      </c>
      <c r="J153" s="15">
        <v>980</v>
      </c>
      <c r="K153" s="32">
        <f t="shared" ref="K153:K156" si="80">IF(ISNUMBER(J153), (J153 - $B153) / $B153, "")</f>
        <v>1.2396694214876033E-2</v>
      </c>
      <c r="L153" s="18">
        <f>IF(ISNUMBER(J153), $B172 * K153, "")</f>
        <v>1239.6694214876034</v>
      </c>
      <c r="M153" s="31">
        <v>999</v>
      </c>
      <c r="N153" s="32">
        <f t="shared" ref="N153:N156" si="81">IF(ISNUMBER(M153), (M153 - $B153) / $B153, "")</f>
        <v>3.2024793388429749E-2</v>
      </c>
      <c r="O153" s="18">
        <f>IF(ISNUMBER(M153), $B172 * N153, "")</f>
        <v>3202.4793388429748</v>
      </c>
      <c r="Q153" s="245"/>
      <c r="R153" s="245"/>
      <c r="S153" s="245"/>
    </row>
    <row r="154" spans="1:19" ht="17.25" thickBot="1">
      <c r="A154" s="162" t="s">
        <v>54</v>
      </c>
      <c r="B154" s="126">
        <v>266</v>
      </c>
      <c r="C154" s="77">
        <v>-2.9197080300000001E-2</v>
      </c>
      <c r="D154" s="15">
        <v>269</v>
      </c>
      <c r="E154" s="32">
        <f t="shared" si="78"/>
        <v>1.1278195488721804E-2</v>
      </c>
      <c r="F154" s="18">
        <f>IF(ISNUMBER(D154), $B172 * E154, "")</f>
        <v>1127.8195488721803</v>
      </c>
      <c r="G154" s="31">
        <v>267</v>
      </c>
      <c r="H154" s="32">
        <f t="shared" si="79"/>
        <v>3.7593984962406013E-3</v>
      </c>
      <c r="I154" s="101">
        <f>IF(ISNUMBER(G154), $B172 * H154, "")</f>
        <v>375.93984962406012</v>
      </c>
      <c r="J154" s="15">
        <v>269</v>
      </c>
      <c r="K154" s="32">
        <f t="shared" si="80"/>
        <v>1.1278195488721804E-2</v>
      </c>
      <c r="L154" s="18">
        <f>IF(ISNUMBER(J154), $B172 * K154, "")</f>
        <v>1127.8195488721803</v>
      </c>
      <c r="M154" s="31">
        <v>277</v>
      </c>
      <c r="N154" s="32">
        <f t="shared" si="81"/>
        <v>4.1353383458646614E-2</v>
      </c>
      <c r="O154" s="18">
        <f>IF(ISNUMBER(M154), $B172 * N154, "")</f>
        <v>4135.3383458646613</v>
      </c>
      <c r="Q154" s="235"/>
      <c r="R154" s="235"/>
      <c r="S154" s="235"/>
    </row>
    <row r="155" spans="1:19" ht="17.25" thickBot="1">
      <c r="A155" s="162" t="s">
        <v>208</v>
      </c>
      <c r="B155" s="126">
        <v>332</v>
      </c>
      <c r="C155" s="77">
        <v>-2.9239766100000002E-2</v>
      </c>
      <c r="D155" s="15">
        <v>333</v>
      </c>
      <c r="E155" s="32">
        <f t="shared" si="78"/>
        <v>3.0120481927710845E-3</v>
      </c>
      <c r="F155" s="18">
        <f>IF(ISNUMBER(D155), $B172 * E155, "")</f>
        <v>301.20481927710847</v>
      </c>
      <c r="G155" s="31">
        <v>332</v>
      </c>
      <c r="H155" s="32">
        <f t="shared" si="79"/>
        <v>0</v>
      </c>
      <c r="I155" s="101">
        <f>IF(ISNUMBER(G155), $B172 * H155, "")</f>
        <v>0</v>
      </c>
      <c r="J155" s="15">
        <v>333</v>
      </c>
      <c r="K155" s="32">
        <f t="shared" si="80"/>
        <v>3.0120481927710845E-3</v>
      </c>
      <c r="L155" s="18">
        <f>IF(ISNUMBER(J155), $B172 * K155, "")</f>
        <v>301.20481927710847</v>
      </c>
      <c r="M155" s="31">
        <v>338</v>
      </c>
      <c r="N155" s="32">
        <f t="shared" si="81"/>
        <v>1.8072289156626505E-2</v>
      </c>
      <c r="O155" s="18">
        <f>IF(ISNUMBER(M155), $B172 * N155, "")</f>
        <v>1807.2289156626505</v>
      </c>
      <c r="Q155" s="235"/>
      <c r="R155" s="235"/>
      <c r="S155" s="235"/>
    </row>
    <row r="156" spans="1:19" ht="17.25" thickBot="1">
      <c r="A156" s="163" t="s">
        <v>57</v>
      </c>
      <c r="B156" s="128">
        <v>222</v>
      </c>
      <c r="C156" s="78">
        <v>-3.0567685599999998E-2</v>
      </c>
      <c r="D156" s="20">
        <v>222</v>
      </c>
      <c r="E156" s="21">
        <f t="shared" si="78"/>
        <v>0</v>
      </c>
      <c r="F156" s="22">
        <f>IF(ISNUMBER(D156), $B172 * E156, "")</f>
        <v>0</v>
      </c>
      <c r="G156" s="30">
        <v>221</v>
      </c>
      <c r="H156" s="21">
        <f t="shared" si="79"/>
        <v>-4.5045045045045045E-3</v>
      </c>
      <c r="I156" s="105">
        <f>IF(ISNUMBER(G156), $B172 * H156, "")</f>
        <v>-450.45045045045043</v>
      </c>
      <c r="J156" s="20">
        <v>223</v>
      </c>
      <c r="K156" s="21">
        <f t="shared" si="80"/>
        <v>4.5045045045045045E-3</v>
      </c>
      <c r="L156" s="22">
        <f>IF(ISNUMBER(J156), $B172 * K156, "")</f>
        <v>450.45045045045043</v>
      </c>
      <c r="M156" s="30">
        <v>227</v>
      </c>
      <c r="N156" s="21">
        <f t="shared" si="81"/>
        <v>2.2522522522522521E-2</v>
      </c>
      <c r="O156" s="22">
        <f>IF(ISNUMBER(M156), $B172 * N156, "")</f>
        <v>2252.2522522522522</v>
      </c>
      <c r="Q156" s="235"/>
      <c r="R156" s="235"/>
      <c r="S156" s="235"/>
    </row>
    <row r="157" spans="1:19" ht="17.25" thickBot="1">
      <c r="A157" s="162" t="s">
        <v>202</v>
      </c>
      <c r="B157" s="129">
        <v>121</v>
      </c>
      <c r="C157" s="80">
        <v>-3.2000000000000001E-2</v>
      </c>
      <c r="D157" s="106">
        <v>124</v>
      </c>
      <c r="E157" s="107">
        <f>IF(ISNUMBER(D157), (D157 - $B157) / $B157, "")</f>
        <v>2.4793388429752067E-2</v>
      </c>
      <c r="F157" s="108">
        <f>IF(ISNUMBER(D157), $B172 * E157, "")</f>
        <v>2479.3388429752067</v>
      </c>
      <c r="G157" s="109">
        <v>121</v>
      </c>
      <c r="H157" s="107">
        <f>IF(ISNUMBER(G157), (G157 - $B157) / $B157, "")</f>
        <v>0</v>
      </c>
      <c r="I157" s="110">
        <f>IF(ISNUMBER(G157), $B172 * H157, "")</f>
        <v>0</v>
      </c>
      <c r="J157" s="106">
        <v>122</v>
      </c>
      <c r="K157" s="107">
        <f>IF(ISNUMBER(J157), (J157 - $B157) / $B157, "")</f>
        <v>8.2644628099173556E-3</v>
      </c>
      <c r="L157" s="108">
        <f>IF(ISNUMBER(J157), $B172 * K157, "")</f>
        <v>826.44628099173553</v>
      </c>
      <c r="M157" s="109">
        <v>124</v>
      </c>
      <c r="N157" s="107">
        <f>IF(ISNUMBER(M157), (M157 - $B157) / $B157, "")</f>
        <v>2.4793388429752067E-2</v>
      </c>
      <c r="O157" s="108">
        <f>IF(ISNUMBER(M157), $B172 * N157, "")</f>
        <v>2479.3388429752067</v>
      </c>
      <c r="Q157" s="235"/>
      <c r="R157" s="235"/>
      <c r="S157" s="235"/>
    </row>
    <row r="158" spans="1:19" ht="17.25" thickBot="1">
      <c r="A158" s="162" t="s">
        <v>234</v>
      </c>
      <c r="B158" s="126">
        <v>846</v>
      </c>
      <c r="C158" s="77">
        <v>-3.2036613300000003E-2</v>
      </c>
      <c r="D158" s="15">
        <v>834</v>
      </c>
      <c r="E158" s="32">
        <f t="shared" ref="E158:E161" si="82">IF(ISNUMBER(D158), (D158 - $B158) / $B158, "")</f>
        <v>-1.4184397163120567E-2</v>
      </c>
      <c r="F158" s="18">
        <f>IF(ISNUMBER(D158), $B172 * E158, "")</f>
        <v>-1418.4397163120568</v>
      </c>
      <c r="G158" s="31">
        <v>825</v>
      </c>
      <c r="H158" s="32">
        <f t="shared" ref="H158:H161" si="83">IF(ISNUMBER(G158), (G158 - $B158) / $B158, "")</f>
        <v>-2.4822695035460994E-2</v>
      </c>
      <c r="I158" s="101">
        <f>IF(ISNUMBER(G158), $B172 * H158, "")</f>
        <v>-2482.2695035460993</v>
      </c>
      <c r="J158" s="15">
        <v>827</v>
      </c>
      <c r="K158" s="32">
        <f t="shared" ref="K158:K161" si="84">IF(ISNUMBER(J158), (J158 - $B158) / $B158, "")</f>
        <v>-2.2458628841607566E-2</v>
      </c>
      <c r="L158" s="18">
        <f>IF(ISNUMBER(J158), $B172 * K158, "")</f>
        <v>-2245.8628841607565</v>
      </c>
      <c r="M158" s="31">
        <v>849</v>
      </c>
      <c r="N158" s="32">
        <f t="shared" ref="N158:N161" si="85">IF(ISNUMBER(M158), (M158 - $B158) / $B158, "")</f>
        <v>3.5460992907801418E-3</v>
      </c>
      <c r="O158" s="18">
        <f>IF(ISNUMBER(M158), $B172 * N158, "")</f>
        <v>354.6099290780142</v>
      </c>
      <c r="Q158" s="235"/>
      <c r="R158" s="235"/>
      <c r="S158" s="235"/>
    </row>
    <row r="159" spans="1:19" ht="17.25" thickBot="1">
      <c r="A159" s="162" t="s">
        <v>200</v>
      </c>
      <c r="B159" s="126">
        <v>211</v>
      </c>
      <c r="C159" s="77">
        <v>-3.2110091700000003E-2</v>
      </c>
      <c r="D159" s="15">
        <v>211</v>
      </c>
      <c r="E159" s="32">
        <f t="shared" si="82"/>
        <v>0</v>
      </c>
      <c r="F159" s="18">
        <f>IF(ISNUMBER(D159), $B172 * E159, "")</f>
        <v>0</v>
      </c>
      <c r="G159" s="31">
        <v>211</v>
      </c>
      <c r="H159" s="32">
        <f t="shared" si="83"/>
        <v>0</v>
      </c>
      <c r="I159" s="101">
        <f>IF(ISNUMBER(G159), $B172 * H159, "")</f>
        <v>0</v>
      </c>
      <c r="J159" s="15">
        <v>210</v>
      </c>
      <c r="K159" s="32">
        <f t="shared" si="84"/>
        <v>-4.7393364928909956E-3</v>
      </c>
      <c r="L159" s="18">
        <f>IF(ISNUMBER(J159), $B172 * K159, "")</f>
        <v>-473.93364928909955</v>
      </c>
      <c r="M159" s="31">
        <v>214</v>
      </c>
      <c r="N159" s="32">
        <f t="shared" si="85"/>
        <v>1.4218009478672985E-2</v>
      </c>
      <c r="O159" s="18">
        <f>IF(ISNUMBER(M159), $B172 * N159, "")</f>
        <v>1421.8009478672984</v>
      </c>
      <c r="Q159" s="235"/>
      <c r="R159" s="235"/>
      <c r="S159" s="235"/>
    </row>
    <row r="160" spans="1:19" ht="17.25" thickBot="1">
      <c r="A160" s="162" t="s">
        <v>80</v>
      </c>
      <c r="B160" s="126">
        <v>871</v>
      </c>
      <c r="C160" s="77">
        <v>-3.2222222199999997E-2</v>
      </c>
      <c r="D160" s="15">
        <v>892</v>
      </c>
      <c r="E160" s="32">
        <f t="shared" si="82"/>
        <v>2.4110218140068886E-2</v>
      </c>
      <c r="F160" s="18">
        <f>IF(ISNUMBER(D160), $B172 * E160, "")</f>
        <v>2411.0218140068887</v>
      </c>
      <c r="G160" s="31">
        <v>896</v>
      </c>
      <c r="H160" s="32">
        <f t="shared" si="83"/>
        <v>2.8702640642939151E-2</v>
      </c>
      <c r="I160" s="101">
        <f>IF(ISNUMBER(G160), $B172 * H160, "")</f>
        <v>2870.264064293915</v>
      </c>
      <c r="J160" s="15">
        <v>909</v>
      </c>
      <c r="K160" s="32">
        <f t="shared" si="84"/>
        <v>4.3628013777267508E-2</v>
      </c>
      <c r="L160" s="18">
        <f>IF(ISNUMBER(J160), $B172 * K160, "")</f>
        <v>4362.8013777267506</v>
      </c>
      <c r="M160" s="31">
        <v>949</v>
      </c>
      <c r="N160" s="32">
        <f t="shared" si="85"/>
        <v>8.9552238805970144E-2</v>
      </c>
      <c r="O160" s="18">
        <f>IF(ISNUMBER(M160), $B172 * N160, "")</f>
        <v>8955.2238805970137</v>
      </c>
      <c r="Q160" s="33"/>
      <c r="R160" s="33"/>
    </row>
    <row r="161" spans="1:19" ht="17.25" thickBot="1">
      <c r="A161" s="130" t="s">
        <v>270</v>
      </c>
      <c r="B161" s="131">
        <v>353</v>
      </c>
      <c r="C161" s="79">
        <v>-3.2876712299999999E-2</v>
      </c>
      <c r="D161" s="24">
        <v>357</v>
      </c>
      <c r="E161" s="25">
        <f t="shared" si="82"/>
        <v>1.1331444759206799E-2</v>
      </c>
      <c r="F161" s="104">
        <f>IF(ISNUMBER(D161), $B172 * E161, "")</f>
        <v>1133.14447592068</v>
      </c>
      <c r="G161" s="102">
        <v>360</v>
      </c>
      <c r="H161" s="25">
        <f t="shared" si="83"/>
        <v>1.9830028328611898E-2</v>
      </c>
      <c r="I161" s="103">
        <f>IF(ISNUMBER(G161), $B172 * H161, "")</f>
        <v>1983.0028328611897</v>
      </c>
      <c r="J161" s="24">
        <v>358</v>
      </c>
      <c r="K161" s="25">
        <f t="shared" si="84"/>
        <v>1.4164305949008499E-2</v>
      </c>
      <c r="L161" s="104">
        <f>IF(ISNUMBER(J161), $B172 * K161, "")</f>
        <v>1416.4305949008499</v>
      </c>
      <c r="M161" s="102">
        <v>365</v>
      </c>
      <c r="N161" s="25">
        <f t="shared" si="85"/>
        <v>3.39943342776204E-2</v>
      </c>
      <c r="O161" s="104">
        <f>IF(ISNUMBER(M161), $B172 * N161, "")</f>
        <v>3399.4334277620401</v>
      </c>
      <c r="Q161" s="236"/>
      <c r="R161" s="237"/>
      <c r="S161" s="238"/>
    </row>
    <row r="162" spans="1:19">
      <c r="A162" s="161" t="s">
        <v>232</v>
      </c>
      <c r="B162" s="124">
        <v>115</v>
      </c>
      <c r="C162" s="76">
        <v>-3.3613445399999997E-2</v>
      </c>
      <c r="D162" s="13">
        <v>119</v>
      </c>
      <c r="E162" s="14">
        <f>IF(ISNUMBER(D162), (D162 - $B162) / $B162, "")</f>
        <v>3.4782608695652174E-2</v>
      </c>
      <c r="F162" s="16">
        <f>IF(ISNUMBER(D162), $B172 * E162, "")</f>
        <v>3478.2608695652175</v>
      </c>
      <c r="G162" s="29">
        <v>119</v>
      </c>
      <c r="H162" s="14">
        <f>IF(ISNUMBER(G162), (G162 - $B162) / $B162, "")</f>
        <v>3.4782608695652174E-2</v>
      </c>
      <c r="I162" s="100">
        <f>IF(ISNUMBER(G162), $B172 * H162, "")</f>
        <v>3478.2608695652175</v>
      </c>
      <c r="J162" s="13">
        <v>120</v>
      </c>
      <c r="K162" s="14">
        <f>IF(ISNUMBER(J162), (J162 - $B162) / $B162, "")</f>
        <v>4.3478260869565216E-2</v>
      </c>
      <c r="L162" s="16">
        <f>IF(ISNUMBER(J162), $B172 * K162, "")</f>
        <v>4347.826086956522</v>
      </c>
      <c r="M162" s="29">
        <v>122</v>
      </c>
      <c r="N162" s="14">
        <f>IF(ISNUMBER(M162), (M162 - $B162) / $B162, "")</f>
        <v>6.0869565217391307E-2</v>
      </c>
      <c r="O162" s="16">
        <f>IF(ISNUMBER(M162), $B172 * N162, "")</f>
        <v>6086.9565217391309</v>
      </c>
      <c r="Q162" s="239"/>
      <c r="R162" s="240"/>
      <c r="S162" s="241"/>
    </row>
    <row r="163" spans="1:19" ht="17.25" thickBot="1">
      <c r="A163" s="162" t="s">
        <v>174</v>
      </c>
      <c r="B163" s="126">
        <v>194</v>
      </c>
      <c r="C163" s="77">
        <v>-3.4825870600000003E-2</v>
      </c>
      <c r="D163" s="15">
        <v>192</v>
      </c>
      <c r="E163" s="32">
        <f t="shared" ref="E163:E166" si="86">IF(ISNUMBER(D163), (D163 - $B163) / $B163, "")</f>
        <v>-1.0309278350515464E-2</v>
      </c>
      <c r="F163" s="18">
        <f>IF(ISNUMBER(D163), $B172 * E163, "")</f>
        <v>-1030.9278350515465</v>
      </c>
      <c r="G163" s="31">
        <v>192</v>
      </c>
      <c r="H163" s="32">
        <f t="shared" ref="H163:H166" si="87">IF(ISNUMBER(G163), (G163 - $B163) / $B163, "")</f>
        <v>-1.0309278350515464E-2</v>
      </c>
      <c r="I163" s="101">
        <f>IF(ISNUMBER(G163), $B172 * H163, "")</f>
        <v>-1030.9278350515465</v>
      </c>
      <c r="J163" s="15">
        <v>192</v>
      </c>
      <c r="K163" s="32">
        <f t="shared" ref="K163:K166" si="88">IF(ISNUMBER(J163), (J163 - $B163) / $B163, "")</f>
        <v>-1.0309278350515464E-2</v>
      </c>
      <c r="L163" s="18">
        <f>IF(ISNUMBER(J163), $B172 * K163, "")</f>
        <v>-1030.9278350515465</v>
      </c>
      <c r="M163" s="31">
        <v>195</v>
      </c>
      <c r="N163" s="32">
        <f t="shared" ref="N163:N166" si="89">IF(ISNUMBER(M163), (M163 - $B163) / $B163, "")</f>
        <v>5.1546391752577319E-3</v>
      </c>
      <c r="O163" s="18">
        <f>IF(ISNUMBER(M163), $B172 * N163, "")</f>
        <v>515.46391752577324</v>
      </c>
      <c r="Q163" s="242"/>
      <c r="R163" s="243"/>
      <c r="S163" s="244"/>
    </row>
    <row r="164" spans="1:19" ht="17.25" thickBot="1">
      <c r="A164" s="162" t="s">
        <v>238</v>
      </c>
      <c r="B164" s="126">
        <v>190</v>
      </c>
      <c r="C164" s="77">
        <v>-3.5532994900000003E-2</v>
      </c>
      <c r="D164" s="15">
        <v>191</v>
      </c>
      <c r="E164" s="32">
        <f t="shared" si="86"/>
        <v>5.263157894736842E-3</v>
      </c>
      <c r="F164" s="18">
        <f>IF(ISNUMBER(D164), $B172 * E164, "")</f>
        <v>526.31578947368416</v>
      </c>
      <c r="G164" s="31">
        <v>189</v>
      </c>
      <c r="H164" s="32">
        <f t="shared" si="87"/>
        <v>-5.263157894736842E-3</v>
      </c>
      <c r="I164" s="101">
        <f>IF(ISNUMBER(G164), $B172 * H164, "")</f>
        <v>-526.31578947368416</v>
      </c>
      <c r="J164" s="15">
        <v>190</v>
      </c>
      <c r="K164" s="32">
        <f t="shared" si="88"/>
        <v>0</v>
      </c>
      <c r="L164" s="18">
        <f>IF(ISNUMBER(J164), $B172 * K164, "")</f>
        <v>0</v>
      </c>
      <c r="M164" s="31">
        <v>193</v>
      </c>
      <c r="N164" s="32">
        <f t="shared" si="89"/>
        <v>1.5789473684210527E-2</v>
      </c>
      <c r="O164" s="18">
        <f>IF(ISNUMBER(M164), $B172 * N164, "")</f>
        <v>1578.9473684210527</v>
      </c>
      <c r="Q164" s="235"/>
      <c r="R164" s="235"/>
      <c r="S164" s="235"/>
    </row>
    <row r="165" spans="1:19" ht="17.25" thickBot="1">
      <c r="A165" s="162" t="s">
        <v>116</v>
      </c>
      <c r="B165" s="126">
        <v>376</v>
      </c>
      <c r="C165" s="77">
        <v>-3.83631714E-2</v>
      </c>
      <c r="D165" s="15">
        <v>376</v>
      </c>
      <c r="E165" s="32">
        <f t="shared" si="86"/>
        <v>0</v>
      </c>
      <c r="F165" s="18">
        <f>IF(ISNUMBER(D165), $B172 * E165, "")</f>
        <v>0</v>
      </c>
      <c r="G165" s="31">
        <v>373</v>
      </c>
      <c r="H165" s="32">
        <f t="shared" si="87"/>
        <v>-7.9787234042553185E-3</v>
      </c>
      <c r="I165" s="101">
        <f>IF(ISNUMBER(G165), $B172 * H165, "")</f>
        <v>-797.87234042553189</v>
      </c>
      <c r="J165" s="15">
        <v>373</v>
      </c>
      <c r="K165" s="32">
        <f t="shared" si="88"/>
        <v>-7.9787234042553185E-3</v>
      </c>
      <c r="L165" s="18">
        <f>IF(ISNUMBER(J165), $B172 * K165, "")</f>
        <v>-797.87234042553189</v>
      </c>
      <c r="M165" s="31">
        <v>388</v>
      </c>
      <c r="N165" s="32">
        <f t="shared" si="89"/>
        <v>3.1914893617021274E-2</v>
      </c>
      <c r="O165" s="18">
        <f>IF(ISNUMBER(M165), $B172 * N165, "")</f>
        <v>3191.4893617021276</v>
      </c>
      <c r="Q165" s="245"/>
      <c r="R165" s="245"/>
      <c r="S165" s="245"/>
    </row>
    <row r="166" spans="1:19" ht="17.25" thickBot="1">
      <c r="A166" s="163" t="s">
        <v>258</v>
      </c>
      <c r="B166" s="128">
        <v>492</v>
      </c>
      <c r="C166" s="78">
        <v>-3.90625E-2</v>
      </c>
      <c r="D166" s="20">
        <v>495</v>
      </c>
      <c r="E166" s="21">
        <f t="shared" si="86"/>
        <v>6.0975609756097563E-3</v>
      </c>
      <c r="F166" s="22">
        <f>IF(ISNUMBER(D166), $B172 * E166, "")</f>
        <v>609.7560975609756</v>
      </c>
      <c r="G166" s="30">
        <v>493</v>
      </c>
      <c r="H166" s="21">
        <f t="shared" si="87"/>
        <v>2.0325203252032522E-3</v>
      </c>
      <c r="I166" s="105">
        <f>IF(ISNUMBER(G166), $B172 * H166, "")</f>
        <v>203.25203252032523</v>
      </c>
      <c r="J166" s="20">
        <v>491</v>
      </c>
      <c r="K166" s="21">
        <f t="shared" si="88"/>
        <v>-2.0325203252032522E-3</v>
      </c>
      <c r="L166" s="22">
        <f>IF(ISNUMBER(J166), $B172 * K166, "")</f>
        <v>-203.25203252032523</v>
      </c>
      <c r="M166" s="30">
        <v>501</v>
      </c>
      <c r="N166" s="21">
        <f t="shared" si="89"/>
        <v>1.8292682926829267E-2</v>
      </c>
      <c r="O166" s="22">
        <f>IF(ISNUMBER(M166), $B172 * N166, "")</f>
        <v>1829.2682926829268</v>
      </c>
      <c r="Q166" s="245"/>
      <c r="R166" s="245"/>
      <c r="S166" s="245"/>
    </row>
    <row r="167" spans="1:19" ht="17.25" thickBot="1">
      <c r="A167" s="162" t="s">
        <v>262</v>
      </c>
      <c r="B167" s="129">
        <v>636</v>
      </c>
      <c r="C167" s="80">
        <v>-4.0723981899999998E-2</v>
      </c>
      <c r="D167" s="106">
        <v>647</v>
      </c>
      <c r="E167" s="107">
        <f>IF(ISNUMBER(D167), (D167 - $B167) / $B167, "")</f>
        <v>1.7295597484276729E-2</v>
      </c>
      <c r="F167" s="108">
        <f>IF(ISNUMBER(D167), $B172 * E167, "")</f>
        <v>1729.559748427673</v>
      </c>
      <c r="G167" s="109">
        <v>643</v>
      </c>
      <c r="H167" s="107">
        <f>IF(ISNUMBER(G167), (G167 - $B167) / $B167, "")</f>
        <v>1.10062893081761E-2</v>
      </c>
      <c r="I167" s="110">
        <f>IF(ISNUMBER(G167), $B172 * H167, "")</f>
        <v>1100.6289308176099</v>
      </c>
      <c r="J167" s="106">
        <v>638</v>
      </c>
      <c r="K167" s="107">
        <f>IF(ISNUMBER(J167), (J167 - $B167) / $B167, "")</f>
        <v>3.1446540880503146E-3</v>
      </c>
      <c r="L167" s="108">
        <f>IF(ISNUMBER(J167), $B172 * K167, "")</f>
        <v>314.46540880503147</v>
      </c>
      <c r="M167" s="109">
        <v>655</v>
      </c>
      <c r="N167" s="107">
        <f>IF(ISNUMBER(M167), (M167 - $B167) / $B167, "")</f>
        <v>2.9874213836477988E-2</v>
      </c>
      <c r="O167" s="108">
        <f>IF(ISNUMBER(M167), $B172 * N167, "")</f>
        <v>2987.4213836477988</v>
      </c>
      <c r="Q167" s="235"/>
      <c r="R167" s="235"/>
      <c r="S167" s="235"/>
    </row>
    <row r="168" spans="1:19" ht="17.25" thickBot="1">
      <c r="A168" s="162" t="s">
        <v>284</v>
      </c>
      <c r="B168" s="126">
        <v>252</v>
      </c>
      <c r="C168" s="77">
        <v>-4.1825095100000001E-2</v>
      </c>
      <c r="D168" s="15">
        <v>258</v>
      </c>
      <c r="E168" s="32">
        <f t="shared" ref="E168:E171" si="90">IF(ISNUMBER(D168), (D168 - $B168) / $B168, "")</f>
        <v>2.3809523809523808E-2</v>
      </c>
      <c r="F168" s="18">
        <f>IF(ISNUMBER(D168), $B172 * E168, "")</f>
        <v>2380.9523809523807</v>
      </c>
      <c r="G168" s="31">
        <v>259</v>
      </c>
      <c r="H168" s="32">
        <f t="shared" ref="H168:H171" si="91">IF(ISNUMBER(G168), (G168 - $B168) / $B168, "")</f>
        <v>2.7777777777777776E-2</v>
      </c>
      <c r="I168" s="101">
        <f>IF(ISNUMBER(G168), $B172 * H168, "")</f>
        <v>2777.7777777777778</v>
      </c>
      <c r="J168" s="15">
        <v>258</v>
      </c>
      <c r="K168" s="32">
        <f t="shared" ref="K168:K171" si="92">IF(ISNUMBER(J168), (J168 - $B168) / $B168, "")</f>
        <v>2.3809523809523808E-2</v>
      </c>
      <c r="L168" s="18">
        <f>IF(ISNUMBER(J168), $B172 * K168, "")</f>
        <v>2380.9523809523807</v>
      </c>
      <c r="M168" s="31">
        <v>263</v>
      </c>
      <c r="N168" s="32">
        <f t="shared" ref="N168:N171" si="93">IF(ISNUMBER(M168), (M168 - $B168) / $B168, "")</f>
        <v>4.3650793650793648E-2</v>
      </c>
      <c r="O168" s="18">
        <f>IF(ISNUMBER(M168), $B172 * N168, "")</f>
        <v>4365.0793650793648</v>
      </c>
      <c r="Q168" s="235"/>
      <c r="R168" s="235"/>
      <c r="S168" s="235"/>
    </row>
    <row r="169" spans="1:19" ht="17.25" thickBot="1">
      <c r="A169" s="162" t="s">
        <v>230</v>
      </c>
      <c r="B169" s="126">
        <v>114</v>
      </c>
      <c r="C169" s="77">
        <v>-4.2016806699999999E-2</v>
      </c>
      <c r="D169" s="15">
        <v>114</v>
      </c>
      <c r="E169" s="32">
        <f t="shared" si="90"/>
        <v>0</v>
      </c>
      <c r="F169" s="18">
        <f>IF(ISNUMBER(D169), $B172 * E169, "")</f>
        <v>0</v>
      </c>
      <c r="G169" s="31">
        <v>111</v>
      </c>
      <c r="H169" s="32">
        <f t="shared" si="91"/>
        <v>-2.6315789473684209E-2</v>
      </c>
      <c r="I169" s="101">
        <f>IF(ISNUMBER(G169), $B172 * H169, "")</f>
        <v>-2631.5789473684208</v>
      </c>
      <c r="J169" s="15">
        <v>113</v>
      </c>
      <c r="K169" s="32">
        <f t="shared" si="92"/>
        <v>-8.771929824561403E-3</v>
      </c>
      <c r="L169" s="18">
        <f>IF(ISNUMBER(J169), $B172 * K169, "")</f>
        <v>-877.19298245614027</v>
      </c>
      <c r="M169" s="31">
        <v>114</v>
      </c>
      <c r="N169" s="32">
        <f t="shared" si="93"/>
        <v>0</v>
      </c>
      <c r="O169" s="18">
        <f>IF(ISNUMBER(M169), $B172 * N169, "")</f>
        <v>0</v>
      </c>
      <c r="Q169" s="235"/>
      <c r="R169" s="235"/>
      <c r="S169" s="235"/>
    </row>
    <row r="170" spans="1:19">
      <c r="A170" s="162" t="s">
        <v>246</v>
      </c>
      <c r="B170" s="126">
        <v>311</v>
      </c>
      <c r="C170" s="77">
        <v>-4.3076923099999997E-2</v>
      </c>
      <c r="D170" s="15">
        <v>305</v>
      </c>
      <c r="E170" s="32">
        <f t="shared" si="90"/>
        <v>-1.9292604501607719E-2</v>
      </c>
      <c r="F170" s="18">
        <f>IF(ISNUMBER(D170), $B172 * E170, "")</f>
        <v>-1929.2604501607718</v>
      </c>
      <c r="G170" s="31">
        <v>307</v>
      </c>
      <c r="H170" s="32">
        <f t="shared" si="91"/>
        <v>-1.2861736334405145E-2</v>
      </c>
      <c r="I170" s="101">
        <f>IF(ISNUMBER(G170), $B172 * H170, "")</f>
        <v>-1286.1736334405145</v>
      </c>
      <c r="J170" s="15">
        <v>307</v>
      </c>
      <c r="K170" s="32">
        <f t="shared" si="92"/>
        <v>-1.2861736334405145E-2</v>
      </c>
      <c r="L170" s="18">
        <f>IF(ISNUMBER(J170), $B172 * K170, "")</f>
        <v>-1286.1736334405145</v>
      </c>
      <c r="M170" s="31">
        <v>310</v>
      </c>
      <c r="N170" s="32">
        <f t="shared" si="93"/>
        <v>-3.2154340836012861E-3</v>
      </c>
      <c r="O170" s="18">
        <f>IF(ISNUMBER(M170), $B172 * N170, "")</f>
        <v>-321.54340836012864</v>
      </c>
      <c r="Q170" s="224"/>
      <c r="R170" s="225"/>
      <c r="S170" s="226"/>
    </row>
    <row r="171" spans="1:19" ht="17.25" thickBot="1">
      <c r="A171" s="130" t="s">
        <v>282</v>
      </c>
      <c r="B171" s="131">
        <v>111</v>
      </c>
      <c r="C171" s="79">
        <v>-4.31034483E-2</v>
      </c>
      <c r="D171" s="24">
        <v>110</v>
      </c>
      <c r="E171" s="25">
        <f t="shared" si="90"/>
        <v>-9.0090090090090089E-3</v>
      </c>
      <c r="F171" s="104">
        <f>IF(ISNUMBER(D171), $B172 * E171, "")</f>
        <v>-900.90090090090087</v>
      </c>
      <c r="G171" s="102">
        <v>110</v>
      </c>
      <c r="H171" s="25">
        <f t="shared" si="91"/>
        <v>-9.0090090090090089E-3</v>
      </c>
      <c r="I171" s="103">
        <f>IF(ISNUMBER(G171), $B172 * H171, "")</f>
        <v>-900.90090090090087</v>
      </c>
      <c r="J171" s="24">
        <v>111</v>
      </c>
      <c r="K171" s="25">
        <f t="shared" si="92"/>
        <v>0</v>
      </c>
      <c r="L171" s="104">
        <f>IF(ISNUMBER(J171), $B172 * K171, "")</f>
        <v>0</v>
      </c>
      <c r="M171" s="102">
        <v>113</v>
      </c>
      <c r="N171" s="25">
        <f t="shared" si="93"/>
        <v>1.8018018018018018E-2</v>
      </c>
      <c r="O171" s="104">
        <f>IF(ISNUMBER(M171), $B172 * N171, "")</f>
        <v>1801.8018018018017</v>
      </c>
      <c r="Q171" s="227"/>
      <c r="R171" s="228"/>
      <c r="S171" s="229"/>
    </row>
    <row r="172" spans="1:19" ht="17.25" thickBot="1">
      <c r="A172" s="132" t="s">
        <v>300</v>
      </c>
      <c r="B172" s="288">
        <f>$B$37</f>
        <v>100000</v>
      </c>
      <c r="C172" s="289"/>
      <c r="D172" s="26" t="s">
        <v>301</v>
      </c>
      <c r="E172" s="27">
        <f>IF(COUNT(E152:E171), SUM(E152:E171) / COUNT(E152:E171), 0)</f>
        <v>6.6127362015713648E-3</v>
      </c>
      <c r="F172" s="28">
        <f>SUM(F152:F171)</f>
        <v>13225.47240314273</v>
      </c>
      <c r="G172" s="26" t="s">
        <v>301</v>
      </c>
      <c r="H172" s="27">
        <f>IF(COUNT(H152:H171), SUM(H152:H171) / COUNT(H152:H171), 0)</f>
        <v>2.4534790451074947E-3</v>
      </c>
      <c r="I172" s="28">
        <f>SUM(I152:I171)</f>
        <v>4906.9580902149883</v>
      </c>
      <c r="J172" s="26" t="s">
        <v>301</v>
      </c>
      <c r="K172" s="27">
        <f>IF(COUNT(K152:K171), SUM(K152:K171) / COUNT(K152:K171), 0)</f>
        <v>5.2121397922526352E-3</v>
      </c>
      <c r="L172" s="28">
        <f>SUM(L152:L171)</f>
        <v>10424.279584505268</v>
      </c>
      <c r="M172" s="26" t="s">
        <v>301</v>
      </c>
      <c r="N172" s="27">
        <f>IF(COUNT(N152:N171), SUM(N152:N171) / COUNT(N152:N171), 0)</f>
        <v>2.6735580956856696E-2</v>
      </c>
      <c r="O172" s="28">
        <f>SUM(O152:O171)</f>
        <v>53471.161913713404</v>
      </c>
      <c r="Q172" s="230"/>
      <c r="R172" s="231"/>
      <c r="S172" s="232"/>
    </row>
    <row r="174" spans="1:19" ht="17.25" thickBot="1"/>
    <row r="175" spans="1:19" ht="17.25" thickBot="1">
      <c r="A175" s="246" t="s">
        <v>285</v>
      </c>
      <c r="B175" s="247"/>
      <c r="C175" s="247"/>
      <c r="D175" s="247"/>
      <c r="E175" s="247"/>
      <c r="F175" s="247"/>
      <c r="G175" s="247"/>
      <c r="H175" s="247"/>
      <c r="I175" s="247"/>
      <c r="J175" s="247"/>
      <c r="K175" s="247"/>
      <c r="L175" s="247"/>
      <c r="M175" s="247"/>
      <c r="N175" s="247"/>
      <c r="O175" s="248"/>
      <c r="Q175" s="245"/>
      <c r="R175" s="245"/>
      <c r="S175" s="245"/>
    </row>
    <row r="176" spans="1:19" ht="17.25" thickBot="1">
      <c r="A176" s="164" t="s">
        <v>297</v>
      </c>
      <c r="B176" s="246" t="s">
        <v>49</v>
      </c>
      <c r="C176" s="248"/>
      <c r="D176" s="246" t="s">
        <v>58</v>
      </c>
      <c r="E176" s="247"/>
      <c r="F176" s="248"/>
      <c r="G176" s="249">
        <f>_xlfn.IFNA(VLOOKUP(B176, 현재가테이블!$B$2:$D$200, 2, FALSE), "-")</f>
        <v>45335000</v>
      </c>
      <c r="H176" s="250"/>
      <c r="I176" s="251"/>
      <c r="J176" s="246" t="s">
        <v>59</v>
      </c>
      <c r="K176" s="247"/>
      <c r="L176" s="248"/>
      <c r="M176" s="252">
        <f>_xlfn.IFNA(VLOOKUP(B176, 현재가테이블!$B$2:$D$200, 3, FALSE), "-")</f>
        <v>-2.27209037E-2</v>
      </c>
      <c r="N176" s="253"/>
      <c r="O176" s="254"/>
      <c r="Q176" s="245"/>
      <c r="R176" s="245"/>
      <c r="S176" s="245"/>
    </row>
    <row r="177" spans="1:19" ht="17.25" thickBot="1">
      <c r="A177" s="290" t="s">
        <v>55</v>
      </c>
      <c r="B177" s="286" t="str">
        <f>TEXT($G$1, "[$-ko-KR]yyyy-mm-dd(ddd) ") &amp; "오전 00:00"</f>
        <v>2021-06-02(수) 오전 00:00</v>
      </c>
      <c r="C177" s="287"/>
      <c r="D177" s="259" t="str">
        <f>TEXT($G$1, "[$-ko-KR]yyyy-mm-dd(ddd) ") &amp; "오후 14:00"</f>
        <v>2021-06-02(수) 오후 14:00</v>
      </c>
      <c r="E177" s="260"/>
      <c r="F177" s="261"/>
      <c r="G177" s="259" t="str">
        <f>TEXT($G$1, "[$-ko-KR]yyyy-mm-dd(ddd) ") &amp; "오후 19:00"</f>
        <v>2021-06-02(수) 오후 19:00</v>
      </c>
      <c r="H177" s="260"/>
      <c r="I177" s="261"/>
      <c r="J177" s="259" t="str">
        <f>TEXT($G$1, "[$-ko-KR]yyyy-mm-dd(ddd) ") &amp; "오후 21:00"</f>
        <v>2021-06-02(수) 오후 21:00</v>
      </c>
      <c r="K177" s="260"/>
      <c r="L177" s="261"/>
      <c r="M177" s="259" t="str">
        <f>TEXT($G$1+1, "[$-ko-KR]yyyy-mm-dd(ddd) ") &amp; "오전 00:00"</f>
        <v>2021-06-03(목) 오전 00:00</v>
      </c>
      <c r="N177" s="260"/>
      <c r="O177" s="261"/>
      <c r="Q177" s="245"/>
      <c r="R177" s="245"/>
      <c r="S177" s="245"/>
    </row>
    <row r="178" spans="1:19" ht="17.25" thickBot="1">
      <c r="A178" s="291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65" t="s">
        <v>58</v>
      </c>
      <c r="H178" s="166" t="s">
        <v>298</v>
      </c>
      <c r="I178" s="167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5"/>
      <c r="R178" s="235"/>
      <c r="S178" s="235"/>
    </row>
    <row r="179" spans="1:19" ht="17.25" thickBot="1">
      <c r="A179" s="161" t="s">
        <v>116</v>
      </c>
      <c r="B179" s="124">
        <v>376</v>
      </c>
      <c r="C179" s="76">
        <v>-3.83631714E-2</v>
      </c>
      <c r="D179" s="13">
        <v>376</v>
      </c>
      <c r="E179" s="14">
        <f>IF(ISNUMBER(D179), (D179 - $B179) / $B179, "")</f>
        <v>0</v>
      </c>
      <c r="F179" s="16">
        <f>IF(ISNUMBER(D179), $B199 * E179, "")</f>
        <v>0</v>
      </c>
      <c r="G179" s="29">
        <v>373</v>
      </c>
      <c r="H179" s="14">
        <f>IF(ISNUMBER(G179), (G179 - $B179) / $B179, "")</f>
        <v>-7.9787234042553185E-3</v>
      </c>
      <c r="I179" s="100">
        <f>IF(ISNUMBER(G179), $B199 * H179, "")</f>
        <v>-797.87234042553189</v>
      </c>
      <c r="J179" s="13">
        <v>373</v>
      </c>
      <c r="K179" s="14">
        <f>IF(ISNUMBER(J179), (J179 - $B179) / $B179, "")</f>
        <v>-7.9787234042553185E-3</v>
      </c>
      <c r="L179" s="16">
        <f>IF(ISNUMBER(J179), $B199 * K179, "")</f>
        <v>-797.87234042553189</v>
      </c>
      <c r="M179" s="29">
        <v>388</v>
      </c>
      <c r="N179" s="14">
        <f>IF(ISNUMBER(M179), (M179 - $B179) / $B179, "")</f>
        <v>3.1914893617021274E-2</v>
      </c>
      <c r="O179" s="16">
        <f>IF(ISNUMBER(M179), $B199 * N179, "")</f>
        <v>3191.4893617021276</v>
      </c>
      <c r="Q179" s="245"/>
      <c r="R179" s="245"/>
      <c r="S179" s="245"/>
    </row>
    <row r="180" spans="1:19" ht="17.25" thickBot="1">
      <c r="A180" s="162" t="s">
        <v>258</v>
      </c>
      <c r="B180" s="126">
        <v>492</v>
      </c>
      <c r="C180" s="77">
        <v>-3.90625E-2</v>
      </c>
      <c r="D180" s="15">
        <v>495</v>
      </c>
      <c r="E180" s="32">
        <f t="shared" ref="E180:E183" si="94">IF(ISNUMBER(D180), (D180 - $B180) / $B180, "")</f>
        <v>6.0975609756097563E-3</v>
      </c>
      <c r="F180" s="18">
        <f>IF(ISNUMBER(D180), $B199 * E180, "")</f>
        <v>609.7560975609756</v>
      </c>
      <c r="G180" s="31">
        <v>493</v>
      </c>
      <c r="H180" s="32">
        <f t="shared" ref="H180:H183" si="95">IF(ISNUMBER(G180), (G180 - $B180) / $B180, "")</f>
        <v>2.0325203252032522E-3</v>
      </c>
      <c r="I180" s="101">
        <f>IF(ISNUMBER(G180), $B199 * H180, "")</f>
        <v>203.25203252032523</v>
      </c>
      <c r="J180" s="15">
        <v>491</v>
      </c>
      <c r="K180" s="32">
        <f t="shared" ref="K180:K183" si="96">IF(ISNUMBER(J180), (J180 - $B180) / $B180, "")</f>
        <v>-2.0325203252032522E-3</v>
      </c>
      <c r="L180" s="18">
        <f>IF(ISNUMBER(J180), $B199 * K180, "")</f>
        <v>-203.25203252032523</v>
      </c>
      <c r="M180" s="31">
        <v>501</v>
      </c>
      <c r="N180" s="32">
        <f t="shared" ref="N180:N183" si="97">IF(ISNUMBER(M180), (M180 - $B180) / $B180, "")</f>
        <v>1.8292682926829267E-2</v>
      </c>
      <c r="O180" s="18">
        <f>IF(ISNUMBER(M180), $B199 * N180, "")</f>
        <v>1829.2682926829268</v>
      </c>
      <c r="Q180" s="245"/>
      <c r="R180" s="245"/>
      <c r="S180" s="245"/>
    </row>
    <row r="181" spans="1:19" ht="17.25" thickBot="1">
      <c r="A181" s="162" t="s">
        <v>124</v>
      </c>
      <c r="B181" s="126">
        <v>3890</v>
      </c>
      <c r="C181" s="77">
        <v>-3.9506172800000003E-2</v>
      </c>
      <c r="D181" s="15">
        <v>3880</v>
      </c>
      <c r="E181" s="32">
        <f t="shared" si="94"/>
        <v>-2.5706940874035988E-3</v>
      </c>
      <c r="F181" s="18">
        <f>IF(ISNUMBER(D181), $B199 * E181, "")</f>
        <v>-257.0694087403599</v>
      </c>
      <c r="G181" s="31">
        <v>3855</v>
      </c>
      <c r="H181" s="32">
        <f t="shared" si="95"/>
        <v>-8.9974293059125968E-3</v>
      </c>
      <c r="I181" s="101">
        <f>IF(ISNUMBER(G181), $B199 * H181, "")</f>
        <v>-899.74293059125966</v>
      </c>
      <c r="J181" s="15">
        <v>3855</v>
      </c>
      <c r="K181" s="32">
        <f t="shared" si="96"/>
        <v>-8.9974293059125968E-3</v>
      </c>
      <c r="L181" s="18">
        <f>IF(ISNUMBER(J181), $B199 * K181, "")</f>
        <v>-899.74293059125966</v>
      </c>
      <c r="M181" s="31">
        <v>3950</v>
      </c>
      <c r="N181" s="32">
        <f t="shared" si="97"/>
        <v>1.5424164524421594E-2</v>
      </c>
      <c r="O181" s="18">
        <f>IF(ISNUMBER(M181), $B199 * N181, "")</f>
        <v>1542.4164524421594</v>
      </c>
      <c r="Q181" s="235"/>
      <c r="R181" s="235"/>
      <c r="S181" s="235"/>
    </row>
    <row r="182" spans="1:19" ht="17.25" thickBot="1">
      <c r="A182" s="162" t="s">
        <v>212</v>
      </c>
      <c r="B182" s="126">
        <v>77.7</v>
      </c>
      <c r="C182" s="77">
        <v>-3.9555006199999999E-2</v>
      </c>
      <c r="D182" s="15">
        <v>78.400000000000006</v>
      </c>
      <c r="E182" s="32">
        <f t="shared" si="94"/>
        <v>9.0090090090090454E-3</v>
      </c>
      <c r="F182" s="18">
        <f>IF(ISNUMBER(D182), $B199 * E182, "")</f>
        <v>900.9009009009045</v>
      </c>
      <c r="G182" s="31">
        <v>78.2</v>
      </c>
      <c r="H182" s="32">
        <f t="shared" si="95"/>
        <v>6.4350064350064346E-3</v>
      </c>
      <c r="I182" s="101">
        <f>IF(ISNUMBER(G182), $B199 * H182, "")</f>
        <v>643.50064350064349</v>
      </c>
      <c r="J182" s="15">
        <v>78.099999999999994</v>
      </c>
      <c r="K182" s="32">
        <f t="shared" si="96"/>
        <v>5.1480051480050377E-3</v>
      </c>
      <c r="L182" s="18">
        <f>IF(ISNUMBER(J182), $B199 * K182, "")</f>
        <v>514.80051480050372</v>
      </c>
      <c r="M182" s="31">
        <v>79.7</v>
      </c>
      <c r="N182" s="32">
        <f t="shared" si="97"/>
        <v>2.5740025740025738E-2</v>
      </c>
      <c r="O182" s="18">
        <f>IF(ISNUMBER(M182), $B199 * N182, "")</f>
        <v>2574.002574002574</v>
      </c>
      <c r="Q182" s="235"/>
      <c r="R182" s="235"/>
      <c r="S182" s="235"/>
    </row>
    <row r="183" spans="1:19" ht="17.25" thickBot="1">
      <c r="A183" s="163" t="s">
        <v>192</v>
      </c>
      <c r="B183" s="128">
        <v>1195</v>
      </c>
      <c r="C183" s="78">
        <v>-4.0160642599999997E-2</v>
      </c>
      <c r="D183" s="20">
        <v>1210</v>
      </c>
      <c r="E183" s="21">
        <f t="shared" si="94"/>
        <v>1.2552301255230125E-2</v>
      </c>
      <c r="F183" s="22">
        <f>IF(ISNUMBER(D183), $B199 * E183, "")</f>
        <v>1255.2301255230125</v>
      </c>
      <c r="G183" s="30">
        <v>1195</v>
      </c>
      <c r="H183" s="21">
        <f t="shared" si="95"/>
        <v>0</v>
      </c>
      <c r="I183" s="105">
        <f>IF(ISNUMBER(G183), $B199 * H183, "")</f>
        <v>0</v>
      </c>
      <c r="J183" s="20">
        <v>1185</v>
      </c>
      <c r="K183" s="21">
        <f t="shared" si="96"/>
        <v>-8.368200836820083E-3</v>
      </c>
      <c r="L183" s="22">
        <f>IF(ISNUMBER(J183), $B199 * K183, "")</f>
        <v>-836.82008368200832</v>
      </c>
      <c r="M183" s="30">
        <v>1205</v>
      </c>
      <c r="N183" s="21">
        <f t="shared" si="97"/>
        <v>8.368200836820083E-3</v>
      </c>
      <c r="O183" s="22">
        <f>IF(ISNUMBER(M183), $B199 * N183, "")</f>
        <v>836.82008368200832</v>
      </c>
      <c r="Q183" s="235"/>
      <c r="R183" s="235"/>
      <c r="S183" s="235"/>
    </row>
    <row r="184" spans="1:19" ht="17.25" thickBot="1">
      <c r="A184" s="162" t="s">
        <v>214</v>
      </c>
      <c r="B184" s="129">
        <v>14.2</v>
      </c>
      <c r="C184" s="80">
        <v>-4.05405405E-2</v>
      </c>
      <c r="D184" s="106">
        <v>14.3</v>
      </c>
      <c r="E184" s="107">
        <f>IF(ISNUMBER(D184), (D184 - $B184) / $B184, "")</f>
        <v>7.0422535211268613E-3</v>
      </c>
      <c r="F184" s="108">
        <f>IF(ISNUMBER(D184), $B199 * E184, "")</f>
        <v>704.2253521126861</v>
      </c>
      <c r="G184" s="109">
        <v>14.4</v>
      </c>
      <c r="H184" s="107">
        <f>IF(ISNUMBER(G184), (G184 - $B184) / $B184, "")</f>
        <v>1.4084507042253596E-2</v>
      </c>
      <c r="I184" s="110">
        <f>IF(ISNUMBER(G184), $B199 * H184, "")</f>
        <v>1408.4507042253597</v>
      </c>
      <c r="J184" s="106">
        <v>14.4</v>
      </c>
      <c r="K184" s="107">
        <f>IF(ISNUMBER(J184), (J184 - $B184) / $B184, "")</f>
        <v>1.4084507042253596E-2</v>
      </c>
      <c r="L184" s="108">
        <f>IF(ISNUMBER(J184), $B199 * K184, "")</f>
        <v>1408.4507042253597</v>
      </c>
      <c r="M184" s="109">
        <v>14.6</v>
      </c>
      <c r="N184" s="107">
        <f>IF(ISNUMBER(M184), (M184 - $B184) / $B184, "")</f>
        <v>2.8169014084507067E-2</v>
      </c>
      <c r="O184" s="108">
        <f>IF(ISNUMBER(M184), $B199 * N184, "")</f>
        <v>2816.9014084507066</v>
      </c>
      <c r="Q184" s="235"/>
      <c r="R184" s="235"/>
      <c r="S184" s="235"/>
    </row>
    <row r="185" spans="1:19" ht="17.25" thickBot="1">
      <c r="A185" s="162" t="s">
        <v>262</v>
      </c>
      <c r="B185" s="126">
        <v>636</v>
      </c>
      <c r="C185" s="77">
        <v>-4.0723981899999998E-2</v>
      </c>
      <c r="D185" s="15">
        <v>647</v>
      </c>
      <c r="E185" s="32">
        <f t="shared" ref="E185:E188" si="98">IF(ISNUMBER(D185), (D185 - $B185) / $B185, "")</f>
        <v>1.7295597484276729E-2</v>
      </c>
      <c r="F185" s="18">
        <f>IF(ISNUMBER(D185), $B199 * E185, "")</f>
        <v>1729.559748427673</v>
      </c>
      <c r="G185" s="31">
        <v>643</v>
      </c>
      <c r="H185" s="32">
        <f t="shared" ref="H185:H188" si="99">IF(ISNUMBER(G185), (G185 - $B185) / $B185, "")</f>
        <v>1.10062893081761E-2</v>
      </c>
      <c r="I185" s="101">
        <f>IF(ISNUMBER(G185), $B199 * H185, "")</f>
        <v>1100.6289308176099</v>
      </c>
      <c r="J185" s="15">
        <v>638</v>
      </c>
      <c r="K185" s="32">
        <f t="shared" ref="K185:K188" si="100">IF(ISNUMBER(J185), (J185 - $B185) / $B185, "")</f>
        <v>3.1446540880503146E-3</v>
      </c>
      <c r="L185" s="18">
        <f>IF(ISNUMBER(J185), $B199 * K185, "")</f>
        <v>314.46540880503147</v>
      </c>
      <c r="M185" s="31">
        <v>655</v>
      </c>
      <c r="N185" s="32">
        <f t="shared" ref="N185:N188" si="101">IF(ISNUMBER(M185), (M185 - $B185) / $B185, "")</f>
        <v>2.9874213836477988E-2</v>
      </c>
      <c r="O185" s="18">
        <f>IF(ISNUMBER(M185), $B199 * N185, "")</f>
        <v>2987.4213836477988</v>
      </c>
      <c r="Q185" s="235"/>
      <c r="R185" s="235"/>
      <c r="S185" s="235"/>
    </row>
    <row r="186" spans="1:19" ht="17.25" thickBot="1">
      <c r="A186" s="162" t="s">
        <v>284</v>
      </c>
      <c r="B186" s="126">
        <v>252</v>
      </c>
      <c r="C186" s="77">
        <v>-4.1825095100000001E-2</v>
      </c>
      <c r="D186" s="15">
        <v>258</v>
      </c>
      <c r="E186" s="32">
        <f t="shared" si="98"/>
        <v>2.3809523809523808E-2</v>
      </c>
      <c r="F186" s="18">
        <f>IF(ISNUMBER(D186), $B199 * E186, "")</f>
        <v>2380.9523809523807</v>
      </c>
      <c r="G186" s="31">
        <v>259</v>
      </c>
      <c r="H186" s="32">
        <f t="shared" si="99"/>
        <v>2.7777777777777776E-2</v>
      </c>
      <c r="I186" s="101">
        <f>IF(ISNUMBER(G186), $B199 * H186, "")</f>
        <v>2777.7777777777778</v>
      </c>
      <c r="J186" s="15">
        <v>258</v>
      </c>
      <c r="K186" s="32">
        <f t="shared" si="100"/>
        <v>2.3809523809523808E-2</v>
      </c>
      <c r="L186" s="18">
        <f>IF(ISNUMBER(J186), $B199 * K186, "")</f>
        <v>2380.9523809523807</v>
      </c>
      <c r="M186" s="31">
        <v>263</v>
      </c>
      <c r="N186" s="32">
        <f t="shared" si="101"/>
        <v>4.3650793650793648E-2</v>
      </c>
      <c r="O186" s="18">
        <f>IF(ISNUMBER(M186), $B199 * N186, "")</f>
        <v>4365.0793650793648</v>
      </c>
      <c r="Q186" s="235"/>
      <c r="R186" s="235"/>
      <c r="S186" s="235"/>
    </row>
    <row r="187" spans="1:19" ht="17.25" thickBot="1">
      <c r="A187" s="162" t="s">
        <v>230</v>
      </c>
      <c r="B187" s="126">
        <v>114</v>
      </c>
      <c r="C187" s="77">
        <v>-4.2016806699999999E-2</v>
      </c>
      <c r="D187" s="15">
        <v>114</v>
      </c>
      <c r="E187" s="32">
        <f t="shared" si="98"/>
        <v>0</v>
      </c>
      <c r="F187" s="18">
        <f>IF(ISNUMBER(D187), $B199 * E187, "")</f>
        <v>0</v>
      </c>
      <c r="G187" s="31">
        <v>111</v>
      </c>
      <c r="H187" s="32">
        <f t="shared" si="99"/>
        <v>-2.6315789473684209E-2</v>
      </c>
      <c r="I187" s="101">
        <f>IF(ISNUMBER(G187), $B199 * H187, "")</f>
        <v>-2631.5789473684208</v>
      </c>
      <c r="J187" s="15">
        <v>113</v>
      </c>
      <c r="K187" s="32">
        <f t="shared" si="100"/>
        <v>-8.771929824561403E-3</v>
      </c>
      <c r="L187" s="18">
        <f>IF(ISNUMBER(J187), $B199 * K187, "")</f>
        <v>-877.19298245614027</v>
      </c>
      <c r="M187" s="31">
        <v>114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194</v>
      </c>
      <c r="B188" s="131">
        <v>8450</v>
      </c>
      <c r="C188" s="79">
        <v>-4.2492917800000002E-2</v>
      </c>
      <c r="D188" s="24">
        <v>8480</v>
      </c>
      <c r="E188" s="25">
        <f t="shared" si="98"/>
        <v>3.5502958579881655E-3</v>
      </c>
      <c r="F188" s="104">
        <f>IF(ISNUMBER(D188), $B199 * E188, "")</f>
        <v>355.02958579881653</v>
      </c>
      <c r="G188" s="102">
        <v>8390</v>
      </c>
      <c r="H188" s="25">
        <f t="shared" si="99"/>
        <v>-7.100591715976331E-3</v>
      </c>
      <c r="I188" s="103">
        <f>IF(ISNUMBER(G188), $B199 * H188, "")</f>
        <v>-710.05917159763305</v>
      </c>
      <c r="J188" s="24">
        <v>8450</v>
      </c>
      <c r="K188" s="25">
        <f t="shared" si="100"/>
        <v>0</v>
      </c>
      <c r="L188" s="104">
        <f>IF(ISNUMBER(J188), $B199 * K188, "")</f>
        <v>0</v>
      </c>
      <c r="M188" s="102">
        <v>8555</v>
      </c>
      <c r="N188" s="25">
        <f t="shared" si="101"/>
        <v>1.242603550295858E-2</v>
      </c>
      <c r="O188" s="104">
        <f>IF(ISNUMBER(M188), $B199 * N188, "")</f>
        <v>1242.603550295858</v>
      </c>
      <c r="Q188" s="236"/>
      <c r="R188" s="237"/>
      <c r="S188" s="238"/>
    </row>
    <row r="189" spans="1:19">
      <c r="A189" s="161" t="s">
        <v>246</v>
      </c>
      <c r="B189" s="124">
        <v>311</v>
      </c>
      <c r="C189" s="76">
        <v>-4.3076923099999997E-2</v>
      </c>
      <c r="D189" s="13">
        <v>305</v>
      </c>
      <c r="E189" s="14">
        <f>IF(ISNUMBER(D189), (D189 - $B189) / $B189, "")</f>
        <v>-1.9292604501607719E-2</v>
      </c>
      <c r="F189" s="16">
        <f>IF(ISNUMBER(D189), $B199 * E189, "")</f>
        <v>-1929.2604501607718</v>
      </c>
      <c r="G189" s="29">
        <v>307</v>
      </c>
      <c r="H189" s="14">
        <f>IF(ISNUMBER(G189), (G189 - $B189) / $B189, "")</f>
        <v>-1.2861736334405145E-2</v>
      </c>
      <c r="I189" s="100">
        <f>IF(ISNUMBER(G189), $B199 * H189, "")</f>
        <v>-1286.1736334405145</v>
      </c>
      <c r="J189" s="13">
        <v>307</v>
      </c>
      <c r="K189" s="14">
        <f>IF(ISNUMBER(J189), (J189 - $B189) / $B189, "")</f>
        <v>-1.2861736334405145E-2</v>
      </c>
      <c r="L189" s="16">
        <f>IF(ISNUMBER(J189), $B199 * K189, "")</f>
        <v>-1286.1736334405145</v>
      </c>
      <c r="M189" s="29">
        <v>310</v>
      </c>
      <c r="N189" s="14">
        <f>IF(ISNUMBER(M189), (M189 - $B189) / $B189, "")</f>
        <v>-3.2154340836012861E-3</v>
      </c>
      <c r="O189" s="16">
        <f>IF(ISNUMBER(M189), $B199 * N189, "")</f>
        <v>-321.54340836012864</v>
      </c>
      <c r="Q189" s="239"/>
      <c r="R189" s="240"/>
      <c r="S189" s="241"/>
    </row>
    <row r="190" spans="1:19" ht="17.25" thickBot="1">
      <c r="A190" s="162" t="s">
        <v>282</v>
      </c>
      <c r="B190" s="126">
        <v>111</v>
      </c>
      <c r="C190" s="77">
        <v>-4.31034483E-2</v>
      </c>
      <c r="D190" s="15">
        <v>110</v>
      </c>
      <c r="E190" s="32">
        <f t="shared" ref="E190:E193" si="102">IF(ISNUMBER(D190), (D190 - $B190) / $B190, "")</f>
        <v>-9.0090090090090089E-3</v>
      </c>
      <c r="F190" s="18">
        <f>IF(ISNUMBER(D190), $B199 * E190, "")</f>
        <v>-900.90090090090087</v>
      </c>
      <c r="G190" s="31">
        <v>110</v>
      </c>
      <c r="H190" s="32">
        <f t="shared" ref="H190:H193" si="103">IF(ISNUMBER(G190), (G190 - $B190) / $B190, "")</f>
        <v>-9.0090090090090089E-3</v>
      </c>
      <c r="I190" s="101">
        <f>IF(ISNUMBER(G190), $B199 * H190, "")</f>
        <v>-900.90090090090087</v>
      </c>
      <c r="J190" s="15">
        <v>111</v>
      </c>
      <c r="K190" s="32">
        <f t="shared" ref="K190:K193" si="104">IF(ISNUMBER(J190), (J190 - $B190) / $B190, "")</f>
        <v>0</v>
      </c>
      <c r="L190" s="18">
        <f>IF(ISNUMBER(J190), $B199 * K190, "")</f>
        <v>0</v>
      </c>
      <c r="M190" s="31">
        <v>113</v>
      </c>
      <c r="N190" s="32">
        <f t="shared" ref="N190:N193" si="105">IF(ISNUMBER(M190), (M190 - $B190) / $B190, "")</f>
        <v>1.8018018018018018E-2</v>
      </c>
      <c r="O190" s="18">
        <f>IF(ISNUMBER(M190), $B199 * N190, "")</f>
        <v>1801.8018018018017</v>
      </c>
      <c r="Q190" s="242"/>
      <c r="R190" s="243"/>
      <c r="S190" s="244"/>
    </row>
    <row r="191" spans="1:19" ht="17.25" thickBot="1">
      <c r="A191" s="162" t="s">
        <v>260</v>
      </c>
      <c r="B191" s="126">
        <v>81</v>
      </c>
      <c r="C191" s="77">
        <v>-4.3683589100000003E-2</v>
      </c>
      <c r="D191" s="15">
        <v>80.2</v>
      </c>
      <c r="E191" s="32">
        <f t="shared" si="102"/>
        <v>-9.8765432098765083E-3</v>
      </c>
      <c r="F191" s="18">
        <f>IF(ISNUMBER(D191), $B199 * E191, "")</f>
        <v>-987.65432098765086</v>
      </c>
      <c r="G191" s="31">
        <v>79.400000000000006</v>
      </c>
      <c r="H191" s="32">
        <f t="shared" si="103"/>
        <v>-1.9753086419753017E-2</v>
      </c>
      <c r="I191" s="101">
        <f>IF(ISNUMBER(G191), $B199 * H191, "")</f>
        <v>-1975.3086419753017</v>
      </c>
      <c r="J191" s="15">
        <v>79.599999999999994</v>
      </c>
      <c r="K191" s="32">
        <f t="shared" si="104"/>
        <v>-1.7283950617284022E-2</v>
      </c>
      <c r="L191" s="18">
        <f>IF(ISNUMBER(J191), $B199 * K191, "")</f>
        <v>-1728.3950617284022</v>
      </c>
      <c r="M191" s="31">
        <v>80.8</v>
      </c>
      <c r="N191" s="32">
        <f t="shared" si="105"/>
        <v>-2.4691358024691709E-3</v>
      </c>
      <c r="O191" s="18">
        <f>IF(ISNUMBER(M191), $B199 * N191, "")</f>
        <v>-246.91358024691709</v>
      </c>
      <c r="Q191" s="235"/>
      <c r="R191" s="235"/>
      <c r="S191" s="235"/>
    </row>
    <row r="192" spans="1:19" ht="17.25" thickBot="1">
      <c r="A192" s="162" t="s">
        <v>126</v>
      </c>
      <c r="B192" s="126">
        <v>28.8</v>
      </c>
      <c r="C192" s="77">
        <v>-4.6357615900000003E-2</v>
      </c>
      <c r="D192" s="15">
        <v>29.6</v>
      </c>
      <c r="E192" s="32">
        <f t="shared" si="102"/>
        <v>2.7777777777777801E-2</v>
      </c>
      <c r="F192" s="18">
        <f>IF(ISNUMBER(D192), $B199 * E192, "")</f>
        <v>2777.7777777777801</v>
      </c>
      <c r="G192" s="31">
        <v>29.4</v>
      </c>
      <c r="H192" s="32">
        <f t="shared" si="103"/>
        <v>2.0833333333333259E-2</v>
      </c>
      <c r="I192" s="101">
        <f>IF(ISNUMBER(G192), $B199 * H192, "")</f>
        <v>2083.3333333333258</v>
      </c>
      <c r="J192" s="15">
        <v>29.3</v>
      </c>
      <c r="K192" s="32">
        <f t="shared" si="104"/>
        <v>1.7361111111111112E-2</v>
      </c>
      <c r="L192" s="18">
        <f>IF(ISNUMBER(J192), $B199 * K192, "")</f>
        <v>1736.1111111111111</v>
      </c>
      <c r="M192" s="31">
        <v>29.7</v>
      </c>
      <c r="N192" s="32">
        <f t="shared" si="105"/>
        <v>3.1249999999999951E-2</v>
      </c>
      <c r="O192" s="18">
        <f>IF(ISNUMBER(M192), $B199 * N192, "")</f>
        <v>3124.999999999995</v>
      </c>
      <c r="Q192" s="245"/>
      <c r="R192" s="245"/>
      <c r="S192" s="245"/>
    </row>
    <row r="193" spans="1:19" ht="17.25" thickBot="1">
      <c r="A193" s="163" t="s">
        <v>158</v>
      </c>
      <c r="B193" s="128">
        <v>5505</v>
      </c>
      <c r="C193" s="78">
        <v>-4.6753246800000002E-2</v>
      </c>
      <c r="D193" s="20">
        <v>5390</v>
      </c>
      <c r="E193" s="21">
        <f t="shared" si="102"/>
        <v>-2.0890099909173478E-2</v>
      </c>
      <c r="F193" s="22">
        <f>IF(ISNUMBER(D193), $B199 * E193, "")</f>
        <v>-2089.0099909173477</v>
      </c>
      <c r="G193" s="30">
        <v>5340</v>
      </c>
      <c r="H193" s="21">
        <f t="shared" si="103"/>
        <v>-2.9972752043596729E-2</v>
      </c>
      <c r="I193" s="105">
        <f>IF(ISNUMBER(G193), $B199 * H193, "")</f>
        <v>-2997.2752043596729</v>
      </c>
      <c r="J193" s="20">
        <v>5380</v>
      </c>
      <c r="K193" s="21">
        <f t="shared" si="104"/>
        <v>-2.2706630336058128E-2</v>
      </c>
      <c r="L193" s="22">
        <f>IF(ISNUMBER(J193), $B199 * K193, "")</f>
        <v>-2270.6630336058129</v>
      </c>
      <c r="M193" s="30">
        <v>5485</v>
      </c>
      <c r="N193" s="21">
        <f t="shared" si="105"/>
        <v>-3.6330608537693005E-3</v>
      </c>
      <c r="O193" s="22">
        <f>IF(ISNUMBER(M193), $B199 * N193, "")</f>
        <v>-363.30608537693007</v>
      </c>
      <c r="Q193" s="245"/>
      <c r="R193" s="245"/>
      <c r="S193" s="245"/>
    </row>
    <row r="194" spans="1:19" ht="17.25" thickBot="1">
      <c r="A194" s="162" t="s">
        <v>164</v>
      </c>
      <c r="B194" s="129">
        <v>15400</v>
      </c>
      <c r="C194" s="80">
        <v>-5.0554870500000001E-2</v>
      </c>
      <c r="D194" s="106">
        <v>15790</v>
      </c>
      <c r="E194" s="107">
        <f>IF(ISNUMBER(D194), (D194 - $B194) / $B194, "")</f>
        <v>2.5324675324675326E-2</v>
      </c>
      <c r="F194" s="108">
        <f>IF(ISNUMBER(D194), $B199 * E194, "")</f>
        <v>2532.4675324675327</v>
      </c>
      <c r="G194" s="109">
        <v>15520</v>
      </c>
      <c r="H194" s="107">
        <f>IF(ISNUMBER(G194), (G194 - $B194) / $B194, "")</f>
        <v>7.7922077922077922E-3</v>
      </c>
      <c r="I194" s="110">
        <f>IF(ISNUMBER(G194), $B199 * H194, "")</f>
        <v>779.22077922077926</v>
      </c>
      <c r="J194" s="106">
        <v>15590</v>
      </c>
      <c r="K194" s="107">
        <f>IF(ISNUMBER(J194), (J194 - $B194) / $B194, "")</f>
        <v>1.2337662337662338E-2</v>
      </c>
      <c r="L194" s="108">
        <f>IF(ISNUMBER(J194), $B199 * K194, "")</f>
        <v>1233.7662337662339</v>
      </c>
      <c r="M194" s="109">
        <v>16700</v>
      </c>
      <c r="N194" s="107">
        <f>IF(ISNUMBER(M194), (M194 - $B194) / $B194, "")</f>
        <v>8.4415584415584416E-2</v>
      </c>
      <c r="O194" s="108">
        <f>IF(ISNUMBER(M194), $B199 * N194, "")</f>
        <v>8441.5584415584417</v>
      </c>
      <c r="Q194" s="235"/>
      <c r="R194" s="235"/>
      <c r="S194" s="235"/>
    </row>
    <row r="195" spans="1:19" ht="17.25" thickBot="1">
      <c r="A195" s="162" t="s">
        <v>86</v>
      </c>
      <c r="B195" s="126">
        <v>7355</v>
      </c>
      <c r="C195" s="77">
        <v>-5.2801030300000003E-2</v>
      </c>
      <c r="D195" s="15">
        <v>7380</v>
      </c>
      <c r="E195" s="32">
        <f t="shared" ref="E195:E198" si="106">IF(ISNUMBER(D195), (D195 - $B195) / $B195, "")</f>
        <v>3.3990482664853841E-3</v>
      </c>
      <c r="F195" s="18">
        <f>IF(ISNUMBER(D195), $B199 * E195, "")</f>
        <v>339.9048266485384</v>
      </c>
      <c r="G195" s="31">
        <v>7355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7340</v>
      </c>
      <c r="K195" s="32">
        <f t="shared" ref="K195:K198" si="108">IF(ISNUMBER(J195), (J195 - $B195) / $B195, "")</f>
        <v>-2.0394289598912306E-3</v>
      </c>
      <c r="L195" s="18">
        <f>IF(ISNUMBER(J195), $B199 * K195, "")</f>
        <v>-203.94289598912306</v>
      </c>
      <c r="M195" s="31">
        <v>7445</v>
      </c>
      <c r="N195" s="32">
        <f t="shared" ref="N195:N198" si="109">IF(ISNUMBER(M195), (M195 - $B195) / $B195, "")</f>
        <v>1.2236573759347382E-2</v>
      </c>
      <c r="O195" s="18">
        <f>IF(ISNUMBER(M195), $B199 * N195, "")</f>
        <v>1223.6573759347382</v>
      </c>
      <c r="Q195" s="235"/>
      <c r="R195" s="235"/>
      <c r="S195" s="235"/>
    </row>
    <row r="196" spans="1:19" ht="17.25" thickBot="1">
      <c r="A196" s="162" t="s">
        <v>224</v>
      </c>
      <c r="B196" s="126">
        <v>1565</v>
      </c>
      <c r="C196" s="77">
        <v>-5.4380664699999998E-2</v>
      </c>
      <c r="D196" s="15">
        <v>1600</v>
      </c>
      <c r="E196" s="32">
        <f t="shared" si="106"/>
        <v>2.2364217252396165E-2</v>
      </c>
      <c r="F196" s="18">
        <f>IF(ISNUMBER(D196), $B199 * E196, "")</f>
        <v>2236.4217252396165</v>
      </c>
      <c r="G196" s="31">
        <v>1585</v>
      </c>
      <c r="H196" s="32">
        <f t="shared" si="107"/>
        <v>1.2779552715654952E-2</v>
      </c>
      <c r="I196" s="101">
        <f>IF(ISNUMBER(G196), $B199 * H196, "")</f>
        <v>1277.9552715654952</v>
      </c>
      <c r="J196" s="15">
        <v>1585</v>
      </c>
      <c r="K196" s="32">
        <f t="shared" si="108"/>
        <v>1.2779552715654952E-2</v>
      </c>
      <c r="L196" s="18">
        <f>IF(ISNUMBER(J196), $B199 * K196, "")</f>
        <v>1277.9552715654952</v>
      </c>
      <c r="M196" s="31">
        <v>1600</v>
      </c>
      <c r="N196" s="32">
        <f t="shared" si="109"/>
        <v>2.2364217252396165E-2</v>
      </c>
      <c r="O196" s="18">
        <f>IF(ISNUMBER(M196), $B199 * N196, "")</f>
        <v>2236.4217252396165</v>
      </c>
      <c r="Q196" s="235"/>
      <c r="R196" s="235"/>
      <c r="S196" s="235"/>
    </row>
    <row r="197" spans="1:19">
      <c r="A197" s="162" t="s">
        <v>188</v>
      </c>
      <c r="B197" s="126">
        <v>13730</v>
      </c>
      <c r="C197" s="77">
        <v>-5.6357388299999998E-2</v>
      </c>
      <c r="D197" s="15">
        <v>13780</v>
      </c>
      <c r="E197" s="32">
        <f t="shared" si="106"/>
        <v>3.6416605972323379E-3</v>
      </c>
      <c r="F197" s="18">
        <f>IF(ISNUMBER(D197), $B199 * E197, "")</f>
        <v>364.16605972323379</v>
      </c>
      <c r="G197" s="31">
        <v>13650</v>
      </c>
      <c r="H197" s="32">
        <f t="shared" si="107"/>
        <v>-5.826656955571741E-3</v>
      </c>
      <c r="I197" s="101">
        <f>IF(ISNUMBER(G197), $B199 * H197, "")</f>
        <v>-582.6656955571741</v>
      </c>
      <c r="J197" s="15">
        <v>13690</v>
      </c>
      <c r="K197" s="32">
        <f t="shared" si="108"/>
        <v>-2.9133284777858705E-3</v>
      </c>
      <c r="L197" s="18">
        <f>IF(ISNUMBER(J197), $B199 * K197, "")</f>
        <v>-291.33284777858705</v>
      </c>
      <c r="M197" s="31">
        <v>14020</v>
      </c>
      <c r="N197" s="32">
        <f t="shared" si="109"/>
        <v>2.1121631463947559E-2</v>
      </c>
      <c r="O197" s="18">
        <f>IF(ISNUMBER(M197), $B199 * N197, "")</f>
        <v>2112.163146394756</v>
      </c>
      <c r="Q197" s="224"/>
      <c r="R197" s="225"/>
      <c r="S197" s="226"/>
    </row>
    <row r="198" spans="1:19" ht="17.25" thickBot="1">
      <c r="A198" s="130" t="s">
        <v>76</v>
      </c>
      <c r="B198" s="131">
        <v>35490</v>
      </c>
      <c r="C198" s="79">
        <v>-5.8370920700000002E-2</v>
      </c>
      <c r="D198" s="24">
        <v>35990</v>
      </c>
      <c r="E198" s="25">
        <f t="shared" si="106"/>
        <v>1.4088475626937165E-2</v>
      </c>
      <c r="F198" s="104">
        <f>IF(ISNUMBER(D198), $B199 * E198, "")</f>
        <v>1408.8475626937166</v>
      </c>
      <c r="G198" s="102">
        <v>35470</v>
      </c>
      <c r="H198" s="25">
        <f t="shared" si="107"/>
        <v>-5.6353902507748658E-4</v>
      </c>
      <c r="I198" s="103">
        <f>IF(ISNUMBER(G198), $B199 * H198, "")</f>
        <v>-56.353902507748657</v>
      </c>
      <c r="J198" s="24">
        <v>35630</v>
      </c>
      <c r="K198" s="25">
        <f t="shared" si="108"/>
        <v>3.9447731755424065E-3</v>
      </c>
      <c r="L198" s="104">
        <f>IF(ISNUMBER(J198), $B199 * K198, "")</f>
        <v>394.47731755424064</v>
      </c>
      <c r="M198" s="102">
        <v>36380</v>
      </c>
      <c r="N198" s="25">
        <f t="shared" si="109"/>
        <v>2.5077486615948153E-2</v>
      </c>
      <c r="O198" s="104">
        <f>IF(ISNUMBER(M198), $B199 * N198, "")</f>
        <v>2507.7486615948155</v>
      </c>
      <c r="Q198" s="227"/>
      <c r="R198" s="228"/>
      <c r="S198" s="229"/>
    </row>
    <row r="199" spans="1:19" ht="17.25" thickBot="1">
      <c r="A199" s="132" t="s">
        <v>300</v>
      </c>
      <c r="B199" s="288">
        <f>$B$37</f>
        <v>100000</v>
      </c>
      <c r="C199" s="289"/>
      <c r="D199" s="26" t="s">
        <v>301</v>
      </c>
      <c r="E199" s="27">
        <f>IF(COUNT(E179:E198), SUM(E179:E198) / COUNT(E179:E198), 0)</f>
        <v>5.7156723020599185E-3</v>
      </c>
      <c r="F199" s="28">
        <f>SUM(F179:F198)</f>
        <v>11431.344604119835</v>
      </c>
      <c r="G199" s="26" t="s">
        <v>301</v>
      </c>
      <c r="H199" s="27">
        <f>IF(COUNT(H179:H198), SUM(H179:H198) / COUNT(H179:H198), 0)</f>
        <v>-1.2819059478814206E-3</v>
      </c>
      <c r="I199" s="28">
        <f>SUM(I179:I198)</f>
        <v>-2563.8118957628412</v>
      </c>
      <c r="J199" s="26" t="s">
        <v>301</v>
      </c>
      <c r="K199" s="27">
        <f>IF(COUNT(K179:K198), SUM(K179:K198) / COUNT(K179:K198), 0)</f>
        <v>-6.7204449718674236E-5</v>
      </c>
      <c r="L199" s="28">
        <f>SUM(L179:L198)</f>
        <v>-134.40889943734868</v>
      </c>
      <c r="M199" s="26" t="s">
        <v>301</v>
      </c>
      <c r="N199" s="27">
        <f>IF(COUNT(N179:N198), SUM(N179:N198) / COUNT(N179:N198), 0)</f>
        <v>2.0951295275262856E-2</v>
      </c>
      <c r="O199" s="28">
        <f>SUM(O179:O198)</f>
        <v>41902.590550525711</v>
      </c>
      <c r="Q199" s="230"/>
      <c r="R199" s="231"/>
      <c r="S199" s="232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6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6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6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6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6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6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6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6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6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59" priority="157">
      <formula>AND($N17 &gt; 0, ISNUMBER($N17))</formula>
    </cfRule>
    <cfRule type="expression" dxfId="2658" priority="158">
      <formula>AND($N17 = 0 * ISNUMBER($N17))</formula>
    </cfRule>
    <cfRule type="expression" dxfId="2657" priority="159">
      <formula>AND($N17 &lt; 0, ISNUMBER($N17))</formula>
    </cfRule>
  </conditionalFormatting>
  <conditionalFormatting sqref="A17:F36">
    <cfRule type="expression" dxfId="2656" priority="166">
      <formula>AND($E17 &gt; 0, ISNUMBER($E17))</formula>
    </cfRule>
    <cfRule type="expression" dxfId="2655" priority="167">
      <formula>AND($E17 = 0 * ISNUMBER($E17))</formula>
    </cfRule>
    <cfRule type="expression" dxfId="2654" priority="168">
      <formula>AND($E17 &lt; 0, ISNUMBER($E17))</formula>
    </cfRule>
  </conditionalFormatting>
  <conditionalFormatting sqref="A17:C36 G17:I36">
    <cfRule type="expression" dxfId="2653" priority="163">
      <formula>AND($H17 &gt; 0, ISNUMBER($H17))</formula>
    </cfRule>
    <cfRule type="expression" dxfId="2652" priority="164">
      <formula>AND($H17 = 0 * ISNUMBER($H17))</formula>
    </cfRule>
    <cfRule type="expression" dxfId="2651" priority="165">
      <formula>AND($H17 &lt; 0, ISNUMBER($H17))</formula>
    </cfRule>
  </conditionalFormatting>
  <conditionalFormatting sqref="A17:C36 J17:L36">
    <cfRule type="expression" dxfId="2650" priority="160">
      <formula>AND($K17 &gt; 0, ISNUMBER($K17))</formula>
    </cfRule>
    <cfRule type="expression" dxfId="2649" priority="161">
      <formula>AND($K17 = 0 * ISNUMBER($K17))</formula>
    </cfRule>
    <cfRule type="expression" dxfId="2648" priority="162">
      <formula>AND($K17 &lt; 0, ISNUMBER($K17))</formula>
    </cfRule>
  </conditionalFormatting>
  <conditionalFormatting sqref="D15:F16 E37:F37">
    <cfRule type="expression" dxfId="2647" priority="154">
      <formula>$E$37 &gt; 0</formula>
    </cfRule>
    <cfRule type="expression" dxfId="2646" priority="155">
      <formula>$E$37 = 0</formula>
    </cfRule>
    <cfRule type="expression" dxfId="2645" priority="156">
      <formula>$E$37 &lt; 0</formula>
    </cfRule>
  </conditionalFormatting>
  <conditionalFormatting sqref="G15:I16 H37:I37">
    <cfRule type="expression" dxfId="2644" priority="151">
      <formula>$H$37 &gt; 0</formula>
    </cfRule>
    <cfRule type="expression" dxfId="2643" priority="152">
      <formula>$H$37 = 0</formula>
    </cfRule>
    <cfRule type="expression" dxfId="2642" priority="153">
      <formula>$H$37 &lt; 0</formula>
    </cfRule>
  </conditionalFormatting>
  <conditionalFormatting sqref="J15:L16 K37:L37">
    <cfRule type="expression" dxfId="2641" priority="148">
      <formula>$K$37 &gt; 0</formula>
    </cfRule>
    <cfRule type="expression" dxfId="2640" priority="149">
      <formula>$K$37 = 0</formula>
    </cfRule>
    <cfRule type="expression" dxfId="2639" priority="150">
      <formula>$K$37 &lt; 0</formula>
    </cfRule>
  </conditionalFormatting>
  <conditionalFormatting sqref="M15:O16 N37:O37">
    <cfRule type="expression" dxfId="2638" priority="145">
      <formula>$N$37 &gt; 0</formula>
    </cfRule>
    <cfRule type="expression" dxfId="2637" priority="146">
      <formula>$N$37 = 0</formula>
    </cfRule>
    <cfRule type="expression" dxfId="2636" priority="147">
      <formula>$N$37 &lt; 0</formula>
    </cfRule>
  </conditionalFormatting>
  <conditionalFormatting sqref="A44:C63 M44:O63">
    <cfRule type="expression" dxfId="2635" priority="133">
      <formula>AND($N44 &gt; 0, ISNUMBER($N44))</formula>
    </cfRule>
    <cfRule type="expression" dxfId="2634" priority="134">
      <formula>AND($N44 = 0 * ISNUMBER($N44))</formula>
    </cfRule>
    <cfRule type="expression" dxfId="2633" priority="135">
      <formula>AND($N44 &lt; 0, ISNUMBER($N44))</formula>
    </cfRule>
  </conditionalFormatting>
  <conditionalFormatting sqref="A44:F63">
    <cfRule type="expression" dxfId="2632" priority="142">
      <formula>AND($E44 &gt; 0, ISNUMBER($E44))</formula>
    </cfRule>
    <cfRule type="expression" dxfId="2631" priority="143">
      <formula>AND($E44 = 0 * ISNUMBER($E44))</formula>
    </cfRule>
    <cfRule type="expression" dxfId="2630" priority="144">
      <formula>AND($E44 &lt; 0, ISNUMBER($E44))</formula>
    </cfRule>
  </conditionalFormatting>
  <conditionalFormatting sqref="A44:C63 G44:I63">
    <cfRule type="expression" dxfId="2629" priority="139">
      <formula>AND($H44 &gt; 0, ISNUMBER($H44))</formula>
    </cfRule>
    <cfRule type="expression" dxfId="2628" priority="140">
      <formula>AND($H44 = 0 * ISNUMBER($H44))</formula>
    </cfRule>
    <cfRule type="expression" dxfId="2627" priority="141">
      <formula>AND($H44 &lt; 0, ISNUMBER($H44))</formula>
    </cfRule>
  </conditionalFormatting>
  <conditionalFormatting sqref="A44:C63 J44:L63">
    <cfRule type="expression" dxfId="2626" priority="136">
      <formula>AND($K44 &gt; 0, ISNUMBER($K44))</formula>
    </cfRule>
    <cfRule type="expression" dxfId="2625" priority="137">
      <formula>AND($K44 = 0 * ISNUMBER($K44))</formula>
    </cfRule>
    <cfRule type="expression" dxfId="2624" priority="138">
      <formula>AND($K44 &lt; 0, ISNUMBER($K44))</formula>
    </cfRule>
  </conditionalFormatting>
  <conditionalFormatting sqref="D42:F43 E64:F64">
    <cfRule type="expression" dxfId="2623" priority="130">
      <formula>$E$64 &gt; 0</formula>
    </cfRule>
    <cfRule type="expression" dxfId="2622" priority="131">
      <formula>$E$64 = 0</formula>
    </cfRule>
    <cfRule type="expression" dxfId="2621" priority="132">
      <formula>$E$64 &lt; 0</formula>
    </cfRule>
  </conditionalFormatting>
  <conditionalFormatting sqref="G42:I43 H64:I64">
    <cfRule type="expression" dxfId="2620" priority="127">
      <formula>$H$64 &gt; 0</formula>
    </cfRule>
    <cfRule type="expression" dxfId="2619" priority="128">
      <formula>$H$64 = 0</formula>
    </cfRule>
    <cfRule type="expression" dxfId="2618" priority="129">
      <formula>$H$64 &lt; 0</formula>
    </cfRule>
  </conditionalFormatting>
  <conditionalFormatting sqref="J42:L43 K64:L64">
    <cfRule type="expression" dxfId="2617" priority="124">
      <formula>$K$64 &gt; 0</formula>
    </cfRule>
    <cfRule type="expression" dxfId="2616" priority="125">
      <formula>$K$64 = 0</formula>
    </cfRule>
    <cfRule type="expression" dxfId="2615" priority="126">
      <formula>$K$64 &lt; 0</formula>
    </cfRule>
  </conditionalFormatting>
  <conditionalFormatting sqref="M42:O43 N64:O64">
    <cfRule type="expression" dxfId="2614" priority="121">
      <formula>$N$64 &gt; 0</formula>
    </cfRule>
    <cfRule type="expression" dxfId="2613" priority="122">
      <formula>$N$64 = 0</formula>
    </cfRule>
    <cfRule type="expression" dxfId="2612" priority="123">
      <formula>$N$64 &lt; 0</formula>
    </cfRule>
  </conditionalFormatting>
  <conditionalFormatting sqref="A71:C90 M71:O90">
    <cfRule type="expression" dxfId="2611" priority="109">
      <formula>AND($N71 &gt; 0, ISNUMBER($N71))</formula>
    </cfRule>
    <cfRule type="expression" dxfId="2610" priority="110">
      <formula>AND($N71 = 0 * ISNUMBER($N71))</formula>
    </cfRule>
    <cfRule type="expression" dxfId="2609" priority="111">
      <formula>AND($N71 &lt; 0, ISNUMBER($N71))</formula>
    </cfRule>
  </conditionalFormatting>
  <conditionalFormatting sqref="A71:F90">
    <cfRule type="expression" dxfId="2608" priority="118">
      <formula>AND($E71 &gt; 0, ISNUMBER($E71))</formula>
    </cfRule>
    <cfRule type="expression" dxfId="2607" priority="119">
      <formula>AND($E71 = 0 * ISNUMBER($E71))</formula>
    </cfRule>
    <cfRule type="expression" dxfId="2606" priority="120">
      <formula>AND($E71 &lt; 0, ISNUMBER($E71))</formula>
    </cfRule>
  </conditionalFormatting>
  <conditionalFormatting sqref="A71:C90 G71:I90">
    <cfRule type="expression" dxfId="2605" priority="115">
      <formula>AND($H71 &gt; 0, ISNUMBER($H71))</formula>
    </cfRule>
    <cfRule type="expression" dxfId="2604" priority="116">
      <formula>AND($H71 = 0 * ISNUMBER($H71))</formula>
    </cfRule>
    <cfRule type="expression" dxfId="2603" priority="117">
      <formula>AND($H71 &lt; 0, ISNUMBER($H71))</formula>
    </cfRule>
  </conditionalFormatting>
  <conditionalFormatting sqref="A71:C90 J71:L90">
    <cfRule type="expression" dxfId="2602" priority="112">
      <formula>AND($K71 &gt; 0, ISNUMBER($K71))</formula>
    </cfRule>
    <cfRule type="expression" dxfId="2601" priority="113">
      <formula>AND($K71 = 0 * ISNUMBER($K71))</formula>
    </cfRule>
    <cfRule type="expression" dxfId="2600" priority="114">
      <formula>AND($K71 &lt; 0, ISNUMBER($K71))</formula>
    </cfRule>
  </conditionalFormatting>
  <conditionalFormatting sqref="D69:F70 E91:F91">
    <cfRule type="expression" dxfId="2599" priority="106">
      <formula>$E$91 &gt; 0</formula>
    </cfRule>
    <cfRule type="expression" dxfId="2598" priority="107">
      <formula>$E$91 = 0</formula>
    </cfRule>
    <cfRule type="expression" dxfId="2597" priority="108">
      <formula>$E$91 &lt; 0</formula>
    </cfRule>
  </conditionalFormatting>
  <conditionalFormatting sqref="G69:I70 H91:I91">
    <cfRule type="expression" dxfId="2596" priority="103">
      <formula>$H$91 &gt; 0</formula>
    </cfRule>
    <cfRule type="expression" dxfId="2595" priority="104">
      <formula>$H$91 = 0</formula>
    </cfRule>
    <cfRule type="expression" dxfId="2594" priority="105">
      <formula>$H$91 &lt; 0</formula>
    </cfRule>
  </conditionalFormatting>
  <conditionalFormatting sqref="J69:L70 K91:L91">
    <cfRule type="expression" dxfId="2593" priority="100">
      <formula>$K$91 &gt; 0</formula>
    </cfRule>
    <cfRule type="expression" dxfId="2592" priority="101">
      <formula>$K$91 = 0</formula>
    </cfRule>
    <cfRule type="expression" dxfId="2591" priority="102">
      <formula>$K$91 &lt; 0</formula>
    </cfRule>
  </conditionalFormatting>
  <conditionalFormatting sqref="M69:O70 N91:O91">
    <cfRule type="expression" dxfId="2590" priority="97">
      <formula>$N$91 &gt; 0</formula>
    </cfRule>
    <cfRule type="expression" dxfId="2589" priority="98">
      <formula>$N$91 = 0</formula>
    </cfRule>
    <cfRule type="expression" dxfId="2588" priority="99">
      <formula>$N$91 &lt; 0</formula>
    </cfRule>
  </conditionalFormatting>
  <conditionalFormatting sqref="A98:C117 M98:O117">
    <cfRule type="expression" dxfId="2587" priority="85">
      <formula>AND($N98 &gt; 0, ISNUMBER($N98))</formula>
    </cfRule>
    <cfRule type="expression" dxfId="2586" priority="86">
      <formula>AND($N98 = 0 * ISNUMBER($N98))</formula>
    </cfRule>
    <cfRule type="expression" dxfId="2585" priority="87">
      <formula>AND($N98 &lt; 0, ISNUMBER($N98))</formula>
    </cfRule>
  </conditionalFormatting>
  <conditionalFormatting sqref="A98:F117">
    <cfRule type="expression" dxfId="2584" priority="94">
      <formula>AND($E98 &gt; 0, ISNUMBER($E98))</formula>
    </cfRule>
    <cfRule type="expression" dxfId="2583" priority="95">
      <formula>AND($E98 = 0 * ISNUMBER($E98))</formula>
    </cfRule>
    <cfRule type="expression" dxfId="2582" priority="96">
      <formula>AND($E98 &lt; 0, ISNUMBER($E98))</formula>
    </cfRule>
  </conditionalFormatting>
  <conditionalFormatting sqref="A98:C117 G98:I117">
    <cfRule type="expression" dxfId="2581" priority="91">
      <formula>AND($H98 &gt; 0, ISNUMBER($H98))</formula>
    </cfRule>
    <cfRule type="expression" dxfId="2580" priority="92">
      <formula>AND($H98 = 0 * ISNUMBER($H98))</formula>
    </cfRule>
    <cfRule type="expression" dxfId="2579" priority="93">
      <formula>AND($H98 &lt; 0, ISNUMBER($H98))</formula>
    </cfRule>
  </conditionalFormatting>
  <conditionalFormatting sqref="A98:C117 J98:L117">
    <cfRule type="expression" dxfId="2578" priority="88">
      <formula>AND($K98 &gt; 0, ISNUMBER($K98))</formula>
    </cfRule>
    <cfRule type="expression" dxfId="2577" priority="89">
      <formula>AND($K98 = 0 * ISNUMBER($K98))</formula>
    </cfRule>
    <cfRule type="expression" dxfId="2576" priority="90">
      <formula>AND($K98 &lt; 0, ISNUMBER($K98))</formula>
    </cfRule>
  </conditionalFormatting>
  <conditionalFormatting sqref="D96:F97 E118:F118">
    <cfRule type="expression" dxfId="2575" priority="82">
      <formula>$E$118 &gt; 0</formula>
    </cfRule>
    <cfRule type="expression" dxfId="2574" priority="83">
      <formula>$E$118 = 0</formula>
    </cfRule>
    <cfRule type="expression" dxfId="2573" priority="84">
      <formula>$E$118 &lt; 0</formula>
    </cfRule>
  </conditionalFormatting>
  <conditionalFormatting sqref="G96:I97 H118:I118">
    <cfRule type="expression" dxfId="2572" priority="79">
      <formula>$H$118 &gt; 0</formula>
    </cfRule>
    <cfRule type="expression" dxfId="2571" priority="80">
      <formula>$H$118 = 0</formula>
    </cfRule>
    <cfRule type="expression" dxfId="2570" priority="81">
      <formula>$H$118 &lt; 0</formula>
    </cfRule>
  </conditionalFormatting>
  <conditionalFormatting sqref="J96:L97 K118:L118">
    <cfRule type="expression" dxfId="2569" priority="76">
      <formula>$K$118 &gt; 0</formula>
    </cfRule>
    <cfRule type="expression" dxfId="2568" priority="77">
      <formula>$K$118 = 0</formula>
    </cfRule>
    <cfRule type="expression" dxfId="2567" priority="78">
      <formula>$K$118 &lt; 0</formula>
    </cfRule>
  </conditionalFormatting>
  <conditionalFormatting sqref="M96:O97 N118:O118">
    <cfRule type="expression" dxfId="2566" priority="73">
      <formula>$N$118 &gt; 0</formula>
    </cfRule>
    <cfRule type="expression" dxfId="2565" priority="74">
      <formula>$N$118 = 0</formula>
    </cfRule>
    <cfRule type="expression" dxfId="2564" priority="75">
      <formula>$N$118 &lt; 0</formula>
    </cfRule>
  </conditionalFormatting>
  <conditionalFormatting sqref="A125:C144 M125:O144">
    <cfRule type="expression" dxfId="2563" priority="61">
      <formula>AND($N125 &gt; 0, ISNUMBER($N125))</formula>
    </cfRule>
    <cfRule type="expression" dxfId="2562" priority="62">
      <formula>AND($N125 = 0 * ISNUMBER($N125))</formula>
    </cfRule>
    <cfRule type="expression" dxfId="2561" priority="63">
      <formula>AND($N125 &lt; 0, ISNUMBER($N125))</formula>
    </cfRule>
  </conditionalFormatting>
  <conditionalFormatting sqref="A125:F144">
    <cfRule type="expression" dxfId="2560" priority="70">
      <formula>AND($E125 &gt; 0, ISNUMBER($E125))</formula>
    </cfRule>
    <cfRule type="expression" dxfId="2559" priority="71">
      <formula>AND($E125 = 0 * ISNUMBER($E125))</formula>
    </cfRule>
    <cfRule type="expression" dxfId="2558" priority="72">
      <formula>AND($E125 &lt; 0, ISNUMBER($E125))</formula>
    </cfRule>
  </conditionalFormatting>
  <conditionalFormatting sqref="A125:C144 G125:I144">
    <cfRule type="expression" dxfId="2557" priority="67">
      <formula>AND($H125 &gt; 0, ISNUMBER($H125))</formula>
    </cfRule>
    <cfRule type="expression" dxfId="2556" priority="68">
      <formula>AND($H125 = 0 * ISNUMBER($H125))</formula>
    </cfRule>
    <cfRule type="expression" dxfId="2555" priority="69">
      <formula>AND($H125 &lt; 0, ISNUMBER($H125))</formula>
    </cfRule>
  </conditionalFormatting>
  <conditionalFormatting sqref="A125:C144 J125:L144">
    <cfRule type="expression" dxfId="2554" priority="64">
      <formula>AND($K125 &gt; 0, ISNUMBER($K125))</formula>
    </cfRule>
    <cfRule type="expression" dxfId="2553" priority="65">
      <formula>AND($K125 = 0 * ISNUMBER($K125))</formula>
    </cfRule>
    <cfRule type="expression" dxfId="2552" priority="66">
      <formula>AND($K125 &lt; 0, ISNUMBER($K125))</formula>
    </cfRule>
  </conditionalFormatting>
  <conditionalFormatting sqref="D123:F124 E145:F145">
    <cfRule type="expression" dxfId="2551" priority="58">
      <formula>$E$145 &gt; 0</formula>
    </cfRule>
    <cfRule type="expression" dxfId="2550" priority="59">
      <formula>$E$145 = 0</formula>
    </cfRule>
    <cfRule type="expression" dxfId="2549" priority="60">
      <formula>$E$145 &lt; 0</formula>
    </cfRule>
  </conditionalFormatting>
  <conditionalFormatting sqref="G123:I124 H145:I145">
    <cfRule type="expression" dxfId="2548" priority="55">
      <formula>$H$145 &gt; 0</formula>
    </cfRule>
    <cfRule type="expression" dxfId="2547" priority="56">
      <formula>$H$145 = 0</formula>
    </cfRule>
    <cfRule type="expression" dxfId="2546" priority="57">
      <formula>$H$145 &lt; 0</formula>
    </cfRule>
  </conditionalFormatting>
  <conditionalFormatting sqref="J123:L124 K145:L145">
    <cfRule type="expression" dxfId="2545" priority="52">
      <formula>$K$145 &gt; 0</formula>
    </cfRule>
    <cfRule type="expression" dxfId="2544" priority="53">
      <formula>$K$145 = 0</formula>
    </cfRule>
    <cfRule type="expression" dxfId="2543" priority="54">
      <formula>$K$145 &lt; 0</formula>
    </cfRule>
  </conditionalFormatting>
  <conditionalFormatting sqref="M123:O124 N145:O145">
    <cfRule type="expression" dxfId="2542" priority="49">
      <formula>$N$145 &gt; 0</formula>
    </cfRule>
    <cfRule type="expression" dxfId="2541" priority="50">
      <formula>$N$145 = 0</formula>
    </cfRule>
    <cfRule type="expression" dxfId="2540" priority="51">
      <formula>$N$145 &lt; 0</formula>
    </cfRule>
  </conditionalFormatting>
  <conditionalFormatting sqref="A152:C171 M152:O171">
    <cfRule type="expression" dxfId="2539" priority="37">
      <formula>AND($N152 &gt; 0, ISNUMBER($N152))</formula>
    </cfRule>
    <cfRule type="expression" dxfId="2538" priority="38">
      <formula>AND($N152 = 0 * ISNUMBER($N152))</formula>
    </cfRule>
    <cfRule type="expression" dxfId="2537" priority="39">
      <formula>AND($N152 &lt; 0, ISNUMBER($N152))</formula>
    </cfRule>
  </conditionalFormatting>
  <conditionalFormatting sqref="A152:F171">
    <cfRule type="expression" dxfId="2536" priority="46">
      <formula>AND($E152 &gt; 0, ISNUMBER($E152))</formula>
    </cfRule>
    <cfRule type="expression" dxfId="2535" priority="47">
      <formula>AND($E152 = 0 * ISNUMBER($E152))</formula>
    </cfRule>
    <cfRule type="expression" dxfId="2534" priority="48">
      <formula>AND($E152 &lt; 0, ISNUMBER($E152))</formula>
    </cfRule>
  </conditionalFormatting>
  <conditionalFormatting sqref="A152:C171 G152:I171">
    <cfRule type="expression" dxfId="2533" priority="43">
      <formula>AND($H152 &gt; 0, ISNUMBER($H152))</formula>
    </cfRule>
    <cfRule type="expression" dxfId="2532" priority="44">
      <formula>AND($H152 = 0 * ISNUMBER($H152))</formula>
    </cfRule>
    <cfRule type="expression" dxfId="2531" priority="45">
      <formula>AND($H152 &lt; 0, ISNUMBER($H152))</formula>
    </cfRule>
  </conditionalFormatting>
  <conditionalFormatting sqref="A152:C171 J152:L171">
    <cfRule type="expression" dxfId="2530" priority="40">
      <formula>AND($K152 &gt; 0, ISNUMBER($K152))</formula>
    </cfRule>
    <cfRule type="expression" dxfId="2529" priority="41">
      <formula>AND($K152 = 0 * ISNUMBER($K152))</formula>
    </cfRule>
    <cfRule type="expression" dxfId="2528" priority="42">
      <formula>AND($K152 &lt; 0, ISNUMBER($K152))</formula>
    </cfRule>
  </conditionalFormatting>
  <conditionalFormatting sqref="D150:F151 E172:F172">
    <cfRule type="expression" dxfId="2527" priority="34">
      <formula>$E$172 &gt; 0</formula>
    </cfRule>
    <cfRule type="expression" dxfId="2526" priority="35">
      <formula>$E$172 = 0</formula>
    </cfRule>
    <cfRule type="expression" dxfId="2525" priority="36">
      <formula>$E$172 &lt; 0</formula>
    </cfRule>
  </conditionalFormatting>
  <conditionalFormatting sqref="G150:I151 H172:I172">
    <cfRule type="expression" dxfId="2524" priority="31">
      <formula>$H$172 &gt; 0</formula>
    </cfRule>
    <cfRule type="expression" dxfId="2523" priority="32">
      <formula>$H$172 = 0</formula>
    </cfRule>
    <cfRule type="expression" dxfId="2522" priority="33">
      <formula>$H$172 &lt; 0</formula>
    </cfRule>
  </conditionalFormatting>
  <conditionalFormatting sqref="J150:L151 K172:L172">
    <cfRule type="expression" dxfId="2521" priority="28">
      <formula>$K$172 &gt; 0</formula>
    </cfRule>
    <cfRule type="expression" dxfId="2520" priority="29">
      <formula>$K$172 = 0</formula>
    </cfRule>
    <cfRule type="expression" dxfId="2519" priority="30">
      <formula>$K$172 &lt; 0</formula>
    </cfRule>
  </conditionalFormatting>
  <conditionalFormatting sqref="M150:O151 N172:O172">
    <cfRule type="expression" dxfId="2518" priority="25">
      <formula>$N$172 &gt; 0</formula>
    </cfRule>
    <cfRule type="expression" dxfId="2517" priority="26">
      <formula>$N$172 = 0</formula>
    </cfRule>
    <cfRule type="expression" dxfId="2516" priority="27">
      <formula>$N$172 &lt; 0</formula>
    </cfRule>
  </conditionalFormatting>
  <conditionalFormatting sqref="A179:C198 M179:O198">
    <cfRule type="expression" dxfId="2515" priority="13">
      <formula>AND($N179 &gt; 0, ISNUMBER($N179))</formula>
    </cfRule>
    <cfRule type="expression" dxfId="2514" priority="14">
      <formula>AND($N179 = 0 * ISNUMBER($N179))</formula>
    </cfRule>
    <cfRule type="expression" dxfId="2513" priority="15">
      <formula>AND($N179 &lt; 0, ISNUMBER($N179))</formula>
    </cfRule>
  </conditionalFormatting>
  <conditionalFormatting sqref="A179:F198">
    <cfRule type="expression" dxfId="2512" priority="22">
      <formula>AND($E179 &gt; 0, ISNUMBER($E179))</formula>
    </cfRule>
    <cfRule type="expression" dxfId="2511" priority="23">
      <formula>AND($E179 = 0 * ISNUMBER($E179))</formula>
    </cfRule>
    <cfRule type="expression" dxfId="2510" priority="24">
      <formula>AND($E179 &lt; 0, ISNUMBER($E179))</formula>
    </cfRule>
  </conditionalFormatting>
  <conditionalFormatting sqref="A179:C198 G179:I198">
    <cfRule type="expression" dxfId="2509" priority="19">
      <formula>AND($H179 &gt; 0, ISNUMBER($H179))</formula>
    </cfRule>
    <cfRule type="expression" dxfId="2508" priority="20">
      <formula>AND($H179 = 0 * ISNUMBER($H179))</formula>
    </cfRule>
    <cfRule type="expression" dxfId="2507" priority="21">
      <formula>AND($H179 &lt; 0, ISNUMBER($H179))</formula>
    </cfRule>
  </conditionalFormatting>
  <conditionalFormatting sqref="A179:C198 J179:L198">
    <cfRule type="expression" dxfId="2506" priority="16">
      <formula>AND($K179 &gt; 0, ISNUMBER($K179))</formula>
    </cfRule>
    <cfRule type="expression" dxfId="2505" priority="17">
      <formula>AND($K179 = 0 * ISNUMBER($K179))</formula>
    </cfRule>
    <cfRule type="expression" dxfId="2504" priority="18">
      <formula>AND($K179 &lt; 0, ISNUMBER($K179))</formula>
    </cfRule>
  </conditionalFormatting>
  <conditionalFormatting sqref="D177:F178 E199:F199">
    <cfRule type="expression" dxfId="2503" priority="10">
      <formula>$E$199 &gt; 0</formula>
    </cfRule>
    <cfRule type="expression" dxfId="2502" priority="11">
      <formula>$E$199 = 0</formula>
    </cfRule>
    <cfRule type="expression" dxfId="2501" priority="12">
      <formula>$E$199 &lt; 0</formula>
    </cfRule>
  </conditionalFormatting>
  <conditionalFormatting sqref="G177:I178 H199:I199">
    <cfRule type="expression" dxfId="2500" priority="7">
      <formula>$H$199 &gt; 0</formula>
    </cfRule>
    <cfRule type="expression" dxfId="2499" priority="8">
      <formula>$H$199 = 0</formula>
    </cfRule>
    <cfRule type="expression" dxfId="2498" priority="9">
      <formula>$H$199 &lt; 0</formula>
    </cfRule>
  </conditionalFormatting>
  <conditionalFormatting sqref="J177:L178 K199:L199">
    <cfRule type="expression" dxfId="2497" priority="4">
      <formula>$K$199 &gt; 0</formula>
    </cfRule>
    <cfRule type="expression" dxfId="2496" priority="5">
      <formula>$K$199 = 0</formula>
    </cfRule>
    <cfRule type="expression" dxfId="2495" priority="6">
      <formula>$K$199 &lt; 0</formula>
    </cfRule>
  </conditionalFormatting>
  <conditionalFormatting sqref="M177:O178 N199:O199">
    <cfRule type="expression" dxfId="2494" priority="1">
      <formula>$N$199 &gt; 0</formula>
    </cfRule>
    <cfRule type="expression" dxfId="2493" priority="2">
      <formula>$N$199 = 0</formula>
    </cfRule>
    <cfRule type="expression" dxfId="24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4A760-79CC-4F07-B2C1-A8B202A1E683}">
  <sheetPr codeName="Sheet9"/>
  <dimension ref="A1:S199"/>
  <sheetViews>
    <sheetView topLeftCell="A9" zoomScaleNormal="100" workbookViewId="0">
      <selection activeCell="A17" sqref="A17:A2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6" t="s">
        <v>0</v>
      </c>
      <c r="B1" s="247"/>
      <c r="C1" s="247"/>
      <c r="D1" s="247"/>
      <c r="E1" s="247"/>
      <c r="F1" s="248"/>
      <c r="G1" s="277">
        <v>44350</v>
      </c>
      <c r="H1" s="278"/>
      <c r="I1" s="279"/>
      <c r="J1" s="246" t="s">
        <v>1</v>
      </c>
      <c r="K1" s="247"/>
      <c r="L1" s="247"/>
      <c r="M1" s="247"/>
      <c r="N1" s="247"/>
      <c r="O1" s="248"/>
      <c r="Q1" s="246" t="s">
        <v>2</v>
      </c>
      <c r="R1" s="248"/>
    </row>
    <row r="2" spans="1:19" ht="17.25" customHeight="1">
      <c r="A2" s="117" t="s">
        <v>3</v>
      </c>
      <c r="B2" s="280" t="s">
        <v>8</v>
      </c>
      <c r="C2" s="281"/>
      <c r="D2" s="281"/>
      <c r="E2" s="281"/>
      <c r="F2" s="282"/>
      <c r="G2" s="274" t="s">
        <v>46</v>
      </c>
      <c r="H2" s="275"/>
      <c r="I2" s="276"/>
      <c r="J2" s="1" t="s">
        <v>3</v>
      </c>
      <c r="K2" s="280" t="s">
        <v>350</v>
      </c>
      <c r="L2" s="281"/>
      <c r="M2" s="281"/>
      <c r="N2" s="281"/>
      <c r="O2" s="282"/>
      <c r="Q2" s="2" t="s">
        <v>6</v>
      </c>
      <c r="R2" s="3">
        <v>0.375</v>
      </c>
    </row>
    <row r="3" spans="1:19" ht="17.25" customHeight="1" thickBot="1">
      <c r="A3" s="118" t="s">
        <v>7</v>
      </c>
      <c r="B3" s="271" t="s">
        <v>358</v>
      </c>
      <c r="C3" s="272"/>
      <c r="D3" s="272"/>
      <c r="E3" s="272"/>
      <c r="F3" s="273"/>
      <c r="G3" s="26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54,493 KRW (2.72%)</v>
      </c>
      <c r="H3" s="268"/>
      <c r="I3" s="269"/>
      <c r="J3" s="4" t="s">
        <v>7</v>
      </c>
      <c r="K3" s="271" t="s">
        <v>351</v>
      </c>
      <c r="L3" s="272"/>
      <c r="M3" s="272"/>
      <c r="N3" s="272"/>
      <c r="O3" s="27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1" t="s">
        <v>16</v>
      </c>
      <c r="C4" s="272"/>
      <c r="D4" s="272"/>
      <c r="E4" s="272"/>
      <c r="F4" s="273"/>
      <c r="G4" s="274" t="s">
        <v>44</v>
      </c>
      <c r="H4" s="275"/>
      <c r="I4" s="276"/>
      <c r="J4" s="4" t="s">
        <v>11</v>
      </c>
      <c r="K4" s="271" t="s">
        <v>352</v>
      </c>
      <c r="L4" s="272"/>
      <c r="M4" s="272"/>
      <c r="N4" s="272"/>
      <c r="O4" s="27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1" t="s">
        <v>349</v>
      </c>
      <c r="C5" s="272"/>
      <c r="D5" s="272"/>
      <c r="E5" s="272"/>
      <c r="F5" s="273"/>
      <c r="G5" s="26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36,359 KRW (1.82%)</v>
      </c>
      <c r="H5" s="268"/>
      <c r="I5" s="269"/>
      <c r="J5" s="4" t="s">
        <v>15</v>
      </c>
      <c r="K5" s="271" t="s">
        <v>353</v>
      </c>
      <c r="L5" s="272"/>
      <c r="M5" s="272"/>
      <c r="N5" s="272"/>
      <c r="O5" s="273"/>
    </row>
    <row r="6" spans="1:19">
      <c r="A6" s="118" t="s">
        <v>18</v>
      </c>
      <c r="B6" s="271"/>
      <c r="C6" s="272"/>
      <c r="D6" s="272"/>
      <c r="E6" s="272"/>
      <c r="F6" s="273"/>
      <c r="G6" s="274" t="s">
        <v>45</v>
      </c>
      <c r="H6" s="275"/>
      <c r="I6" s="276"/>
      <c r="J6" s="4" t="s">
        <v>18</v>
      </c>
      <c r="K6" s="271" t="s">
        <v>354</v>
      </c>
      <c r="L6" s="272"/>
      <c r="M6" s="272"/>
      <c r="N6" s="272"/>
      <c r="O6" s="273"/>
    </row>
    <row r="7" spans="1:19" ht="17.25" thickBot="1">
      <c r="A7" s="118" t="s">
        <v>21</v>
      </c>
      <c r="B7" s="271"/>
      <c r="C7" s="272"/>
      <c r="D7" s="272"/>
      <c r="E7" s="272"/>
      <c r="F7" s="273"/>
      <c r="G7" s="26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55,096 KRW (2.75%)</v>
      </c>
      <c r="H7" s="268"/>
      <c r="I7" s="269"/>
      <c r="J7" s="4" t="s">
        <v>21</v>
      </c>
      <c r="K7" s="271" t="s">
        <v>355</v>
      </c>
      <c r="L7" s="272"/>
      <c r="M7" s="272"/>
      <c r="N7" s="272"/>
      <c r="O7" s="273"/>
    </row>
    <row r="8" spans="1:19" ht="17.25" thickBot="1">
      <c r="A8" s="118" t="s">
        <v>24</v>
      </c>
      <c r="B8" s="271"/>
      <c r="C8" s="272"/>
      <c r="D8" s="272"/>
      <c r="E8" s="272"/>
      <c r="F8" s="273"/>
      <c r="G8" s="274" t="s">
        <v>285</v>
      </c>
      <c r="H8" s="275"/>
      <c r="I8" s="276"/>
      <c r="J8" s="4" t="s">
        <v>24</v>
      </c>
      <c r="K8" s="271"/>
      <c r="L8" s="272"/>
      <c r="M8" s="272"/>
      <c r="N8" s="272"/>
      <c r="O8" s="273"/>
      <c r="Q8" s="246" t="s">
        <v>27</v>
      </c>
      <c r="R8" s="248"/>
    </row>
    <row r="9" spans="1:19" ht="17.25" thickBot="1">
      <c r="A9" s="118" t="s">
        <v>28</v>
      </c>
      <c r="B9" s="271"/>
      <c r="C9" s="272"/>
      <c r="D9" s="272"/>
      <c r="E9" s="272"/>
      <c r="F9" s="273"/>
      <c r="G9" s="26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58,240 KRW (2.91%)</v>
      </c>
      <c r="H9" s="268"/>
      <c r="I9" s="269"/>
      <c r="J9" s="4" t="s">
        <v>28</v>
      </c>
      <c r="K9" s="271"/>
      <c r="L9" s="272"/>
      <c r="M9" s="272"/>
      <c r="N9" s="272"/>
      <c r="O9" s="273"/>
      <c r="Q9" s="2" t="s">
        <v>29</v>
      </c>
      <c r="R9" s="6">
        <v>10</v>
      </c>
    </row>
    <row r="10" spans="1:19">
      <c r="A10" s="118" t="s">
        <v>30</v>
      </c>
      <c r="B10" s="271"/>
      <c r="C10" s="272"/>
      <c r="D10" s="272"/>
      <c r="E10" s="272"/>
      <c r="F10" s="273"/>
      <c r="G10" s="274" t="s">
        <v>47</v>
      </c>
      <c r="H10" s="275"/>
      <c r="I10" s="276"/>
      <c r="J10" s="4" t="s">
        <v>30</v>
      </c>
      <c r="K10" s="271" t="s">
        <v>356</v>
      </c>
      <c r="L10" s="272"/>
      <c r="M10" s="272"/>
      <c r="N10" s="272"/>
      <c r="O10" s="273"/>
      <c r="Q10" s="2" t="s">
        <v>31</v>
      </c>
      <c r="R10" s="6">
        <v>100</v>
      </c>
    </row>
    <row r="11" spans="1:19" ht="17.25" thickBot="1">
      <c r="A11" s="119" t="s">
        <v>32</v>
      </c>
      <c r="B11" s="264" t="s">
        <v>357</v>
      </c>
      <c r="C11" s="265"/>
      <c r="D11" s="265"/>
      <c r="E11" s="265"/>
      <c r="F11" s="266"/>
      <c r="G11" s="26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64,152 KRW (4.01%)</v>
      </c>
      <c r="H11" s="268"/>
      <c r="I11" s="269"/>
      <c r="J11" s="7" t="s">
        <v>32</v>
      </c>
      <c r="K11" s="264" t="s">
        <v>348</v>
      </c>
      <c r="L11" s="265"/>
      <c r="M11" s="265"/>
      <c r="N11" s="265"/>
      <c r="O11" s="266"/>
      <c r="Q11" s="65" t="s">
        <v>33</v>
      </c>
      <c r="R11" s="8">
        <v>1000</v>
      </c>
    </row>
    <row r="12" spans="1:19" ht="17.25" thickBot="1"/>
    <row r="13" spans="1:19" ht="17.25" customHeight="1" thickBot="1">
      <c r="A13" s="246" t="s">
        <v>34</v>
      </c>
      <c r="B13" s="247"/>
      <c r="C13" s="247"/>
      <c r="D13" s="247"/>
      <c r="E13" s="247"/>
      <c r="F13" s="247"/>
      <c r="G13" s="247"/>
      <c r="H13" s="247"/>
      <c r="I13" s="247"/>
      <c r="J13" s="247"/>
      <c r="K13" s="247"/>
      <c r="L13" s="247"/>
      <c r="M13" s="247"/>
      <c r="N13" s="247"/>
      <c r="O13" s="248"/>
      <c r="Q13" s="245"/>
      <c r="R13" s="245"/>
      <c r="S13" s="245"/>
    </row>
    <row r="14" spans="1:19" ht="17.25" customHeight="1" thickBot="1">
      <c r="A14" s="168" t="s">
        <v>35</v>
      </c>
      <c r="B14" s="246" t="s">
        <v>36</v>
      </c>
      <c r="C14" s="248"/>
      <c r="D14" s="246" t="s">
        <v>37</v>
      </c>
      <c r="E14" s="247"/>
      <c r="F14" s="248"/>
      <c r="G14" s="249">
        <f>_xlfn.IFNA(VLOOKUP(B14, 현재가테이블!$B$2:$D$200, 2, FALSE), "-")</f>
        <v>45335000</v>
      </c>
      <c r="H14" s="250"/>
      <c r="I14" s="251"/>
      <c r="J14" s="246" t="s">
        <v>38</v>
      </c>
      <c r="K14" s="247"/>
      <c r="L14" s="248"/>
      <c r="M14" s="252">
        <f>_xlfn.IFNA(VLOOKUP(B14, 현재가테이블!$B$2:$D$200, 3, FALSE), "-")</f>
        <v>-2.27209037E-2</v>
      </c>
      <c r="N14" s="253"/>
      <c r="O14" s="254"/>
      <c r="Q14" s="245"/>
      <c r="R14" s="245"/>
      <c r="S14" s="245"/>
    </row>
    <row r="15" spans="1:19" ht="17.25" customHeight="1" thickBot="1">
      <c r="A15" s="283" t="s">
        <v>39</v>
      </c>
      <c r="B15" s="284" t="str">
        <f>TEXT($G$1, "[$-ko-KR]yyyy-mm-dd(ddd) ") &amp; "오전 00:00"</f>
        <v>2021-06-03(목) 오전 00:00</v>
      </c>
      <c r="C15" s="285"/>
      <c r="D15" s="259" t="str">
        <f>TEXT($G$1, "[$-ko-KR]yyyy-mm-dd(ddd) ") &amp; "오후 14:00"</f>
        <v>2021-06-03(목) 오후 14:00</v>
      </c>
      <c r="E15" s="260"/>
      <c r="F15" s="261"/>
      <c r="G15" s="259" t="str">
        <f>TEXT($G$1, "[$-ko-KR]yyyy-mm-dd(ddd) ") &amp; "오후 19:00"</f>
        <v>2021-06-03(목) 오후 19:00</v>
      </c>
      <c r="H15" s="260"/>
      <c r="I15" s="261"/>
      <c r="J15" s="259" t="str">
        <f>TEXT($G$1, "[$-ko-KR]yyyy-mm-dd(ddd) ") &amp; "오후 21:00"</f>
        <v>2021-06-03(목) 오후 21:00</v>
      </c>
      <c r="K15" s="260"/>
      <c r="L15" s="261"/>
      <c r="M15" s="259" t="str">
        <f>TEXT($G$1+1, "[$-ko-KR]yyyy-mm-dd(ddd) ") &amp; "오전 00:00"</f>
        <v>2021-06-04(금) 오전 00:00</v>
      </c>
      <c r="N15" s="260"/>
      <c r="O15" s="261"/>
      <c r="Q15" s="245"/>
      <c r="R15" s="245"/>
      <c r="S15" s="245"/>
    </row>
    <row r="16" spans="1:19" ht="17.25" customHeight="1" thickBot="1">
      <c r="A16" s="28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9" t="s">
        <v>37</v>
      </c>
      <c r="H16" s="170" t="s">
        <v>40</v>
      </c>
      <c r="I16" s="17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5"/>
      <c r="R16" s="235"/>
      <c r="S16" s="235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95.7</v>
      </c>
      <c r="C17" s="76">
        <f>IF(NOT(ISBLANK(_xlfn.IFNA(VLOOKUP($A17, $A$40:$O$199, 3, FALSE), ))), _xlfn.IFNA(VLOOKUP($A17, $A$40:$O$199, 3, FALSE), ), "")</f>
        <v>7.3684210999999996E-3</v>
      </c>
      <c r="D17" s="13">
        <f>IF(NOT(ISBLANK(_xlfn.IFNA(VLOOKUP($A17, $A$40:$O$199, 4, FALSE), ))), _xlfn.IFNA(VLOOKUP($A17, $A$40:$O$199, 4, FALSE), ), "")</f>
        <v>96.8</v>
      </c>
      <c r="E17" s="14">
        <f>IF(NOT(ISBLANK(_xlfn.IFNA(VLOOKUP($A17, $A$40:$O$199, 5, FALSE), ))), _xlfn.IFNA(VLOOKUP($A17, $A$40:$O$199, 5, FALSE), ), "")</f>
        <v>1.1494252873563159E-2</v>
      </c>
      <c r="F17" s="16">
        <f>IF(NOT(ISBLANK(_xlfn.IFNA(VLOOKUP($A17, $A$40:$O$199, 6, FALSE), ))), _xlfn.IFNA(VLOOKUP($A17, $A$40:$O$199, 6, FALSE), ), "")</f>
        <v>1149.4252873563159</v>
      </c>
      <c r="G17" s="29">
        <f>IF(NOT(ISBLANK(_xlfn.IFNA(VLOOKUP($A17, $A$40:$O$199, 7, FALSE), ))), _xlfn.IFNA(VLOOKUP($A17, $A$40:$O$199, 7, FALSE), ), "")</f>
        <v>98.2</v>
      </c>
      <c r="H17" s="14">
        <f>IF(NOT(ISBLANK(_xlfn.IFNA(VLOOKUP($A17, $A$40:$O$199, 8, FALSE), ))), _xlfn.IFNA(VLOOKUP($A17, $A$40:$O$199, 8, FALSE), ), "")</f>
        <v>2.612330198537095E-2</v>
      </c>
      <c r="I17" s="100">
        <f>IF(NOT(ISBLANK(_xlfn.IFNA(VLOOKUP($A17, $A$40:$O$199, 9, FALSE), ))), _xlfn.IFNA(VLOOKUP($A17, $A$40:$O$199, 9, FALSE), ), "")</f>
        <v>2612.3301985370949</v>
      </c>
      <c r="J17" s="13">
        <f>IF(NOT(ISBLANK(_xlfn.IFNA(VLOOKUP($A17, $A$40:$O$199, 10, FALSE), ))), _xlfn.IFNA(VLOOKUP($A17, $A$40:$O$199, 10, FALSE), ), "")</f>
        <v>96.9</v>
      </c>
      <c r="K17" s="14">
        <f>IF(NOT(ISBLANK(_xlfn.IFNA(VLOOKUP($A17, $A$40:$O$199, 11, FALSE), ))), _xlfn.IFNA(VLOOKUP($A17, $A$40:$O$199, 11, FALSE), ), "")</f>
        <v>1.2539184952978085E-2</v>
      </c>
      <c r="L17" s="16">
        <f>IF(NOT(ISBLANK(_xlfn.IFNA(VLOOKUP($A17, $A$40:$O$199, 12, FALSE), ))), _xlfn.IFNA(VLOOKUP($A17, $A$40:$O$199, 12, FALSE), ), "")</f>
        <v>1253.9184952978085</v>
      </c>
      <c r="M17" s="29">
        <f>IF(NOT(ISBLANK(_xlfn.IFNA(VLOOKUP($A17, $A$40:$O$199, 13, FALSE), ))), _xlfn.IFNA(VLOOKUP($A17, $A$40:$O$199, 13, FALSE), ), "")</f>
        <v>97.6</v>
      </c>
      <c r="N17" s="14">
        <f>IF(NOT(ISBLANK(_xlfn.IFNA(VLOOKUP($A17, $A$40:$O$199, 14, FALSE), ))), _xlfn.IFNA(VLOOKUP($A17, $A$40:$O$199, 14, FALSE), ), "")</f>
        <v>1.9853709508881833E-2</v>
      </c>
      <c r="O17" s="16">
        <f>IF(NOT(ISBLANK(_xlfn.IFNA(VLOOKUP($A17, $A$40:$O$199, 15, FALSE), ))), _xlfn.IFNA(VLOOKUP($A17, $A$40:$O$199, 15, FALSE), ), "")</f>
        <v>1985.3709508881834</v>
      </c>
      <c r="Q17" s="245"/>
      <c r="R17" s="245"/>
      <c r="S17" s="245"/>
    </row>
    <row r="18" spans="1:19" ht="17.25" customHeight="1" thickBot="1">
      <c r="A18" s="162" t="s">
        <v>120</v>
      </c>
      <c r="B18" s="126">
        <f t="shared" ref="B18:B36" si="0">IF(NOT(ISBLANK(_xlfn.IFNA(VLOOKUP($A18, $A$40:$O$199, 2, FALSE), ))), _xlfn.IFNA(VLOOKUP($A18, $A$40:$O$199, 2, FALSE), ), "")</f>
        <v>148</v>
      </c>
      <c r="C18" s="77">
        <f t="shared" ref="C18:C36" si="1">IF(NOT(ISBLANK(_xlfn.IFNA(VLOOKUP($A18, $A$40:$O$199, 3, FALSE), ))), _xlfn.IFNA(VLOOKUP($A18, $A$40:$O$199, 3, FALSE), ), "")</f>
        <v>2.06896552E-2</v>
      </c>
      <c r="D18" s="15">
        <f t="shared" ref="D18:D36" si="2">IF(NOT(ISBLANK(_xlfn.IFNA(VLOOKUP($A18, $A$40:$O$199, 4, FALSE), ))), _xlfn.IFNA(VLOOKUP($A18, $A$40:$O$199, 4, FALSE), ), "")</f>
        <v>150</v>
      </c>
      <c r="E18" s="32">
        <f t="shared" ref="E18:E36" si="3">IF(NOT(ISBLANK(_xlfn.IFNA(VLOOKUP($A18, $A$40:$O$199, 5, FALSE), ))), _xlfn.IFNA(VLOOKUP($A18, $A$40:$O$199, 5, FALSE), ), "")</f>
        <v>1.3513513513513514E-2</v>
      </c>
      <c r="F18" s="18">
        <f t="shared" ref="F18:F36" si="4">IF(NOT(ISBLANK(_xlfn.IFNA(VLOOKUP($A18, $A$40:$O$199, 6, FALSE), ))), _xlfn.IFNA(VLOOKUP($A18, $A$40:$O$199, 6, FALSE), ), "")</f>
        <v>1351.3513513513515</v>
      </c>
      <c r="G18" s="31">
        <f t="shared" ref="G18:G36" si="5">IF(NOT(ISBLANK(_xlfn.IFNA(VLOOKUP($A18, $A$40:$O$199, 7, FALSE), ))), _xlfn.IFNA(VLOOKUP($A18, $A$40:$O$199, 7, FALSE), ), "")</f>
        <v>153</v>
      </c>
      <c r="H18" s="32">
        <f t="shared" ref="H18:H36" si="6">IF(NOT(ISBLANK(_xlfn.IFNA(VLOOKUP($A18, $A$40:$O$199, 8, FALSE), ))), _xlfn.IFNA(VLOOKUP($A18, $A$40:$O$199, 8, FALSE), ), "")</f>
        <v>3.3783783783783786E-2</v>
      </c>
      <c r="I18" s="101">
        <f t="shared" ref="I18:I36" si="7">IF(NOT(ISBLANK(_xlfn.IFNA(VLOOKUP($A18, $A$40:$O$199, 9, FALSE), ))), _xlfn.IFNA(VLOOKUP($A18, $A$40:$O$199, 9, FALSE), ), "")</f>
        <v>3378.3783783783788</v>
      </c>
      <c r="J18" s="15">
        <f t="shared" ref="J18:J36" si="8">IF(NOT(ISBLANK(_xlfn.IFNA(VLOOKUP($A18, $A$40:$O$199, 10, FALSE), ))), _xlfn.IFNA(VLOOKUP($A18, $A$40:$O$199, 10, FALSE), ), "")</f>
        <v>150</v>
      </c>
      <c r="K18" s="32">
        <f t="shared" ref="K18:K36" si="9">IF(NOT(ISBLANK(_xlfn.IFNA(VLOOKUP($A18, $A$40:$O$199, 11, FALSE), ))), _xlfn.IFNA(VLOOKUP($A18, $A$40:$O$199, 11, FALSE), ), "")</f>
        <v>1.3513513513513514E-2</v>
      </c>
      <c r="L18" s="18">
        <f t="shared" ref="L18:L36" si="10">IF(NOT(ISBLANK(_xlfn.IFNA(VLOOKUP($A18, $A$40:$O$199, 12, FALSE), ))), _xlfn.IFNA(VLOOKUP($A18, $A$40:$O$199, 12, FALSE), ), "")</f>
        <v>1351.3513513513515</v>
      </c>
      <c r="M18" s="31">
        <f t="shared" ref="M18:M36" si="11">IF(NOT(ISBLANK(_xlfn.IFNA(VLOOKUP($A18, $A$40:$O$199, 13, FALSE), ))), _xlfn.IFNA(VLOOKUP($A18, $A$40:$O$199, 13, FALSE), ), "")</f>
        <v>149</v>
      </c>
      <c r="N18" s="32">
        <f t="shared" ref="N18:N36" si="12">IF(NOT(ISBLANK(_xlfn.IFNA(VLOOKUP($A18, $A$40:$O$199, 14, FALSE), ))), _xlfn.IFNA(VLOOKUP($A18, $A$40:$O$199, 14, FALSE), ), "")</f>
        <v>6.7567567567567571E-3</v>
      </c>
      <c r="O18" s="18">
        <f t="shared" ref="O18:O36" si="13">IF(NOT(ISBLANK(_xlfn.IFNA(VLOOKUP($A18, $A$40:$O$199, 15, FALSE), ))), _xlfn.IFNA(VLOOKUP($A18, $A$40:$O$199, 15, FALSE), ), "")</f>
        <v>675.67567567567573</v>
      </c>
      <c r="Q18" s="245"/>
      <c r="R18" s="245"/>
      <c r="S18" s="245"/>
    </row>
    <row r="19" spans="1:19" ht="17.25" customHeight="1" thickBot="1">
      <c r="A19" s="162" t="s">
        <v>246</v>
      </c>
      <c r="B19" s="126">
        <f t="shared" si="0"/>
        <v>310</v>
      </c>
      <c r="C19" s="77">
        <f t="shared" si="1"/>
        <v>-9.5846644999999994E-3</v>
      </c>
      <c r="D19" s="15">
        <f t="shared" si="2"/>
        <v>310</v>
      </c>
      <c r="E19" s="32">
        <f t="shared" si="3"/>
        <v>0</v>
      </c>
      <c r="F19" s="18">
        <f t="shared" si="4"/>
        <v>0</v>
      </c>
      <c r="G19" s="31">
        <f t="shared" si="5"/>
        <v>316</v>
      </c>
      <c r="H19" s="32">
        <f t="shared" si="6"/>
        <v>1.935483870967742E-2</v>
      </c>
      <c r="I19" s="101">
        <f t="shared" si="7"/>
        <v>1935.483870967742</v>
      </c>
      <c r="J19" s="15">
        <f t="shared" si="8"/>
        <v>311</v>
      </c>
      <c r="K19" s="32">
        <f t="shared" si="9"/>
        <v>3.2258064516129032E-3</v>
      </c>
      <c r="L19" s="18">
        <f t="shared" si="10"/>
        <v>322.58064516129031</v>
      </c>
      <c r="M19" s="31">
        <f t="shared" si="11"/>
        <v>313</v>
      </c>
      <c r="N19" s="32">
        <f t="shared" si="12"/>
        <v>9.6774193548387101E-3</v>
      </c>
      <c r="O19" s="18">
        <f t="shared" si="13"/>
        <v>967.74193548387098</v>
      </c>
      <c r="Q19" s="235"/>
      <c r="R19" s="235"/>
      <c r="S19" s="235"/>
    </row>
    <row r="20" spans="1:19" ht="17.25" customHeight="1" thickBot="1">
      <c r="A20" s="162" t="s">
        <v>112</v>
      </c>
      <c r="B20" s="126">
        <f t="shared" si="0"/>
        <v>164</v>
      </c>
      <c r="C20" s="77">
        <f t="shared" si="1"/>
        <v>0</v>
      </c>
      <c r="D20" s="15">
        <f t="shared" si="2"/>
        <v>174</v>
      </c>
      <c r="E20" s="32">
        <f t="shared" si="3"/>
        <v>6.097560975609756E-2</v>
      </c>
      <c r="F20" s="18">
        <f t="shared" si="4"/>
        <v>6097.5609756097556</v>
      </c>
      <c r="G20" s="31">
        <f t="shared" si="5"/>
        <v>173</v>
      </c>
      <c r="H20" s="32">
        <f t="shared" si="6"/>
        <v>5.4878048780487805E-2</v>
      </c>
      <c r="I20" s="101">
        <f t="shared" si="7"/>
        <v>5487.8048780487807</v>
      </c>
      <c r="J20" s="15">
        <f t="shared" si="8"/>
        <v>193</v>
      </c>
      <c r="K20" s="32">
        <f t="shared" si="9"/>
        <v>0.17682926829268292</v>
      </c>
      <c r="L20" s="18">
        <f t="shared" si="10"/>
        <v>17682.92682926829</v>
      </c>
      <c r="M20" s="31">
        <f t="shared" si="11"/>
        <v>186</v>
      </c>
      <c r="N20" s="32">
        <f t="shared" si="12"/>
        <v>0.13414634146341464</v>
      </c>
      <c r="O20" s="18">
        <f t="shared" si="13"/>
        <v>13414.634146341465</v>
      </c>
      <c r="Q20" s="235"/>
      <c r="R20" s="235"/>
      <c r="S20" s="235"/>
    </row>
    <row r="21" spans="1:19" ht="17.25" customHeight="1" thickBot="1">
      <c r="A21" s="163" t="s">
        <v>202</v>
      </c>
      <c r="B21" s="128">
        <f t="shared" si="0"/>
        <v>124</v>
      </c>
      <c r="C21" s="78">
        <f t="shared" si="1"/>
        <v>3.3333333299999997E-2</v>
      </c>
      <c r="D21" s="20">
        <f t="shared" si="2"/>
        <v>130</v>
      </c>
      <c r="E21" s="21">
        <f t="shared" si="3"/>
        <v>4.8387096774193547E-2</v>
      </c>
      <c r="F21" s="22">
        <f t="shared" si="4"/>
        <v>4838.7096774193551</v>
      </c>
      <c r="G21" s="30">
        <f t="shared" si="5"/>
        <v>129</v>
      </c>
      <c r="H21" s="21">
        <f t="shared" si="6"/>
        <v>4.0322580645161289E-2</v>
      </c>
      <c r="I21" s="105">
        <f t="shared" si="7"/>
        <v>4032.2580645161288</v>
      </c>
      <c r="J21" s="20">
        <f t="shared" si="8"/>
        <v>130</v>
      </c>
      <c r="K21" s="21">
        <f t="shared" si="9"/>
        <v>4.8387096774193547E-2</v>
      </c>
      <c r="L21" s="22">
        <f t="shared" si="10"/>
        <v>4838.7096774193551</v>
      </c>
      <c r="M21" s="30">
        <f t="shared" si="11"/>
        <v>128</v>
      </c>
      <c r="N21" s="21">
        <f t="shared" si="12"/>
        <v>3.2258064516129031E-2</v>
      </c>
      <c r="O21" s="22">
        <f t="shared" si="13"/>
        <v>3225.8064516129029</v>
      </c>
      <c r="Q21" s="235"/>
      <c r="R21" s="235"/>
      <c r="S21" s="235"/>
    </row>
    <row r="22" spans="1:19" ht="17.25" customHeight="1" thickBot="1">
      <c r="A22" s="162" t="s">
        <v>212</v>
      </c>
      <c r="B22" s="129">
        <f t="shared" si="0"/>
        <v>79.7</v>
      </c>
      <c r="C22" s="80">
        <f t="shared" si="1"/>
        <v>8.8607595000000008E-3</v>
      </c>
      <c r="D22" s="106">
        <f t="shared" si="2"/>
        <v>80.599999999999994</v>
      </c>
      <c r="E22" s="107">
        <f t="shared" si="3"/>
        <v>1.1292346298619717E-2</v>
      </c>
      <c r="F22" s="108">
        <f t="shared" si="4"/>
        <v>1129.2346298619718</v>
      </c>
      <c r="G22" s="109">
        <f t="shared" si="5"/>
        <v>81.7</v>
      </c>
      <c r="H22" s="107">
        <f t="shared" si="6"/>
        <v>2.5094102885821833E-2</v>
      </c>
      <c r="I22" s="110">
        <f t="shared" si="7"/>
        <v>2509.4102885821831</v>
      </c>
      <c r="J22" s="106">
        <f t="shared" si="8"/>
        <v>80.3</v>
      </c>
      <c r="K22" s="107">
        <f t="shared" si="9"/>
        <v>7.5282308657464783E-3</v>
      </c>
      <c r="L22" s="108">
        <f t="shared" si="10"/>
        <v>752.82308657464785</v>
      </c>
      <c r="M22" s="109">
        <f t="shared" si="11"/>
        <v>80.5</v>
      </c>
      <c r="N22" s="107">
        <f t="shared" si="12"/>
        <v>1.0037641154328697E-2</v>
      </c>
      <c r="O22" s="108">
        <f t="shared" si="13"/>
        <v>1003.7641154328697</v>
      </c>
      <c r="Q22" s="235"/>
      <c r="R22" s="235"/>
      <c r="S22" s="235"/>
    </row>
    <row r="23" spans="1:19" ht="17.25" customHeight="1" thickBot="1">
      <c r="A23" s="162" t="s">
        <v>184</v>
      </c>
      <c r="B23" s="126">
        <f t="shared" si="0"/>
        <v>1505</v>
      </c>
      <c r="C23" s="77">
        <f t="shared" si="1"/>
        <v>8.6642599299999998E-2</v>
      </c>
      <c r="D23" s="15">
        <f t="shared" si="2"/>
        <v>1640</v>
      </c>
      <c r="E23" s="32">
        <f t="shared" si="3"/>
        <v>8.9700996677740868E-2</v>
      </c>
      <c r="F23" s="18">
        <f t="shared" si="4"/>
        <v>8970.0996677740877</v>
      </c>
      <c r="G23" s="31">
        <f t="shared" si="5"/>
        <v>1630</v>
      </c>
      <c r="H23" s="32">
        <f t="shared" si="6"/>
        <v>8.3056478405315617E-2</v>
      </c>
      <c r="I23" s="101">
        <f t="shared" si="7"/>
        <v>8305.6478405315611</v>
      </c>
      <c r="J23" s="15">
        <f t="shared" si="8"/>
        <v>1665</v>
      </c>
      <c r="K23" s="32">
        <f t="shared" si="9"/>
        <v>0.10631229235880399</v>
      </c>
      <c r="L23" s="18">
        <f t="shared" si="10"/>
        <v>10631.229235880399</v>
      </c>
      <c r="M23" s="31">
        <f t="shared" si="11"/>
        <v>1715</v>
      </c>
      <c r="N23" s="32">
        <f t="shared" si="12"/>
        <v>0.13953488372093023</v>
      </c>
      <c r="O23" s="18">
        <f t="shared" si="13"/>
        <v>13953.488372093023</v>
      </c>
      <c r="Q23" s="235"/>
      <c r="R23" s="235"/>
      <c r="S23" s="235"/>
    </row>
    <row r="24" spans="1:19" ht="17.25" customHeight="1" thickBot="1">
      <c r="A24" s="162" t="s">
        <v>69</v>
      </c>
      <c r="B24" s="126">
        <f t="shared" si="0"/>
        <v>5845</v>
      </c>
      <c r="C24" s="77">
        <f t="shared" si="1"/>
        <v>8.3410565300000003E-2</v>
      </c>
      <c r="D24" s="15">
        <f t="shared" si="2"/>
        <v>5915</v>
      </c>
      <c r="E24" s="32">
        <f t="shared" si="3"/>
        <v>1.1976047904191617E-2</v>
      </c>
      <c r="F24" s="18">
        <f t="shared" si="4"/>
        <v>1197.6047904191616</v>
      </c>
      <c r="G24" s="31">
        <f t="shared" si="5"/>
        <v>6075</v>
      </c>
      <c r="H24" s="32">
        <f t="shared" si="6"/>
        <v>3.9349871685201029E-2</v>
      </c>
      <c r="I24" s="101">
        <f t="shared" si="7"/>
        <v>3934.9871685201028</v>
      </c>
      <c r="J24" s="15">
        <f t="shared" si="8"/>
        <v>5830</v>
      </c>
      <c r="K24" s="32">
        <f t="shared" si="9"/>
        <v>-2.5662959794696323E-3</v>
      </c>
      <c r="L24" s="18">
        <f t="shared" si="10"/>
        <v>-256.6295979469632</v>
      </c>
      <c r="M24" s="31">
        <f t="shared" si="11"/>
        <v>5875</v>
      </c>
      <c r="N24" s="32">
        <f t="shared" si="12"/>
        <v>5.1325919589392645E-3</v>
      </c>
      <c r="O24" s="18">
        <f t="shared" si="13"/>
        <v>513.2591958939264</v>
      </c>
      <c r="Q24" s="235"/>
      <c r="R24" s="235"/>
      <c r="S24" s="235"/>
    </row>
    <row r="25" spans="1:19" ht="17.25" customHeight="1" thickBot="1">
      <c r="A25" s="162" t="s">
        <v>166</v>
      </c>
      <c r="B25" s="126">
        <f t="shared" si="0"/>
        <v>1355</v>
      </c>
      <c r="C25" s="77">
        <f t="shared" si="1"/>
        <v>7.9681274900000001E-2</v>
      </c>
      <c r="D25" s="15">
        <f t="shared" si="2"/>
        <v>1365</v>
      </c>
      <c r="E25" s="32">
        <f t="shared" si="3"/>
        <v>7.3800738007380072E-3</v>
      </c>
      <c r="F25" s="18">
        <f t="shared" si="4"/>
        <v>738.00738007380073</v>
      </c>
      <c r="G25" s="31">
        <f t="shared" si="5"/>
        <v>1405</v>
      </c>
      <c r="H25" s="32">
        <f t="shared" si="6"/>
        <v>3.6900369003690037E-2</v>
      </c>
      <c r="I25" s="101">
        <f t="shared" si="7"/>
        <v>3690.0369003690039</v>
      </c>
      <c r="J25" s="15">
        <f t="shared" si="8"/>
        <v>1360</v>
      </c>
      <c r="K25" s="32">
        <f t="shared" si="9"/>
        <v>3.6900369003690036E-3</v>
      </c>
      <c r="L25" s="18">
        <f t="shared" si="10"/>
        <v>369.00369003690037</v>
      </c>
      <c r="M25" s="31">
        <f t="shared" si="11"/>
        <v>1360</v>
      </c>
      <c r="N25" s="32">
        <f t="shared" si="12"/>
        <v>3.6900369003690036E-3</v>
      </c>
      <c r="O25" s="18">
        <f t="shared" si="13"/>
        <v>369.00369003690037</v>
      </c>
      <c r="Q25" s="33"/>
      <c r="R25" s="33"/>
    </row>
    <row r="26" spans="1:19" ht="17.25" customHeight="1" thickBot="1">
      <c r="A26" s="130" t="s">
        <v>80</v>
      </c>
      <c r="B26" s="131">
        <f t="shared" si="0"/>
        <v>949</v>
      </c>
      <c r="C26" s="79">
        <f t="shared" si="1"/>
        <v>7.9635949900000003E-2</v>
      </c>
      <c r="D26" s="24">
        <f t="shared" si="2"/>
        <v>957</v>
      </c>
      <c r="E26" s="25">
        <f t="shared" si="3"/>
        <v>8.4299262381454156E-3</v>
      </c>
      <c r="F26" s="104">
        <f t="shared" si="4"/>
        <v>842.99262381454162</v>
      </c>
      <c r="G26" s="102">
        <f t="shared" si="5"/>
        <v>980</v>
      </c>
      <c r="H26" s="25">
        <f t="shared" si="6"/>
        <v>3.2665964172813484E-2</v>
      </c>
      <c r="I26" s="103">
        <f t="shared" si="7"/>
        <v>3266.5964172813483</v>
      </c>
      <c r="J26" s="24">
        <f t="shared" si="8"/>
        <v>943</v>
      </c>
      <c r="K26" s="25">
        <f t="shared" si="9"/>
        <v>-6.3224446786090622E-3</v>
      </c>
      <c r="L26" s="104">
        <f t="shared" si="10"/>
        <v>-632.24446786090618</v>
      </c>
      <c r="M26" s="102">
        <f t="shared" si="11"/>
        <v>945</v>
      </c>
      <c r="N26" s="25">
        <f t="shared" si="12"/>
        <v>-4.2149631190727078E-3</v>
      </c>
      <c r="O26" s="104">
        <f t="shared" si="13"/>
        <v>-421.49631190727081</v>
      </c>
      <c r="Q26" s="236"/>
      <c r="R26" s="237"/>
      <c r="S26" s="238"/>
    </row>
    <row r="27" spans="1:19" ht="17.25" customHeight="1">
      <c r="A27" s="161" t="s">
        <v>74</v>
      </c>
      <c r="B27" s="124">
        <f t="shared" si="0"/>
        <v>17420</v>
      </c>
      <c r="C27" s="76">
        <f t="shared" si="1"/>
        <v>7.4645280699999997E-2</v>
      </c>
      <c r="D27" s="13">
        <f t="shared" si="2"/>
        <v>19300</v>
      </c>
      <c r="E27" s="14">
        <f t="shared" si="3"/>
        <v>0.1079219288174512</v>
      </c>
      <c r="F27" s="16">
        <f t="shared" si="4"/>
        <v>10792.192881745121</v>
      </c>
      <c r="G27" s="29">
        <f t="shared" si="5"/>
        <v>19240</v>
      </c>
      <c r="H27" s="14">
        <f t="shared" si="6"/>
        <v>0.1044776119402985</v>
      </c>
      <c r="I27" s="100">
        <f t="shared" si="7"/>
        <v>10447.76119402985</v>
      </c>
      <c r="J27" s="13">
        <f t="shared" si="8"/>
        <v>18500</v>
      </c>
      <c r="K27" s="14">
        <f t="shared" si="9"/>
        <v>6.1997703788748568E-2</v>
      </c>
      <c r="L27" s="16">
        <f t="shared" si="10"/>
        <v>6199.7703788748568</v>
      </c>
      <c r="M27" s="29">
        <f t="shared" si="11"/>
        <v>18590</v>
      </c>
      <c r="N27" s="14">
        <f t="shared" si="12"/>
        <v>6.7164179104477612E-2</v>
      </c>
      <c r="O27" s="16">
        <f t="shared" si="13"/>
        <v>6716.4179104477607</v>
      </c>
      <c r="Q27" s="239"/>
      <c r="R27" s="240"/>
      <c r="S27" s="241"/>
    </row>
    <row r="28" spans="1:19" ht="17.25" customHeight="1" thickBot="1">
      <c r="A28" s="162" t="s">
        <v>220</v>
      </c>
      <c r="B28" s="126">
        <f t="shared" si="0"/>
        <v>11.7</v>
      </c>
      <c r="C28" s="77">
        <f t="shared" si="1"/>
        <v>7.3394495399999995E-2</v>
      </c>
      <c r="D28" s="15">
        <f t="shared" si="2"/>
        <v>11.7</v>
      </c>
      <c r="E28" s="32">
        <f t="shared" si="3"/>
        <v>0</v>
      </c>
      <c r="F28" s="18">
        <f t="shared" si="4"/>
        <v>0</v>
      </c>
      <c r="G28" s="31">
        <f t="shared" si="5"/>
        <v>11.8</v>
      </c>
      <c r="H28" s="32">
        <f t="shared" si="6"/>
        <v>8.5470085470086693E-3</v>
      </c>
      <c r="I28" s="101">
        <f t="shared" si="7"/>
        <v>854.7008547008669</v>
      </c>
      <c r="J28" s="15">
        <f t="shared" si="8"/>
        <v>11.5</v>
      </c>
      <c r="K28" s="32">
        <f t="shared" si="9"/>
        <v>-1.7094017094017033E-2</v>
      </c>
      <c r="L28" s="18">
        <f t="shared" si="10"/>
        <v>-1709.4017094017033</v>
      </c>
      <c r="M28" s="31">
        <f t="shared" si="11"/>
        <v>11.6</v>
      </c>
      <c r="N28" s="32">
        <f t="shared" si="12"/>
        <v>-8.5470085470085166E-3</v>
      </c>
      <c r="O28" s="18">
        <f t="shared" si="13"/>
        <v>-854.70085470085166</v>
      </c>
      <c r="Q28" s="242"/>
      <c r="R28" s="243"/>
      <c r="S28" s="244"/>
    </row>
    <row r="29" spans="1:19" ht="17.25" customHeight="1" thickBot="1">
      <c r="A29" s="162" t="s">
        <v>164</v>
      </c>
      <c r="B29" s="126">
        <f t="shared" si="0"/>
        <v>16700</v>
      </c>
      <c r="C29" s="77">
        <f t="shared" si="1"/>
        <v>7.25754656E-2</v>
      </c>
      <c r="D29" s="15">
        <f t="shared" si="2"/>
        <v>17620</v>
      </c>
      <c r="E29" s="32">
        <f t="shared" si="3"/>
        <v>5.5089820359281436E-2</v>
      </c>
      <c r="F29" s="18">
        <f t="shared" si="4"/>
        <v>5508.9820359281439</v>
      </c>
      <c r="G29" s="31">
        <f t="shared" si="5"/>
        <v>18020</v>
      </c>
      <c r="H29" s="32">
        <f t="shared" si="6"/>
        <v>7.9041916167664678E-2</v>
      </c>
      <c r="I29" s="101">
        <f t="shared" si="7"/>
        <v>7904.1916167664676</v>
      </c>
      <c r="J29" s="15">
        <f t="shared" si="8"/>
        <v>17190</v>
      </c>
      <c r="K29" s="32">
        <f t="shared" si="9"/>
        <v>2.9341317365269463E-2</v>
      </c>
      <c r="L29" s="18">
        <f t="shared" si="10"/>
        <v>2934.131736526946</v>
      </c>
      <c r="M29" s="31">
        <f t="shared" si="11"/>
        <v>17340</v>
      </c>
      <c r="N29" s="32">
        <f t="shared" si="12"/>
        <v>3.8323353293413173E-2</v>
      </c>
      <c r="O29" s="18">
        <f t="shared" si="13"/>
        <v>3832.3353293413174</v>
      </c>
      <c r="Q29" s="235"/>
      <c r="R29" s="235"/>
      <c r="S29" s="235"/>
    </row>
    <row r="30" spans="1:19" ht="17.25" customHeight="1" thickBot="1">
      <c r="A30" s="162" t="s">
        <v>110</v>
      </c>
      <c r="B30" s="126">
        <f t="shared" si="0"/>
        <v>1435</v>
      </c>
      <c r="C30" s="77">
        <f t="shared" si="1"/>
        <v>5.9040590400000002E-2</v>
      </c>
      <c r="D30" s="15">
        <f t="shared" si="2"/>
        <v>1495</v>
      </c>
      <c r="E30" s="32">
        <f t="shared" si="3"/>
        <v>4.1811846689895474E-2</v>
      </c>
      <c r="F30" s="18">
        <f t="shared" si="4"/>
        <v>4181.1846689895474</v>
      </c>
      <c r="G30" s="31">
        <f t="shared" si="5"/>
        <v>1530</v>
      </c>
      <c r="H30" s="32">
        <f t="shared" si="6"/>
        <v>6.6202090592334492E-2</v>
      </c>
      <c r="I30" s="101">
        <f t="shared" si="7"/>
        <v>6620.2090592334489</v>
      </c>
      <c r="J30" s="15">
        <f t="shared" si="8"/>
        <v>1460</v>
      </c>
      <c r="K30" s="32">
        <f t="shared" si="9"/>
        <v>1.7421602787456445E-2</v>
      </c>
      <c r="L30" s="18">
        <f t="shared" si="10"/>
        <v>1742.1602787456445</v>
      </c>
      <c r="M30" s="31">
        <f t="shared" si="11"/>
        <v>1465</v>
      </c>
      <c r="N30" s="32">
        <f t="shared" si="12"/>
        <v>2.0905923344947737E-2</v>
      </c>
      <c r="O30" s="18">
        <f t="shared" si="13"/>
        <v>2090.5923344947737</v>
      </c>
      <c r="Q30" s="245"/>
      <c r="R30" s="245"/>
      <c r="S30" s="245"/>
    </row>
    <row r="31" spans="1:19" ht="17.25" customHeight="1" thickBot="1">
      <c r="A31" s="163" t="s">
        <v>178</v>
      </c>
      <c r="B31" s="128">
        <f t="shared" si="0"/>
        <v>29320</v>
      </c>
      <c r="C31" s="78">
        <f t="shared" si="1"/>
        <v>5.8101768300000002E-2</v>
      </c>
      <c r="D31" s="20">
        <f t="shared" si="2"/>
        <v>30100</v>
      </c>
      <c r="E31" s="21">
        <f t="shared" si="3"/>
        <v>2.660300136425648E-2</v>
      </c>
      <c r="F31" s="22">
        <f t="shared" si="4"/>
        <v>2660.3001364256479</v>
      </c>
      <c r="G31" s="30">
        <f t="shared" si="5"/>
        <v>30500</v>
      </c>
      <c r="H31" s="21">
        <f t="shared" si="6"/>
        <v>4.0245566166439289E-2</v>
      </c>
      <c r="I31" s="105">
        <f t="shared" si="7"/>
        <v>4024.5566166439289</v>
      </c>
      <c r="J31" s="20">
        <f t="shared" si="8"/>
        <v>30100</v>
      </c>
      <c r="K31" s="21">
        <f t="shared" si="9"/>
        <v>2.660300136425648E-2</v>
      </c>
      <c r="L31" s="22">
        <f t="shared" si="10"/>
        <v>2660.3001364256479</v>
      </c>
      <c r="M31" s="30">
        <f t="shared" si="11"/>
        <v>30820</v>
      </c>
      <c r="N31" s="21">
        <f t="shared" si="12"/>
        <v>5.115961800818554E-2</v>
      </c>
      <c r="O31" s="22">
        <f t="shared" si="13"/>
        <v>5115.9618008185544</v>
      </c>
      <c r="Q31" s="245"/>
      <c r="R31" s="245"/>
      <c r="S31" s="245"/>
    </row>
    <row r="32" spans="1:19" ht="17.25" customHeight="1" thickBot="1">
      <c r="A32" s="162" t="s">
        <v>136</v>
      </c>
      <c r="B32" s="129">
        <f t="shared" si="0"/>
        <v>147</v>
      </c>
      <c r="C32" s="80">
        <f t="shared" si="1"/>
        <v>5.75539568E-2</v>
      </c>
      <c r="D32" s="106">
        <f t="shared" si="2"/>
        <v>147</v>
      </c>
      <c r="E32" s="107">
        <f t="shared" si="3"/>
        <v>0</v>
      </c>
      <c r="F32" s="108">
        <f t="shared" si="4"/>
        <v>0</v>
      </c>
      <c r="G32" s="109">
        <f t="shared" si="5"/>
        <v>170</v>
      </c>
      <c r="H32" s="107">
        <f t="shared" si="6"/>
        <v>0.15646258503401361</v>
      </c>
      <c r="I32" s="110">
        <f t="shared" si="7"/>
        <v>15646.258503401361</v>
      </c>
      <c r="J32" s="106">
        <f t="shared" si="8"/>
        <v>163</v>
      </c>
      <c r="K32" s="107">
        <f t="shared" si="9"/>
        <v>0.10884353741496598</v>
      </c>
      <c r="L32" s="108">
        <f t="shared" si="10"/>
        <v>10884.353741496598</v>
      </c>
      <c r="M32" s="109">
        <f t="shared" si="11"/>
        <v>164</v>
      </c>
      <c r="N32" s="107">
        <f t="shared" si="12"/>
        <v>0.11564625850340136</v>
      </c>
      <c r="O32" s="108">
        <f t="shared" si="13"/>
        <v>11564.625850340137</v>
      </c>
      <c r="Q32" s="235"/>
      <c r="R32" s="235"/>
      <c r="S32" s="235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5"/>
      <c r="R33" s="235"/>
      <c r="S33" s="235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5"/>
      <c r="R34" s="235"/>
      <c r="S34" s="235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4"/>
      <c r="R35" s="225"/>
      <c r="S35" s="22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7"/>
      <c r="R36" s="228"/>
      <c r="S36" s="229"/>
    </row>
    <row r="37" spans="1:19" ht="17.25" customHeight="1" thickBot="1">
      <c r="A37" s="132" t="s">
        <v>42</v>
      </c>
      <c r="B37" s="288">
        <v>100000</v>
      </c>
      <c r="C37" s="289"/>
      <c r="D37" s="26" t="s">
        <v>43</v>
      </c>
      <c r="E37" s="27">
        <f>IF(COUNT(E17:E36), SUM(E17:E36) / COUNT(E17:E36), 0)</f>
        <v>3.0911028816730503E-2</v>
      </c>
      <c r="F37" s="28">
        <f>SUM(F17:F36)</f>
        <v>49457.6461067688</v>
      </c>
      <c r="G37" s="26" t="s">
        <v>43</v>
      </c>
      <c r="H37" s="27">
        <f>IF(COUNT(H17:H36), SUM(H17:H36) / COUNT(H17:H36), 0)</f>
        <v>5.290663240656765E-2</v>
      </c>
      <c r="I37" s="28">
        <f>SUM(I17:I36)</f>
        <v>84650.611850508256</v>
      </c>
      <c r="J37" s="26" t="s">
        <v>43</v>
      </c>
      <c r="K37" s="27">
        <f>IF(COUNT(K17:K36), SUM(K17:K36) / COUNT(K17:K36), 0)</f>
        <v>3.6890614692406357E-2</v>
      </c>
      <c r="L37" s="28">
        <f>SUM(L17:L36)</f>
        <v>59024.983507850171</v>
      </c>
      <c r="M37" s="26" t="s">
        <v>43</v>
      </c>
      <c r="N37" s="27">
        <f>IF(COUNT(N17:N36), SUM(N17:N36) / COUNT(N17:N36), 0)</f>
        <v>4.0095300370183273E-2</v>
      </c>
      <c r="O37" s="28">
        <f>SUM(O17:O36)</f>
        <v>64152.480592293243</v>
      </c>
      <c r="Q37" s="230"/>
      <c r="R37" s="231"/>
      <c r="S37" s="232"/>
    </row>
    <row r="38" spans="1:19" ht="17.25" customHeight="1"/>
    <row r="39" spans="1:19" ht="17.25" customHeight="1" thickBot="1"/>
    <row r="40" spans="1:19" ht="17.25" customHeight="1" thickBot="1">
      <c r="A40" s="246" t="s">
        <v>44</v>
      </c>
      <c r="B40" s="247"/>
      <c r="C40" s="247"/>
      <c r="D40" s="247"/>
      <c r="E40" s="247"/>
      <c r="F40" s="247"/>
      <c r="G40" s="247"/>
      <c r="H40" s="247"/>
      <c r="I40" s="247"/>
      <c r="J40" s="247"/>
      <c r="K40" s="247"/>
      <c r="L40" s="247"/>
      <c r="M40" s="247"/>
      <c r="N40" s="247"/>
      <c r="O40" s="248"/>
      <c r="Q40" s="245"/>
      <c r="R40" s="245"/>
      <c r="S40" s="245"/>
    </row>
    <row r="41" spans="1:19" ht="17.25" customHeight="1" thickBot="1">
      <c r="A41" s="168" t="s">
        <v>297</v>
      </c>
      <c r="B41" s="246" t="s">
        <v>49</v>
      </c>
      <c r="C41" s="248"/>
      <c r="D41" s="246" t="s">
        <v>58</v>
      </c>
      <c r="E41" s="247"/>
      <c r="F41" s="248"/>
      <c r="G41" s="249">
        <f>_xlfn.IFNA(VLOOKUP(B41, 현재가테이블!$B$2:$D$200, 2, FALSE), "-")</f>
        <v>45335000</v>
      </c>
      <c r="H41" s="250"/>
      <c r="I41" s="251"/>
      <c r="J41" s="246" t="s">
        <v>59</v>
      </c>
      <c r="K41" s="247"/>
      <c r="L41" s="248"/>
      <c r="M41" s="252">
        <f>_xlfn.IFNA(VLOOKUP(B41, 현재가테이블!$B$2:$D$200, 3, FALSE), "-")</f>
        <v>-2.27209037E-2</v>
      </c>
      <c r="N41" s="253"/>
      <c r="O41" s="254"/>
      <c r="Q41" s="245"/>
      <c r="R41" s="245"/>
      <c r="S41" s="245"/>
    </row>
    <row r="42" spans="1:19" ht="17.25" customHeight="1" thickBot="1">
      <c r="A42" s="290" t="s">
        <v>55</v>
      </c>
      <c r="B42" s="286" t="str">
        <f>TEXT($G$1, "[$-ko-KR]yyyy-mm-dd(ddd) ") &amp; "오전 00:00"</f>
        <v>2021-06-03(목) 오전 00:00</v>
      </c>
      <c r="C42" s="287"/>
      <c r="D42" s="259" t="str">
        <f>TEXT($G$1, "[$-ko-KR]yyyy-mm-dd(ddd) ") &amp; "오후 14:00"</f>
        <v>2021-06-03(목) 오후 14:00</v>
      </c>
      <c r="E42" s="260"/>
      <c r="F42" s="261"/>
      <c r="G42" s="259" t="str">
        <f>TEXT($G$1, "[$-ko-KR]yyyy-mm-dd(ddd) ") &amp; "오후 19:00"</f>
        <v>2021-06-03(목) 오후 19:00</v>
      </c>
      <c r="H42" s="260"/>
      <c r="I42" s="261"/>
      <c r="J42" s="259" t="str">
        <f>TEXT($G$1, "[$-ko-KR]yyyy-mm-dd(ddd) ") &amp; "오후 21:00"</f>
        <v>2021-06-03(목) 오후 21:00</v>
      </c>
      <c r="K42" s="260"/>
      <c r="L42" s="261"/>
      <c r="M42" s="259" t="str">
        <f>TEXT($G$1+1, "[$-ko-KR]yyyy-mm-dd(ddd) ") &amp; "오전 00:00"</f>
        <v>2021-06-04(금) 오전 00:00</v>
      </c>
      <c r="N42" s="260"/>
      <c r="O42" s="261"/>
      <c r="Q42" s="245"/>
      <c r="R42" s="245"/>
      <c r="S42" s="245"/>
    </row>
    <row r="43" spans="1:19" ht="17.25" customHeight="1" thickBot="1">
      <c r="A43" s="291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69" t="s">
        <v>58</v>
      </c>
      <c r="H43" s="170" t="s">
        <v>298</v>
      </c>
      <c r="I43" s="171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5"/>
      <c r="R43" s="235"/>
      <c r="S43" s="235"/>
    </row>
    <row r="44" spans="1:19" ht="17.25" customHeight="1" thickBot="1">
      <c r="A44" s="161" t="s">
        <v>220</v>
      </c>
      <c r="B44" s="124">
        <v>11.7</v>
      </c>
      <c r="C44" s="76">
        <v>7.3394495399999995E-2</v>
      </c>
      <c r="D44" s="13">
        <v>11.7</v>
      </c>
      <c r="E44" s="14">
        <f>IF(ISNUMBER(D44), (D44 - $B44) / $B44, "")</f>
        <v>0</v>
      </c>
      <c r="F44" s="16">
        <f>IF(ISNUMBER(D44), $B64 * E44, "")</f>
        <v>0</v>
      </c>
      <c r="G44" s="29">
        <v>11.8</v>
      </c>
      <c r="H44" s="14">
        <f>IF(ISNUMBER(G44), (G44 - $B44) / $B44, "")</f>
        <v>8.5470085470086693E-3</v>
      </c>
      <c r="I44" s="100">
        <f>IF(ISNUMBER(G44), $B64 * H44, "")</f>
        <v>854.7008547008669</v>
      </c>
      <c r="J44" s="13">
        <v>11.5</v>
      </c>
      <c r="K44" s="14">
        <f>IF(ISNUMBER(J44), (J44 - $B44) / $B44, "")</f>
        <v>-1.7094017094017033E-2</v>
      </c>
      <c r="L44" s="16">
        <f>IF(ISNUMBER(J44), $B64 * K44, "")</f>
        <v>-1709.4017094017033</v>
      </c>
      <c r="M44" s="29">
        <v>11.6</v>
      </c>
      <c r="N44" s="14">
        <f>IF(ISNUMBER(M44), (M44 - $B44) / $B44, "")</f>
        <v>-8.5470085470085166E-3</v>
      </c>
      <c r="O44" s="16">
        <f>IF(ISNUMBER(M44), $B64 * N44, "")</f>
        <v>-854.70085470085166</v>
      </c>
      <c r="Q44" s="245"/>
      <c r="R44" s="245"/>
      <c r="S44" s="245"/>
    </row>
    <row r="45" spans="1:19" ht="17.25" customHeight="1" thickBot="1">
      <c r="A45" s="162" t="s">
        <v>198</v>
      </c>
      <c r="B45" s="126">
        <v>17.399999999999999</v>
      </c>
      <c r="C45" s="77">
        <v>4.19161677E-2</v>
      </c>
      <c r="D45" s="15">
        <v>17.399999999999999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17.600000000000001</v>
      </c>
      <c r="H45" s="32">
        <f t="shared" ref="H45:H48" si="15">IF(ISNUMBER(G45), (G45 - $B45) / $B45, "")</f>
        <v>1.1494252873563383E-2</v>
      </c>
      <c r="I45" s="101">
        <f>IF(ISNUMBER(G45), $B64 * H45, "")</f>
        <v>1149.4252873563382</v>
      </c>
      <c r="J45" s="15">
        <v>17.3</v>
      </c>
      <c r="K45" s="32">
        <f t="shared" ref="K45:K48" si="16">IF(ISNUMBER(J45), (J45 - $B45) / $B45, "")</f>
        <v>-5.7471264367814868E-3</v>
      </c>
      <c r="L45" s="18">
        <f>IF(ISNUMBER(J45), $B64 * K45, "")</f>
        <v>-574.71264367814865</v>
      </c>
      <c r="M45" s="31">
        <v>17.3</v>
      </c>
      <c r="N45" s="32">
        <f t="shared" ref="N45:N48" si="17">IF(ISNUMBER(M45), (M45 - $B45) / $B45, "")</f>
        <v>-5.7471264367814868E-3</v>
      </c>
      <c r="O45" s="18">
        <f>IF(ISNUMBER(M45), $B64 * N45, "")</f>
        <v>-574.71264367814865</v>
      </c>
      <c r="Q45" s="245"/>
      <c r="R45" s="245"/>
      <c r="S45" s="245"/>
    </row>
    <row r="46" spans="1:19" ht="17.25" customHeight="1" thickBot="1">
      <c r="A46" s="162" t="s">
        <v>154</v>
      </c>
      <c r="B46" s="126">
        <v>11.4</v>
      </c>
      <c r="C46" s="77">
        <v>3.6363636400000003E-2</v>
      </c>
      <c r="D46" s="15">
        <v>11.6</v>
      </c>
      <c r="E46" s="32">
        <f t="shared" si="14"/>
        <v>1.7543859649122744E-2</v>
      </c>
      <c r="F46" s="18">
        <f>IF(ISNUMBER(D46), $B64 * E46, "")</f>
        <v>1754.3859649122744</v>
      </c>
      <c r="G46" s="31">
        <v>11.7</v>
      </c>
      <c r="H46" s="32">
        <f t="shared" si="15"/>
        <v>2.6315789473684115E-2</v>
      </c>
      <c r="I46" s="101">
        <f>IF(ISNUMBER(G46), $B64 * H46, "")</f>
        <v>2631.5789473684117</v>
      </c>
      <c r="J46" s="15">
        <v>11.4</v>
      </c>
      <c r="K46" s="32">
        <f t="shared" si="16"/>
        <v>0</v>
      </c>
      <c r="L46" s="18">
        <f>IF(ISNUMBER(J46), $B64 * K46, "")</f>
        <v>0</v>
      </c>
      <c r="M46" s="31">
        <v>11.5</v>
      </c>
      <c r="N46" s="32">
        <f t="shared" si="17"/>
        <v>8.7719298245613718E-3</v>
      </c>
      <c r="O46" s="18">
        <f>IF(ISNUMBER(M46), $B64 * N46, "")</f>
        <v>877.1929824561372</v>
      </c>
      <c r="Q46" s="235"/>
      <c r="R46" s="235"/>
      <c r="S46" s="235"/>
    </row>
    <row r="47" spans="1:19" ht="17.25" customHeight="1" thickBot="1">
      <c r="A47" s="162" t="s">
        <v>65</v>
      </c>
      <c r="B47" s="126">
        <v>38.1</v>
      </c>
      <c r="C47" s="77">
        <v>2.9729729699999999E-2</v>
      </c>
      <c r="D47" s="15">
        <v>40.700000000000003</v>
      </c>
      <c r="E47" s="32">
        <f t="shared" si="14"/>
        <v>6.8241469816273007E-2</v>
      </c>
      <c r="F47" s="18">
        <f>IF(ISNUMBER(D47), $B64 * E47, "")</f>
        <v>6824.1469816273011</v>
      </c>
      <c r="G47" s="31">
        <v>41.9</v>
      </c>
      <c r="H47" s="32">
        <f t="shared" si="15"/>
        <v>9.9737532808398865E-2</v>
      </c>
      <c r="I47" s="101">
        <f>IF(ISNUMBER(G47), $B64 * H47, "")</f>
        <v>9973.7532808398864</v>
      </c>
      <c r="J47" s="15">
        <v>40.5</v>
      </c>
      <c r="K47" s="32">
        <f t="shared" si="16"/>
        <v>6.2992125984251926E-2</v>
      </c>
      <c r="L47" s="18">
        <f>IF(ISNUMBER(J47), $B64 * K47, "")</f>
        <v>6299.2125984251925</v>
      </c>
      <c r="M47" s="31">
        <v>40.4</v>
      </c>
      <c r="N47" s="32">
        <f t="shared" si="17"/>
        <v>6.0367454068241393E-2</v>
      </c>
      <c r="O47" s="18">
        <f>IF(ISNUMBER(M47), $B64 * N47, "")</f>
        <v>6036.7454068241395</v>
      </c>
      <c r="Q47" s="235"/>
      <c r="R47" s="235"/>
      <c r="S47" s="235"/>
    </row>
    <row r="48" spans="1:19" ht="17.25" customHeight="1" thickBot="1">
      <c r="A48" s="163" t="s">
        <v>214</v>
      </c>
      <c r="B48" s="128">
        <v>14.6</v>
      </c>
      <c r="C48" s="78">
        <v>2.8169014100000001E-2</v>
      </c>
      <c r="D48" s="20">
        <v>14.7</v>
      </c>
      <c r="E48" s="21">
        <f t="shared" si="14"/>
        <v>6.8493150684931269E-3</v>
      </c>
      <c r="F48" s="22">
        <f>IF(ISNUMBER(D48), $B64 * E48, "")</f>
        <v>684.93150684931265</v>
      </c>
      <c r="G48" s="30">
        <v>14.9</v>
      </c>
      <c r="H48" s="21">
        <f t="shared" si="15"/>
        <v>2.0547945205479503E-2</v>
      </c>
      <c r="I48" s="105">
        <f>IF(ISNUMBER(G48), $B64 * H48, "")</f>
        <v>2054.7945205479505</v>
      </c>
      <c r="J48" s="20">
        <v>14.5</v>
      </c>
      <c r="K48" s="21">
        <f t="shared" si="16"/>
        <v>-6.8493150684931269E-3</v>
      </c>
      <c r="L48" s="22">
        <f>IF(ISNUMBER(J48), $B64 * K48, "")</f>
        <v>-684.93150684931265</v>
      </c>
      <c r="M48" s="30">
        <v>14.6</v>
      </c>
      <c r="N48" s="21">
        <f t="shared" si="17"/>
        <v>0</v>
      </c>
      <c r="O48" s="22">
        <f>IF(ISNUMBER(M48), $B64 * N48, "")</f>
        <v>0</v>
      </c>
      <c r="Q48" s="235"/>
      <c r="R48" s="235"/>
      <c r="S48" s="235"/>
    </row>
    <row r="49" spans="1:19" ht="17.25" customHeight="1" thickBot="1">
      <c r="A49" s="162" t="s">
        <v>278</v>
      </c>
      <c r="B49" s="129">
        <v>81.8</v>
      </c>
      <c r="C49" s="80">
        <v>2.6348808000000001E-2</v>
      </c>
      <c r="D49" s="106">
        <v>82.8</v>
      </c>
      <c r="E49" s="107">
        <f>IF(ISNUMBER(D49), (D49 - $B49) / $B49, "")</f>
        <v>1.2224938875305624E-2</v>
      </c>
      <c r="F49" s="108">
        <f>IF(ISNUMBER(D49), $B64 * E49, "")</f>
        <v>1222.4938875305625</v>
      </c>
      <c r="G49" s="109">
        <v>84.3</v>
      </c>
      <c r="H49" s="107">
        <f>IF(ISNUMBER(G49), (G49 - $B49) / $B49, "")</f>
        <v>3.0562347188264061E-2</v>
      </c>
      <c r="I49" s="110">
        <f>IF(ISNUMBER(G49), $B64 * H49, "")</f>
        <v>3056.2347188264062</v>
      </c>
      <c r="J49" s="106">
        <v>81.8</v>
      </c>
      <c r="K49" s="107">
        <f>IF(ISNUMBER(J49), (J49 - $B49) / $B49, "")</f>
        <v>0</v>
      </c>
      <c r="L49" s="108">
        <f>IF(ISNUMBER(J49), $B64 * K49, "")</f>
        <v>0</v>
      </c>
      <c r="M49" s="109">
        <v>83.7</v>
      </c>
      <c r="N49" s="107">
        <f>IF(ISNUMBER(M49), (M49 - $B49) / $B49, "")</f>
        <v>2.3227383863080753E-2</v>
      </c>
      <c r="O49" s="108">
        <f>IF(ISNUMBER(M49), $B64 * N49, "")</f>
        <v>2322.7383863080754</v>
      </c>
      <c r="Q49" s="235"/>
      <c r="R49" s="235"/>
      <c r="S49" s="235"/>
    </row>
    <row r="50" spans="1:19" ht="17.25" customHeight="1" thickBot="1">
      <c r="A50" s="162" t="s">
        <v>156</v>
      </c>
      <c r="B50" s="126">
        <v>91.4</v>
      </c>
      <c r="C50" s="77">
        <v>2.0089285700000001E-2</v>
      </c>
      <c r="D50" s="15">
        <v>91.8</v>
      </c>
      <c r="E50" s="32">
        <f t="shared" ref="E50:E53" si="18">IF(ISNUMBER(D50), (D50 - $B50) / $B50, "")</f>
        <v>4.3763676148795561E-3</v>
      </c>
      <c r="F50" s="18">
        <f>IF(ISNUMBER(D50), $B64 * E50, "")</f>
        <v>437.6367614879556</v>
      </c>
      <c r="G50" s="31">
        <v>94.4</v>
      </c>
      <c r="H50" s="32">
        <f t="shared" ref="H50:H53" si="19">IF(ISNUMBER(G50), (G50 - $B50) / $B50, "")</f>
        <v>3.2822757111597371E-2</v>
      </c>
      <c r="I50" s="101">
        <f>IF(ISNUMBER(G50), $B64 * H50, "")</f>
        <v>3282.2757111597371</v>
      </c>
      <c r="J50" s="15">
        <v>92.2</v>
      </c>
      <c r="K50" s="32">
        <f t="shared" ref="K50:K53" si="20">IF(ISNUMBER(J50), (J50 - $B50) / $B50, "")</f>
        <v>8.7527352297592682E-3</v>
      </c>
      <c r="L50" s="18">
        <f>IF(ISNUMBER(J50), $B64 * K50, "")</f>
        <v>875.27352297592688</v>
      </c>
      <c r="M50" s="31">
        <v>93</v>
      </c>
      <c r="N50" s="32">
        <f t="shared" ref="N50:N53" si="21">IF(ISNUMBER(M50), (M50 - $B50) / $B50, "")</f>
        <v>1.7505470459518536E-2</v>
      </c>
      <c r="O50" s="18">
        <f>IF(ISNUMBER(M50), $B64 * N50, "")</f>
        <v>1750.5470459518538</v>
      </c>
      <c r="Q50" s="235"/>
      <c r="R50" s="235"/>
      <c r="S50" s="235"/>
    </row>
    <row r="51" spans="1:19" ht="17.25" customHeight="1" thickBot="1">
      <c r="A51" s="162" t="s">
        <v>126</v>
      </c>
      <c r="B51" s="126">
        <v>29.7</v>
      </c>
      <c r="C51" s="77">
        <v>1.71232877E-2</v>
      </c>
      <c r="D51" s="15">
        <v>30.6</v>
      </c>
      <c r="E51" s="32">
        <f t="shared" si="18"/>
        <v>3.0303030303030377E-2</v>
      </c>
      <c r="F51" s="18">
        <f>IF(ISNUMBER(D51), $B64 * E51, "")</f>
        <v>3030.3030303030378</v>
      </c>
      <c r="G51" s="31">
        <v>31.7</v>
      </c>
      <c r="H51" s="32">
        <f t="shared" si="19"/>
        <v>6.7340067340067339E-2</v>
      </c>
      <c r="I51" s="101">
        <f>IF(ISNUMBER(G51), $B64 * H51, "")</f>
        <v>6734.0067340067335</v>
      </c>
      <c r="J51" s="15">
        <v>30.3</v>
      </c>
      <c r="K51" s="32">
        <f t="shared" si="20"/>
        <v>2.0202020202020249E-2</v>
      </c>
      <c r="L51" s="18">
        <f>IF(ISNUMBER(J51), $B64 * K51, "")</f>
        <v>2020.2020202020249</v>
      </c>
      <c r="M51" s="31">
        <v>30.5</v>
      </c>
      <c r="N51" s="32">
        <f t="shared" si="21"/>
        <v>2.6936026936026959E-2</v>
      </c>
      <c r="O51" s="18">
        <f>IF(ISNUMBER(M51), $B64 * N51, "")</f>
        <v>2693.602693602696</v>
      </c>
      <c r="Q51" s="235"/>
      <c r="R51" s="235"/>
      <c r="S51" s="235"/>
    </row>
    <row r="52" spans="1:19" ht="17.25" customHeight="1" thickBot="1">
      <c r="A52" s="162" t="s">
        <v>196</v>
      </c>
      <c r="B52" s="126">
        <v>11.9</v>
      </c>
      <c r="C52" s="77">
        <v>1.7094017100000001E-2</v>
      </c>
      <c r="D52" s="15">
        <v>12</v>
      </c>
      <c r="E52" s="32">
        <f t="shared" si="18"/>
        <v>8.4033613445377853E-3</v>
      </c>
      <c r="F52" s="18">
        <f>IF(ISNUMBER(D52), $B64 * E52, "")</f>
        <v>840.33613445377853</v>
      </c>
      <c r="G52" s="31">
        <v>12.3</v>
      </c>
      <c r="H52" s="32">
        <f t="shared" si="19"/>
        <v>3.3613445378151287E-2</v>
      </c>
      <c r="I52" s="101">
        <f>IF(ISNUMBER(G52), $B64 * H52, "")</f>
        <v>3361.3445378151287</v>
      </c>
      <c r="J52" s="15">
        <v>12</v>
      </c>
      <c r="K52" s="32">
        <f t="shared" si="20"/>
        <v>8.4033613445377853E-3</v>
      </c>
      <c r="L52" s="18">
        <f>IF(ISNUMBER(J52), $B64 * K52, "")</f>
        <v>840.33613445377853</v>
      </c>
      <c r="M52" s="31">
        <v>12.1</v>
      </c>
      <c r="N52" s="32">
        <f t="shared" si="21"/>
        <v>1.6806722689075571E-2</v>
      </c>
      <c r="O52" s="18">
        <f>IF(ISNUMBER(M52), $B64 * N52, "")</f>
        <v>1680.6722689075571</v>
      </c>
      <c r="Q52" s="33"/>
      <c r="R52" s="33"/>
    </row>
    <row r="53" spans="1:19" ht="17.25" customHeight="1" thickBot="1">
      <c r="A53" s="130" t="s">
        <v>72</v>
      </c>
      <c r="B53" s="131">
        <v>21.8</v>
      </c>
      <c r="C53" s="79">
        <v>1.39534884E-2</v>
      </c>
      <c r="D53" s="24">
        <v>22.1</v>
      </c>
      <c r="E53" s="25">
        <f t="shared" si="18"/>
        <v>1.3761467889908289E-2</v>
      </c>
      <c r="F53" s="104">
        <f>IF(ISNUMBER(D53), $B64 * E53, "")</f>
        <v>1376.1467889908288</v>
      </c>
      <c r="G53" s="102">
        <v>22.7</v>
      </c>
      <c r="H53" s="25">
        <f t="shared" si="19"/>
        <v>4.1284403669724704E-2</v>
      </c>
      <c r="I53" s="103">
        <f>IF(ISNUMBER(G53), $B64 * H53, "")</f>
        <v>4128.4403669724707</v>
      </c>
      <c r="J53" s="24">
        <v>22.3</v>
      </c>
      <c r="K53" s="25">
        <f t="shared" si="20"/>
        <v>2.2935779816513759E-2</v>
      </c>
      <c r="L53" s="104">
        <f>IF(ISNUMBER(J53), $B64 * K53, "")</f>
        <v>2293.5779816513759</v>
      </c>
      <c r="M53" s="102">
        <v>22.4</v>
      </c>
      <c r="N53" s="25">
        <f t="shared" si="21"/>
        <v>2.7522935779816415E-2</v>
      </c>
      <c r="O53" s="104">
        <f>IF(ISNUMBER(M53), $B64 * N53, "")</f>
        <v>2752.2935779816416</v>
      </c>
      <c r="Q53" s="236"/>
      <c r="R53" s="237"/>
      <c r="S53" s="238"/>
    </row>
    <row r="54" spans="1:19" ht="17.25" customHeight="1">
      <c r="A54" s="161" t="s">
        <v>218</v>
      </c>
      <c r="B54" s="124">
        <v>17</v>
      </c>
      <c r="C54" s="76">
        <v>1.19047619E-2</v>
      </c>
      <c r="D54" s="13">
        <v>17.7</v>
      </c>
      <c r="E54" s="14">
        <f>IF(ISNUMBER(D54), (D54 - $B54) / $B54, "")</f>
        <v>4.1176470588235252E-2</v>
      </c>
      <c r="F54" s="16">
        <f>IF(ISNUMBER(D54), $B64 * E54, "")</f>
        <v>4117.6470588235252</v>
      </c>
      <c r="G54" s="29">
        <v>17.8</v>
      </c>
      <c r="H54" s="14">
        <f>IF(ISNUMBER(G54), (G54 - $B54) / $B54, "")</f>
        <v>4.7058823529411806E-2</v>
      </c>
      <c r="I54" s="100">
        <f>IF(ISNUMBER(G54), $B64 * H54, "")</f>
        <v>4705.8823529411802</v>
      </c>
      <c r="J54" s="13">
        <v>17.399999999999999</v>
      </c>
      <c r="K54" s="14">
        <f>IF(ISNUMBER(J54), (J54 - $B54) / $B54, "")</f>
        <v>2.3529411764705799E-2</v>
      </c>
      <c r="L54" s="16">
        <f>IF(ISNUMBER(J54), $B64 * K54, "")</f>
        <v>2352.9411764705801</v>
      </c>
      <c r="M54" s="29">
        <v>17.600000000000001</v>
      </c>
      <c r="N54" s="14">
        <f>IF(ISNUMBER(M54), (M54 - $B54) / $B54, "")</f>
        <v>3.5294117647058906E-2</v>
      </c>
      <c r="O54" s="16">
        <f>IF(ISNUMBER(M54), $B64 * N54, "")</f>
        <v>3529.4117647058906</v>
      </c>
      <c r="Q54" s="239"/>
      <c r="R54" s="240"/>
      <c r="S54" s="241"/>
    </row>
    <row r="55" spans="1:19" ht="17.25" customHeight="1" thickBot="1">
      <c r="A55" s="162" t="s">
        <v>236</v>
      </c>
      <c r="B55" s="126">
        <v>53.5</v>
      </c>
      <c r="C55" s="77">
        <v>1.1342155E-2</v>
      </c>
      <c r="D55" s="15">
        <v>55.8</v>
      </c>
      <c r="E55" s="32">
        <f t="shared" ref="E55:E58" si="22">IF(ISNUMBER(D55), (D55 - $B55) / $B55, "")</f>
        <v>4.2990654205607423E-2</v>
      </c>
      <c r="F55" s="18">
        <f>IF(ISNUMBER(D55), $B64 * E55, "")</f>
        <v>4299.0654205607425</v>
      </c>
      <c r="G55" s="31">
        <v>56.6</v>
      </c>
      <c r="H55" s="32">
        <f t="shared" ref="H55:H58" si="23">IF(ISNUMBER(G55), (G55 - $B55) / $B55, "")</f>
        <v>5.7943925233644888E-2</v>
      </c>
      <c r="I55" s="101">
        <f>IF(ISNUMBER(G55), $B64 * H55, "")</f>
        <v>5794.3925233644886</v>
      </c>
      <c r="J55" s="15">
        <v>55.1</v>
      </c>
      <c r="K55" s="32">
        <f t="shared" ref="K55:K58" si="24">IF(ISNUMBER(J55), (J55 - $B55) / $B55, "")</f>
        <v>2.9906542056074792E-2</v>
      </c>
      <c r="L55" s="18">
        <f>IF(ISNUMBER(J55), $B64 * K55, "")</f>
        <v>2990.6542056074791</v>
      </c>
      <c r="M55" s="31">
        <v>54.7</v>
      </c>
      <c r="N55" s="32">
        <f t="shared" ref="N55:N58" si="25">IF(ISNUMBER(M55), (M55 - $B55) / $B55, "")</f>
        <v>2.2429906542056129E-2</v>
      </c>
      <c r="O55" s="18">
        <f>IF(ISNUMBER(M55), $B64 * N55, "")</f>
        <v>2242.9906542056128</v>
      </c>
      <c r="Q55" s="242"/>
      <c r="R55" s="243"/>
      <c r="S55" s="244"/>
    </row>
    <row r="56" spans="1:19" ht="17.25" customHeight="1" thickBot="1">
      <c r="A56" s="162" t="s">
        <v>152</v>
      </c>
      <c r="B56" s="126">
        <v>20.399999999999999</v>
      </c>
      <c r="C56" s="77">
        <v>9.9009900999999997E-3</v>
      </c>
      <c r="D56" s="15">
        <v>20.8</v>
      </c>
      <c r="E56" s="32">
        <f t="shared" si="22"/>
        <v>1.9607843137255009E-2</v>
      </c>
      <c r="F56" s="18">
        <f>IF(ISNUMBER(D56), $B64 * E56, "")</f>
        <v>1960.7843137255009</v>
      </c>
      <c r="G56" s="31">
        <v>21.3</v>
      </c>
      <c r="H56" s="32">
        <f t="shared" si="23"/>
        <v>4.4117647058823636E-2</v>
      </c>
      <c r="I56" s="101">
        <f>IF(ISNUMBER(G56), $B64 * H56, "")</f>
        <v>4411.7647058823641</v>
      </c>
      <c r="J56" s="15">
        <v>20.7</v>
      </c>
      <c r="K56" s="32">
        <f t="shared" si="24"/>
        <v>1.4705882352941213E-2</v>
      </c>
      <c r="L56" s="18">
        <f>IF(ISNUMBER(J56), $B64 * K56, "")</f>
        <v>1470.5882352941212</v>
      </c>
      <c r="M56" s="31">
        <v>20.7</v>
      </c>
      <c r="N56" s="32">
        <f t="shared" si="25"/>
        <v>1.4705882352941213E-2</v>
      </c>
      <c r="O56" s="18">
        <f>IF(ISNUMBER(M56), $B64 * N56, "")</f>
        <v>1470.5882352941212</v>
      </c>
      <c r="Q56" s="235"/>
      <c r="R56" s="235"/>
      <c r="S56" s="235"/>
    </row>
    <row r="57" spans="1:19" ht="17.25" customHeight="1" thickBot="1">
      <c r="A57" s="162" t="s">
        <v>228</v>
      </c>
      <c r="B57" s="126">
        <v>10.9</v>
      </c>
      <c r="C57" s="77">
        <v>9.2592592999999994E-3</v>
      </c>
      <c r="D57" s="15">
        <v>11</v>
      </c>
      <c r="E57" s="32">
        <f t="shared" si="22"/>
        <v>9.1743119266054721E-3</v>
      </c>
      <c r="F57" s="18">
        <f>IF(ISNUMBER(D57), $B64 * E57, "")</f>
        <v>917.43119266054725</v>
      </c>
      <c r="G57" s="31">
        <v>11.3</v>
      </c>
      <c r="H57" s="32">
        <f t="shared" si="23"/>
        <v>3.6697247706422048E-2</v>
      </c>
      <c r="I57" s="101">
        <f>IF(ISNUMBER(G57), $B64 * H57, "")</f>
        <v>3669.7247706422049</v>
      </c>
      <c r="J57" s="15">
        <v>11</v>
      </c>
      <c r="K57" s="32">
        <f t="shared" si="24"/>
        <v>9.1743119266054721E-3</v>
      </c>
      <c r="L57" s="18">
        <f>IF(ISNUMBER(J57), $B64 * K57, "")</f>
        <v>917.43119266054725</v>
      </c>
      <c r="M57" s="31">
        <v>11</v>
      </c>
      <c r="N57" s="32">
        <f t="shared" si="25"/>
        <v>9.1743119266054721E-3</v>
      </c>
      <c r="O57" s="18">
        <f>IF(ISNUMBER(M57), $B64 * N57, "")</f>
        <v>917.43119266054725</v>
      </c>
      <c r="Q57" s="245"/>
      <c r="R57" s="245"/>
      <c r="S57" s="245"/>
    </row>
    <row r="58" spans="1:19" ht="17.25" customHeight="1" thickBot="1">
      <c r="A58" s="163" t="s">
        <v>212</v>
      </c>
      <c r="B58" s="128">
        <v>79.7</v>
      </c>
      <c r="C58" s="78">
        <v>8.8607595000000008E-3</v>
      </c>
      <c r="D58" s="20">
        <v>80.599999999999994</v>
      </c>
      <c r="E58" s="21">
        <f t="shared" si="22"/>
        <v>1.1292346298619717E-2</v>
      </c>
      <c r="F58" s="22">
        <f>IF(ISNUMBER(D58), $B64 * E58, "")</f>
        <v>1129.2346298619718</v>
      </c>
      <c r="G58" s="30">
        <v>81.7</v>
      </c>
      <c r="H58" s="21">
        <f t="shared" si="23"/>
        <v>2.5094102885821833E-2</v>
      </c>
      <c r="I58" s="105">
        <f>IF(ISNUMBER(G58), $B64 * H58, "")</f>
        <v>2509.4102885821831</v>
      </c>
      <c r="J58" s="20">
        <v>80.3</v>
      </c>
      <c r="K58" s="21">
        <f t="shared" si="24"/>
        <v>7.5282308657464783E-3</v>
      </c>
      <c r="L58" s="22">
        <f>IF(ISNUMBER(J58), $B64 * K58, "")</f>
        <v>752.82308657464785</v>
      </c>
      <c r="M58" s="30">
        <v>80.5</v>
      </c>
      <c r="N58" s="21">
        <f t="shared" si="25"/>
        <v>1.0037641154328697E-2</v>
      </c>
      <c r="O58" s="22">
        <f>IF(ISNUMBER(M58), $B64 * N58, "")</f>
        <v>1003.7641154328697</v>
      </c>
      <c r="Q58" s="245"/>
      <c r="R58" s="245"/>
      <c r="S58" s="245"/>
    </row>
    <row r="59" spans="1:19" ht="17.25" customHeight="1" thickBot="1">
      <c r="A59" s="162" t="s">
        <v>254</v>
      </c>
      <c r="B59" s="129">
        <v>52.9</v>
      </c>
      <c r="C59" s="80">
        <v>7.6190475999999997E-3</v>
      </c>
      <c r="D59" s="106">
        <v>55.5</v>
      </c>
      <c r="E59" s="107">
        <f>IF(ISNUMBER(D59), (D59 - $B59) / $B59, "")</f>
        <v>4.914933837429114E-2</v>
      </c>
      <c r="F59" s="108">
        <f>IF(ISNUMBER(D59), $B64 * E59, "")</f>
        <v>4914.9338374291137</v>
      </c>
      <c r="G59" s="109">
        <v>55.6</v>
      </c>
      <c r="H59" s="107">
        <f>IF(ISNUMBER(G59), (G59 - $B59) / $B59, "")</f>
        <v>5.1039697542533138E-2</v>
      </c>
      <c r="I59" s="110">
        <f>IF(ISNUMBER(G59), $B64 * H59, "")</f>
        <v>5103.969754253314</v>
      </c>
      <c r="J59" s="106">
        <v>53.9</v>
      </c>
      <c r="K59" s="107">
        <f>IF(ISNUMBER(J59), (J59 - $B59) / $B59, "")</f>
        <v>1.890359168241966E-2</v>
      </c>
      <c r="L59" s="108">
        <f>IF(ISNUMBER(J59), $B64 * K59, "")</f>
        <v>1890.359168241966</v>
      </c>
      <c r="M59" s="109">
        <v>54.2</v>
      </c>
      <c r="N59" s="107">
        <f>IF(ISNUMBER(M59), (M59 - $B59) / $B59, "")</f>
        <v>2.457466918714564E-2</v>
      </c>
      <c r="O59" s="108">
        <f>IF(ISNUMBER(M59), $B64 * N59, "")</f>
        <v>2457.4669187145641</v>
      </c>
      <c r="Q59" s="235"/>
      <c r="R59" s="235"/>
      <c r="S59" s="235"/>
    </row>
    <row r="60" spans="1:19" ht="17.25" customHeight="1" thickBot="1">
      <c r="A60" s="162" t="s">
        <v>134</v>
      </c>
      <c r="B60" s="126">
        <v>95.7</v>
      </c>
      <c r="C60" s="77">
        <v>7.3684210999999996E-3</v>
      </c>
      <c r="D60" s="15">
        <v>96.8</v>
      </c>
      <c r="E60" s="32">
        <f t="shared" ref="E60:E63" si="26">IF(ISNUMBER(D60), (D60 - $B60) / $B60, "")</f>
        <v>1.1494252873563159E-2</v>
      </c>
      <c r="F60" s="18">
        <f>IF(ISNUMBER(D60), $B64 * E60, "")</f>
        <v>1149.4252873563159</v>
      </c>
      <c r="G60" s="31">
        <v>98.2</v>
      </c>
      <c r="H60" s="32">
        <f t="shared" ref="H60:H63" si="27">IF(ISNUMBER(G60), (G60 - $B60) / $B60, "")</f>
        <v>2.612330198537095E-2</v>
      </c>
      <c r="I60" s="101">
        <f>IF(ISNUMBER(G60), $B64 * H60, "")</f>
        <v>2612.3301985370949</v>
      </c>
      <c r="J60" s="15">
        <v>96.9</v>
      </c>
      <c r="K60" s="32">
        <f t="shared" ref="K60:K63" si="28">IF(ISNUMBER(J60), (J60 - $B60) / $B60, "")</f>
        <v>1.2539184952978085E-2</v>
      </c>
      <c r="L60" s="18">
        <f>IF(ISNUMBER(J60), $B64 * K60, "")</f>
        <v>1253.9184952978085</v>
      </c>
      <c r="M60" s="31">
        <v>97.6</v>
      </c>
      <c r="N60" s="32">
        <f t="shared" ref="N60:N63" si="29">IF(ISNUMBER(M60), (M60 - $B60) / $B60, "")</f>
        <v>1.9853709508881833E-2</v>
      </c>
      <c r="O60" s="18">
        <f>IF(ISNUMBER(M60), $B64 * N60, "")</f>
        <v>1985.3709508881834</v>
      </c>
      <c r="Q60" s="235"/>
      <c r="R60" s="235"/>
      <c r="S60" s="235"/>
    </row>
    <row r="61" spans="1:19" ht="17.25" customHeight="1" thickBot="1">
      <c r="A61" s="162" t="s">
        <v>100</v>
      </c>
      <c r="B61" s="126">
        <v>4.46</v>
      </c>
      <c r="C61" s="77">
        <v>6.7720089999999998E-3</v>
      </c>
      <c r="D61" s="15">
        <v>4.5199999999999996</v>
      </c>
      <c r="E61" s="32">
        <f t="shared" si="26"/>
        <v>1.345291479820619E-2</v>
      </c>
      <c r="F61" s="18">
        <f>IF(ISNUMBER(D61), $B64 * E61, "")</f>
        <v>1345.2914798206191</v>
      </c>
      <c r="G61" s="31">
        <v>4.7300000000000004</v>
      </c>
      <c r="H61" s="32">
        <f t="shared" si="27"/>
        <v>6.0538116591928356E-2</v>
      </c>
      <c r="I61" s="101">
        <f>IF(ISNUMBER(G61), $B64 * H61, "")</f>
        <v>6053.8116591928356</v>
      </c>
      <c r="J61" s="15">
        <v>4.54</v>
      </c>
      <c r="K61" s="32">
        <f t="shared" si="28"/>
        <v>1.7937219730941721E-2</v>
      </c>
      <c r="L61" s="18">
        <f>IF(ISNUMBER(J61), $B64 * K61, "")</f>
        <v>1793.7219730941722</v>
      </c>
      <c r="M61" s="31">
        <v>4.5999999999999996</v>
      </c>
      <c r="N61" s="32">
        <f t="shared" si="29"/>
        <v>3.1390134529147913E-2</v>
      </c>
      <c r="O61" s="18">
        <f>IF(ISNUMBER(M61), $B64 * N61, "")</f>
        <v>3139.0134529147913</v>
      </c>
      <c r="Q61" s="235"/>
      <c r="R61" s="235"/>
      <c r="S61" s="235"/>
    </row>
    <row r="62" spans="1:19" ht="17.25" customHeight="1">
      <c r="A62" s="162" t="s">
        <v>264</v>
      </c>
      <c r="B62" s="126">
        <v>91.5</v>
      </c>
      <c r="C62" s="77">
        <v>6.6006601E-3</v>
      </c>
      <c r="D62" s="15">
        <v>92.2</v>
      </c>
      <c r="E62" s="32">
        <f t="shared" si="26"/>
        <v>7.6502732240437471E-3</v>
      </c>
      <c r="F62" s="18">
        <f>IF(ISNUMBER(D62), $B64 * E62, "")</f>
        <v>765.02732240437467</v>
      </c>
      <c r="G62" s="31">
        <v>93.9</v>
      </c>
      <c r="H62" s="32">
        <f t="shared" si="27"/>
        <v>2.6229508196721374E-2</v>
      </c>
      <c r="I62" s="101">
        <f>IF(ISNUMBER(G62), $B64 * H62, "")</f>
        <v>2622.9508196721372</v>
      </c>
      <c r="J62" s="15">
        <v>92.1</v>
      </c>
      <c r="K62" s="32">
        <f t="shared" si="28"/>
        <v>6.5573770491802654E-3</v>
      </c>
      <c r="L62" s="18">
        <f>IF(ISNUMBER(J62), $B64 * K62, "")</f>
        <v>655.73770491802657</v>
      </c>
      <c r="M62" s="31">
        <v>93.4</v>
      </c>
      <c r="N62" s="32">
        <f t="shared" si="29"/>
        <v>2.0765027322404435E-2</v>
      </c>
      <c r="O62" s="18">
        <f>IF(ISNUMBER(M62), $B64 * N62, "")</f>
        <v>2076.5027322404435</v>
      </c>
      <c r="Q62" s="224"/>
      <c r="R62" s="225"/>
      <c r="S62" s="226"/>
    </row>
    <row r="63" spans="1:19" ht="17.25" customHeight="1" thickBot="1">
      <c r="A63" s="130" t="s">
        <v>122</v>
      </c>
      <c r="B63" s="131">
        <v>70.400000000000006</v>
      </c>
      <c r="C63" s="79">
        <v>5.7142857000000002E-3</v>
      </c>
      <c r="D63" s="24">
        <v>70.599999999999994</v>
      </c>
      <c r="E63" s="25">
        <f t="shared" si="26"/>
        <v>2.8409090909089292E-3</v>
      </c>
      <c r="F63" s="104">
        <f>IF(ISNUMBER(D63), $B64 * E63, "")</f>
        <v>284.09090909089292</v>
      </c>
      <c r="G63" s="102">
        <v>71.2</v>
      </c>
      <c r="H63" s="25">
        <f t="shared" si="27"/>
        <v>1.1363636363636322E-2</v>
      </c>
      <c r="I63" s="103">
        <f>IF(ISNUMBER(G63), $B64 * H63, "")</f>
        <v>1136.3636363636322</v>
      </c>
      <c r="J63" s="24">
        <v>71.099999999999994</v>
      </c>
      <c r="K63" s="25">
        <f t="shared" si="28"/>
        <v>9.9431818181816567E-3</v>
      </c>
      <c r="L63" s="104">
        <f>IF(ISNUMBER(J63), $B64 * K63, "")</f>
        <v>994.31818181816561</v>
      </c>
      <c r="M63" s="102">
        <v>71</v>
      </c>
      <c r="N63" s="25">
        <f t="shared" si="29"/>
        <v>8.5227272727271906E-3</v>
      </c>
      <c r="O63" s="104">
        <f>IF(ISNUMBER(M63), $B64 * N63, "")</f>
        <v>852.27272727271907</v>
      </c>
      <c r="Q63" s="227"/>
      <c r="R63" s="228"/>
      <c r="S63" s="229"/>
    </row>
    <row r="64" spans="1:19" ht="17.25" customHeight="1" thickBot="1">
      <c r="A64" s="132" t="s">
        <v>300</v>
      </c>
      <c r="B64" s="288">
        <f>$B$37</f>
        <v>100000</v>
      </c>
      <c r="C64" s="289"/>
      <c r="D64" s="26" t="s">
        <v>301</v>
      </c>
      <c r="E64" s="27">
        <f>IF(COUNT(E44:E63), SUM(E44:E63) / COUNT(E44:E63), 0)</f>
        <v>1.8526656253944326E-2</v>
      </c>
      <c r="F64" s="28">
        <f>SUM(F44:F63)</f>
        <v>37053.312507888651</v>
      </c>
      <c r="G64" s="26" t="s">
        <v>301</v>
      </c>
      <c r="H64" s="27">
        <f>IF(COUNT(H44:H63), SUM(H44:H63) / COUNT(H44:H63), 0)</f>
        <v>3.7923577834512681E-2</v>
      </c>
      <c r="I64" s="28">
        <f>SUM(I44:I63)</f>
        <v>75847.155669025378</v>
      </c>
      <c r="J64" s="26" t="s">
        <v>301</v>
      </c>
      <c r="K64" s="27">
        <f>IF(COUNT(K44:K63), SUM(K44:K63) / COUNT(K44:K63), 0)</f>
        <v>1.2216024908878324E-2</v>
      </c>
      <c r="L64" s="28">
        <f>SUM(L44:L63)</f>
        <v>24432.049817756648</v>
      </c>
      <c r="M64" s="26" t="s">
        <v>301</v>
      </c>
      <c r="N64" s="27">
        <f>IF(COUNT(N44:N63), SUM(N44:N63) / COUNT(N44:N63), 0)</f>
        <v>1.8179595803991418E-2</v>
      </c>
      <c r="O64" s="28">
        <f>SUM(O44:O63)</f>
        <v>36359.191607982844</v>
      </c>
      <c r="Q64" s="230"/>
      <c r="R64" s="231"/>
      <c r="S64" s="232"/>
    </row>
    <row r="65" spans="1:19" ht="17.25" customHeight="1"/>
    <row r="66" spans="1:19" ht="17.25" customHeight="1" thickBot="1"/>
    <row r="67" spans="1:19" ht="17.25" thickBot="1">
      <c r="A67" s="246" t="s">
        <v>45</v>
      </c>
      <c r="B67" s="247"/>
      <c r="C67" s="247"/>
      <c r="D67" s="247"/>
      <c r="E67" s="247"/>
      <c r="F67" s="247"/>
      <c r="G67" s="247"/>
      <c r="H67" s="247"/>
      <c r="I67" s="247"/>
      <c r="J67" s="247"/>
      <c r="K67" s="247"/>
      <c r="L67" s="247"/>
      <c r="M67" s="247"/>
      <c r="N67" s="247"/>
      <c r="O67" s="248"/>
      <c r="Q67" s="245"/>
      <c r="R67" s="245"/>
      <c r="S67" s="245"/>
    </row>
    <row r="68" spans="1:19" ht="17.25" thickBot="1">
      <c r="A68" s="168" t="s">
        <v>297</v>
      </c>
      <c r="B68" s="246" t="s">
        <v>49</v>
      </c>
      <c r="C68" s="248"/>
      <c r="D68" s="246" t="s">
        <v>58</v>
      </c>
      <c r="E68" s="247"/>
      <c r="F68" s="248"/>
      <c r="G68" s="249">
        <f>_xlfn.IFNA(VLOOKUP(B68, 현재가테이블!$B$2:$D$200, 2, FALSE), "-")</f>
        <v>45335000</v>
      </c>
      <c r="H68" s="250"/>
      <c r="I68" s="251"/>
      <c r="J68" s="246" t="s">
        <v>59</v>
      </c>
      <c r="K68" s="247"/>
      <c r="L68" s="248"/>
      <c r="M68" s="252">
        <f>_xlfn.IFNA(VLOOKUP(B68, 현재가테이블!$B$2:$D$200, 3, FALSE), "-")</f>
        <v>-2.27209037E-2</v>
      </c>
      <c r="N68" s="253"/>
      <c r="O68" s="254"/>
      <c r="Q68" s="245"/>
      <c r="R68" s="245"/>
      <c r="S68" s="245"/>
    </row>
    <row r="69" spans="1:19" ht="17.25" thickBot="1">
      <c r="A69" s="290" t="s">
        <v>55</v>
      </c>
      <c r="B69" s="286" t="str">
        <f>TEXT($G$1, "[$-ko-KR]yyyy-mm-dd(ddd) ") &amp; "오전 00:00"</f>
        <v>2021-06-03(목) 오전 00:00</v>
      </c>
      <c r="C69" s="287"/>
      <c r="D69" s="259" t="str">
        <f>TEXT($G$1, "[$-ko-KR]yyyy-mm-dd(ddd) ") &amp; "오후 14:00"</f>
        <v>2021-06-03(목) 오후 14:00</v>
      </c>
      <c r="E69" s="260"/>
      <c r="F69" s="261"/>
      <c r="G69" s="259" t="str">
        <f>TEXT($G$1, "[$-ko-KR]yyyy-mm-dd(ddd) ") &amp; "오후 19:00"</f>
        <v>2021-06-03(목) 오후 19:00</v>
      </c>
      <c r="H69" s="260"/>
      <c r="I69" s="261"/>
      <c r="J69" s="259" t="str">
        <f>TEXT($G$1, "[$-ko-KR]yyyy-mm-dd(ddd) ") &amp; "오후 21:00"</f>
        <v>2021-06-03(목) 오후 21:00</v>
      </c>
      <c r="K69" s="260"/>
      <c r="L69" s="261"/>
      <c r="M69" s="259" t="str">
        <f>TEXT($G$1+1, "[$-ko-KR]yyyy-mm-dd(ddd) ") &amp; "오전 00:00"</f>
        <v>2021-06-04(금) 오전 00:00</v>
      </c>
      <c r="N69" s="260"/>
      <c r="O69" s="261"/>
      <c r="Q69" s="245"/>
      <c r="R69" s="245"/>
      <c r="S69" s="245"/>
    </row>
    <row r="70" spans="1:19" ht="17.25" thickBot="1">
      <c r="A70" s="291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69" t="s">
        <v>58</v>
      </c>
      <c r="H70" s="170" t="s">
        <v>298</v>
      </c>
      <c r="I70" s="171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5"/>
      <c r="R70" s="235"/>
      <c r="S70" s="235"/>
    </row>
    <row r="71" spans="1:19" ht="17.25" thickBot="1">
      <c r="A71" s="161" t="s">
        <v>296</v>
      </c>
      <c r="B71" s="124">
        <v>488</v>
      </c>
      <c r="C71" s="76">
        <v>0.11670480549999999</v>
      </c>
      <c r="D71" s="13">
        <v>506</v>
      </c>
      <c r="E71" s="14">
        <f>IF(ISNUMBER(D71), (D71 - $B71) / $B71, "")</f>
        <v>3.6885245901639344E-2</v>
      </c>
      <c r="F71" s="16">
        <f>IF(ISNUMBER(D71), $B91 * E71, "")</f>
        <v>3688.5245901639341</v>
      </c>
      <c r="G71" s="29">
        <v>494</v>
      </c>
      <c r="H71" s="14">
        <f>IF(ISNUMBER(G71), (G71 - $B71) / $B71, "")</f>
        <v>1.2295081967213115E-2</v>
      </c>
      <c r="I71" s="100">
        <f>IF(ISNUMBER(G71), $B91 * H71, "")</f>
        <v>1229.5081967213114</v>
      </c>
      <c r="J71" s="13">
        <v>475</v>
      </c>
      <c r="K71" s="14">
        <f>IF(ISNUMBER(J71), (J71 - $B71) / $B71, "")</f>
        <v>-2.663934426229508E-2</v>
      </c>
      <c r="L71" s="16">
        <f>IF(ISNUMBER(J71), $B91 * K71, "")</f>
        <v>-2663.9344262295081</v>
      </c>
      <c r="M71" s="29">
        <v>471</v>
      </c>
      <c r="N71" s="14">
        <f>IF(ISNUMBER(M71), (M71 - $B71) / $B71, "")</f>
        <v>-3.4836065573770489E-2</v>
      </c>
      <c r="O71" s="16">
        <f>IF(ISNUMBER(M71), $B91 * N71, "")</f>
        <v>-3483.6065573770488</v>
      </c>
      <c r="Q71" s="245"/>
      <c r="R71" s="245"/>
      <c r="S71" s="245"/>
    </row>
    <row r="72" spans="1:19" ht="17.25" thickBot="1">
      <c r="A72" s="162" t="s">
        <v>80</v>
      </c>
      <c r="B72" s="126">
        <v>949</v>
      </c>
      <c r="C72" s="77">
        <v>7.9635949900000003E-2</v>
      </c>
      <c r="D72" s="15">
        <v>957</v>
      </c>
      <c r="E72" s="32">
        <f t="shared" ref="E72:E75" si="30">IF(ISNUMBER(D72), (D72 - $B72) / $B72, "")</f>
        <v>8.4299262381454156E-3</v>
      </c>
      <c r="F72" s="18">
        <f>IF(ISNUMBER(D72), $B91 * E72, "")</f>
        <v>842.99262381454162</v>
      </c>
      <c r="G72" s="31">
        <v>980</v>
      </c>
      <c r="H72" s="32">
        <f t="shared" ref="H72:H75" si="31">IF(ISNUMBER(G72), (G72 - $B72) / $B72, "")</f>
        <v>3.2665964172813484E-2</v>
      </c>
      <c r="I72" s="101">
        <f>IF(ISNUMBER(G72), $B91 * H72, "")</f>
        <v>3266.5964172813483</v>
      </c>
      <c r="J72" s="15">
        <v>943</v>
      </c>
      <c r="K72" s="32">
        <f t="shared" ref="K72:K75" si="32">IF(ISNUMBER(J72), (J72 - $B72) / $B72, "")</f>
        <v>-6.3224446786090622E-3</v>
      </c>
      <c r="L72" s="18">
        <f>IF(ISNUMBER(J72), $B91 * K72, "")</f>
        <v>-632.24446786090618</v>
      </c>
      <c r="M72" s="31">
        <v>945</v>
      </c>
      <c r="N72" s="32">
        <f t="shared" ref="N72:N75" si="33">IF(ISNUMBER(M72), (M72 - $B72) / $B72, "")</f>
        <v>-4.2149631190727078E-3</v>
      </c>
      <c r="O72" s="18">
        <f>IF(ISNUMBER(M72), $B91 * N72, "")</f>
        <v>-421.49631190727081</v>
      </c>
      <c r="Q72" s="245"/>
      <c r="R72" s="245"/>
      <c r="S72" s="245"/>
    </row>
    <row r="73" spans="1:19" ht="17.25" thickBot="1">
      <c r="A73" s="162" t="s">
        <v>136</v>
      </c>
      <c r="B73" s="126">
        <v>147</v>
      </c>
      <c r="C73" s="77">
        <v>5.75539568E-2</v>
      </c>
      <c r="D73" s="15">
        <v>147</v>
      </c>
      <c r="E73" s="32">
        <f t="shared" si="30"/>
        <v>0</v>
      </c>
      <c r="F73" s="18">
        <f>IF(ISNUMBER(D73), $B91 * E73, "")</f>
        <v>0</v>
      </c>
      <c r="G73" s="31">
        <v>170</v>
      </c>
      <c r="H73" s="32">
        <f t="shared" si="31"/>
        <v>0.15646258503401361</v>
      </c>
      <c r="I73" s="101">
        <f>IF(ISNUMBER(G73), $B91 * H73, "")</f>
        <v>15646.258503401361</v>
      </c>
      <c r="J73" s="15">
        <v>163</v>
      </c>
      <c r="K73" s="32">
        <f t="shared" si="32"/>
        <v>0.10884353741496598</v>
      </c>
      <c r="L73" s="18">
        <f>IF(ISNUMBER(J73), $B91 * K73, "")</f>
        <v>10884.353741496598</v>
      </c>
      <c r="M73" s="31">
        <v>164</v>
      </c>
      <c r="N73" s="32">
        <f t="shared" si="33"/>
        <v>0.11564625850340136</v>
      </c>
      <c r="O73" s="18">
        <f>IF(ISNUMBER(M73), $B91 * N73, "")</f>
        <v>11564.625850340137</v>
      </c>
      <c r="Q73" s="235"/>
      <c r="R73" s="235"/>
      <c r="S73" s="235"/>
    </row>
    <row r="74" spans="1:19" ht="17.25" thickBot="1">
      <c r="A74" s="162" t="s">
        <v>232</v>
      </c>
      <c r="B74" s="126">
        <v>122</v>
      </c>
      <c r="C74" s="77">
        <v>5.1724137900000001E-2</v>
      </c>
      <c r="D74" s="15">
        <v>123</v>
      </c>
      <c r="E74" s="32">
        <f t="shared" si="30"/>
        <v>8.1967213114754103E-3</v>
      </c>
      <c r="F74" s="18">
        <f>IF(ISNUMBER(D74), $B91 * E74, "")</f>
        <v>819.67213114754099</v>
      </c>
      <c r="G74" s="31">
        <v>123</v>
      </c>
      <c r="H74" s="32">
        <f t="shared" si="31"/>
        <v>8.1967213114754103E-3</v>
      </c>
      <c r="I74" s="101">
        <f>IF(ISNUMBER(G74), $B91 * H74, "")</f>
        <v>819.67213114754099</v>
      </c>
      <c r="J74" s="15">
        <v>123</v>
      </c>
      <c r="K74" s="32">
        <f t="shared" si="32"/>
        <v>8.1967213114754103E-3</v>
      </c>
      <c r="L74" s="18">
        <f>IF(ISNUMBER(J74), $B91 * K74, "")</f>
        <v>819.67213114754099</v>
      </c>
      <c r="M74" s="31">
        <v>122</v>
      </c>
      <c r="N74" s="32">
        <f t="shared" si="33"/>
        <v>0</v>
      </c>
      <c r="O74" s="18">
        <f>IF(ISNUMBER(M74), $B91 * N74, "")</f>
        <v>0</v>
      </c>
      <c r="Q74" s="235"/>
      <c r="R74" s="235"/>
      <c r="S74" s="235"/>
    </row>
    <row r="75" spans="1:19" ht="17.25" thickBot="1">
      <c r="A75" s="163" t="s">
        <v>132</v>
      </c>
      <c r="B75" s="128">
        <v>149</v>
      </c>
      <c r="C75" s="78">
        <v>4.1958042000000001E-2</v>
      </c>
      <c r="D75" s="20">
        <v>151</v>
      </c>
      <c r="E75" s="21">
        <f t="shared" si="30"/>
        <v>1.3422818791946308E-2</v>
      </c>
      <c r="F75" s="22">
        <f>IF(ISNUMBER(D75), $B91 * E75, "")</f>
        <v>1342.2818791946308</v>
      </c>
      <c r="G75" s="30">
        <v>158</v>
      </c>
      <c r="H75" s="21">
        <f t="shared" si="31"/>
        <v>6.0402684563758392E-2</v>
      </c>
      <c r="I75" s="105">
        <f>IF(ISNUMBER(G75), $B91 * H75, "")</f>
        <v>6040.2684563758394</v>
      </c>
      <c r="J75" s="20">
        <v>154</v>
      </c>
      <c r="K75" s="21">
        <f t="shared" si="32"/>
        <v>3.3557046979865772E-2</v>
      </c>
      <c r="L75" s="22">
        <f>IF(ISNUMBER(J75), $B91 * K75, "")</f>
        <v>3355.7046979865772</v>
      </c>
      <c r="M75" s="30">
        <v>157</v>
      </c>
      <c r="N75" s="21">
        <f t="shared" si="33"/>
        <v>5.3691275167785234E-2</v>
      </c>
      <c r="O75" s="22">
        <f>IF(ISNUMBER(M75), $B91 * N75, "")</f>
        <v>5369.1275167785234</v>
      </c>
      <c r="Q75" s="235"/>
      <c r="R75" s="235"/>
      <c r="S75" s="235"/>
    </row>
    <row r="76" spans="1:19" ht="17.25" thickBot="1">
      <c r="A76" s="162" t="s">
        <v>54</v>
      </c>
      <c r="B76" s="129">
        <v>277</v>
      </c>
      <c r="C76" s="80">
        <v>3.3582089599999997E-2</v>
      </c>
      <c r="D76" s="106">
        <v>277</v>
      </c>
      <c r="E76" s="107">
        <f>IF(ISNUMBER(D76), (D76 - $B76) / $B76, "")</f>
        <v>0</v>
      </c>
      <c r="F76" s="108">
        <f>IF(ISNUMBER(D76), $B91 * E76, "")</f>
        <v>0</v>
      </c>
      <c r="G76" s="109">
        <v>287</v>
      </c>
      <c r="H76" s="107">
        <f>IF(ISNUMBER(G76), (G76 - $B76) / $B76, "")</f>
        <v>3.6101083032490974E-2</v>
      </c>
      <c r="I76" s="110">
        <f>IF(ISNUMBER(G76), $B91 * H76, "")</f>
        <v>3610.1083032490974</v>
      </c>
      <c r="J76" s="106">
        <v>279</v>
      </c>
      <c r="K76" s="107">
        <f>IF(ISNUMBER(J76), (J76 - $B76) / $B76, "")</f>
        <v>7.2202166064981952E-3</v>
      </c>
      <c r="L76" s="108">
        <f>IF(ISNUMBER(J76), $B91 * K76, "")</f>
        <v>722.02166064981952</v>
      </c>
      <c r="M76" s="109">
        <v>290</v>
      </c>
      <c r="N76" s="107">
        <f>IF(ISNUMBER(M76), (M76 - $B76) / $B76, "")</f>
        <v>4.6931407942238268E-2</v>
      </c>
      <c r="O76" s="108">
        <f>IF(ISNUMBER(M76), $B91 * N76, "")</f>
        <v>4693.1407942238266</v>
      </c>
      <c r="Q76" s="235"/>
      <c r="R76" s="235"/>
      <c r="S76" s="235"/>
    </row>
    <row r="77" spans="1:19" ht="17.25" thickBot="1">
      <c r="A77" s="162" t="s">
        <v>202</v>
      </c>
      <c r="B77" s="126">
        <v>124</v>
      </c>
      <c r="C77" s="77">
        <v>3.3333333299999997E-2</v>
      </c>
      <c r="D77" s="15">
        <v>130</v>
      </c>
      <c r="E77" s="32">
        <f t="shared" ref="E77:E80" si="34">IF(ISNUMBER(D77), (D77 - $B77) / $B77, "")</f>
        <v>4.8387096774193547E-2</v>
      </c>
      <c r="F77" s="18">
        <f>IF(ISNUMBER(D77), $B91 * E77, "")</f>
        <v>4838.7096774193551</v>
      </c>
      <c r="G77" s="31">
        <v>129</v>
      </c>
      <c r="H77" s="32">
        <f t="shared" ref="H77:H80" si="35">IF(ISNUMBER(G77), (G77 - $B77) / $B77, "")</f>
        <v>4.0322580645161289E-2</v>
      </c>
      <c r="I77" s="101">
        <f>IF(ISNUMBER(G77), $B91 * H77, "")</f>
        <v>4032.2580645161288</v>
      </c>
      <c r="J77" s="15">
        <v>130</v>
      </c>
      <c r="K77" s="32">
        <f t="shared" ref="K77:K80" si="36">IF(ISNUMBER(J77), (J77 - $B77) / $B77, "")</f>
        <v>4.8387096774193547E-2</v>
      </c>
      <c r="L77" s="18">
        <f>IF(ISNUMBER(J77), $B91 * K77, "")</f>
        <v>4838.7096774193551</v>
      </c>
      <c r="M77" s="31">
        <v>128</v>
      </c>
      <c r="N77" s="32">
        <f t="shared" ref="N77:N80" si="37">IF(ISNUMBER(M77), (M77 - $B77) / $B77, "")</f>
        <v>3.2258064516129031E-2</v>
      </c>
      <c r="O77" s="18">
        <f>IF(ISNUMBER(M77), $B91 * N77, "")</f>
        <v>3225.8064516129029</v>
      </c>
      <c r="Q77" s="235"/>
      <c r="R77" s="235"/>
      <c r="S77" s="235"/>
    </row>
    <row r="78" spans="1:19" ht="17.25" thickBot="1">
      <c r="A78" s="162" t="s">
        <v>128</v>
      </c>
      <c r="B78" s="126">
        <v>398</v>
      </c>
      <c r="C78" s="77">
        <v>2.8423772600000001E-2</v>
      </c>
      <c r="D78" s="15">
        <v>398</v>
      </c>
      <c r="E78" s="32">
        <f t="shared" si="34"/>
        <v>0</v>
      </c>
      <c r="F78" s="18">
        <f>IF(ISNUMBER(D78), $B91 * E78, "")</f>
        <v>0</v>
      </c>
      <c r="G78" s="31">
        <v>425</v>
      </c>
      <c r="H78" s="32">
        <f t="shared" si="35"/>
        <v>6.78391959798995E-2</v>
      </c>
      <c r="I78" s="101">
        <f>IF(ISNUMBER(G78), $B91 * H78, "")</f>
        <v>6783.9195979899496</v>
      </c>
      <c r="J78" s="15">
        <v>415</v>
      </c>
      <c r="K78" s="32">
        <f t="shared" si="36"/>
        <v>4.2713567839195977E-2</v>
      </c>
      <c r="L78" s="18">
        <f>IF(ISNUMBER(J78), $B91 * K78, "")</f>
        <v>4271.3567839195975</v>
      </c>
      <c r="M78" s="31">
        <v>417</v>
      </c>
      <c r="N78" s="32">
        <f t="shared" si="37"/>
        <v>4.7738693467336682E-2</v>
      </c>
      <c r="O78" s="18">
        <f>IF(ISNUMBER(M78), $B91 * N78, "")</f>
        <v>4773.869346733668</v>
      </c>
      <c r="Q78" s="235"/>
      <c r="R78" s="235"/>
      <c r="S78" s="235"/>
    </row>
    <row r="79" spans="1:19" ht="17.25" thickBot="1">
      <c r="A79" s="162" t="s">
        <v>57</v>
      </c>
      <c r="B79" s="126">
        <v>227</v>
      </c>
      <c r="C79" s="77">
        <v>2.7149321300000001E-2</v>
      </c>
      <c r="D79" s="15">
        <v>229</v>
      </c>
      <c r="E79" s="32">
        <f t="shared" si="34"/>
        <v>8.8105726872246704E-3</v>
      </c>
      <c r="F79" s="18">
        <f>IF(ISNUMBER(D79), $B91 * E79, "")</f>
        <v>881.05726872246703</v>
      </c>
      <c r="G79" s="31">
        <v>237</v>
      </c>
      <c r="H79" s="32">
        <f t="shared" si="35"/>
        <v>4.405286343612335E-2</v>
      </c>
      <c r="I79" s="101">
        <f>IF(ISNUMBER(G79), $B91 * H79, "")</f>
        <v>4405.2863436123353</v>
      </c>
      <c r="J79" s="15">
        <v>230</v>
      </c>
      <c r="K79" s="32">
        <f t="shared" si="36"/>
        <v>1.3215859030837005E-2</v>
      </c>
      <c r="L79" s="18">
        <f>IF(ISNUMBER(J79), $B91 * K79, "")</f>
        <v>1321.5859030837005</v>
      </c>
      <c r="M79" s="31">
        <v>232</v>
      </c>
      <c r="N79" s="32">
        <f t="shared" si="37"/>
        <v>2.2026431718061675E-2</v>
      </c>
      <c r="O79" s="18">
        <f>IF(ISNUMBER(M79), $B91 * N79, "")</f>
        <v>2202.6431718061676</v>
      </c>
      <c r="Q79" s="33"/>
      <c r="R79" s="33"/>
    </row>
    <row r="80" spans="1:19" ht="17.25" thickBot="1">
      <c r="A80" s="130" t="s">
        <v>216</v>
      </c>
      <c r="B80" s="131">
        <v>294</v>
      </c>
      <c r="C80" s="79">
        <v>2.4390243900000001E-2</v>
      </c>
      <c r="D80" s="24">
        <v>295</v>
      </c>
      <c r="E80" s="25">
        <f t="shared" si="34"/>
        <v>3.4013605442176869E-3</v>
      </c>
      <c r="F80" s="104">
        <f>IF(ISNUMBER(D80), $B91 * E80, "")</f>
        <v>340.13605442176868</v>
      </c>
      <c r="G80" s="102">
        <v>301</v>
      </c>
      <c r="H80" s="25">
        <f t="shared" si="35"/>
        <v>2.3809523809523808E-2</v>
      </c>
      <c r="I80" s="103">
        <f>IF(ISNUMBER(G80), $B91 * H80, "")</f>
        <v>2380.9523809523807</v>
      </c>
      <c r="J80" s="24">
        <v>295</v>
      </c>
      <c r="K80" s="25">
        <f t="shared" si="36"/>
        <v>3.4013605442176869E-3</v>
      </c>
      <c r="L80" s="104">
        <f>IF(ISNUMBER(J80), $B91 * K80, "")</f>
        <v>340.13605442176868</v>
      </c>
      <c r="M80" s="102">
        <v>296</v>
      </c>
      <c r="N80" s="25">
        <f t="shared" si="37"/>
        <v>6.8027210884353739E-3</v>
      </c>
      <c r="O80" s="104">
        <f>IF(ISNUMBER(M80), $B91 * N80, "")</f>
        <v>680.27210884353735</v>
      </c>
      <c r="Q80" s="236"/>
      <c r="R80" s="237"/>
      <c r="S80" s="238"/>
    </row>
    <row r="81" spans="1:19">
      <c r="A81" s="161" t="s">
        <v>240</v>
      </c>
      <c r="B81" s="124">
        <v>128</v>
      </c>
      <c r="C81" s="76">
        <v>2.4E-2</v>
      </c>
      <c r="D81" s="13">
        <v>134</v>
      </c>
      <c r="E81" s="14">
        <f>IF(ISNUMBER(D81), (D81 - $B81) / $B81, "")</f>
        <v>4.6875E-2</v>
      </c>
      <c r="F81" s="16">
        <f>IF(ISNUMBER(D81), $B91 * E81, "")</f>
        <v>4687.5</v>
      </c>
      <c r="G81" s="29">
        <v>138</v>
      </c>
      <c r="H81" s="14">
        <f>IF(ISNUMBER(G81), (G81 - $B81) / $B81, "")</f>
        <v>7.8125E-2</v>
      </c>
      <c r="I81" s="100">
        <f>IF(ISNUMBER(G81), $B91 * H81, "")</f>
        <v>7812.5</v>
      </c>
      <c r="J81" s="13">
        <v>133</v>
      </c>
      <c r="K81" s="14">
        <f>IF(ISNUMBER(J81), (J81 - $B81) / $B81, "")</f>
        <v>3.90625E-2</v>
      </c>
      <c r="L81" s="16">
        <f>IF(ISNUMBER(J81), $B91 * K81, "")</f>
        <v>3906.25</v>
      </c>
      <c r="M81" s="29">
        <v>137</v>
      </c>
      <c r="N81" s="14">
        <f>IF(ISNUMBER(M81), (M81 - $B81) / $B81, "")</f>
        <v>7.03125E-2</v>
      </c>
      <c r="O81" s="16">
        <f>IF(ISNUMBER(M81), $B91 * N81, "")</f>
        <v>7031.25</v>
      </c>
      <c r="Q81" s="239"/>
      <c r="R81" s="240"/>
      <c r="S81" s="241"/>
    </row>
    <row r="82" spans="1:19" ht="17.25" thickBot="1">
      <c r="A82" s="162" t="s">
        <v>284</v>
      </c>
      <c r="B82" s="126">
        <v>263</v>
      </c>
      <c r="C82" s="77">
        <v>2.3346303499999999E-2</v>
      </c>
      <c r="D82" s="15">
        <v>272</v>
      </c>
      <c r="E82" s="32">
        <f t="shared" ref="E82:E85" si="38">IF(ISNUMBER(D82), (D82 - $B82) / $B82, "")</f>
        <v>3.4220532319391636E-2</v>
      </c>
      <c r="F82" s="18">
        <f>IF(ISNUMBER(D82), $B91 * E82, "")</f>
        <v>3422.0532319391637</v>
      </c>
      <c r="G82" s="31">
        <v>279</v>
      </c>
      <c r="H82" s="32">
        <f t="shared" ref="H82:H85" si="39">IF(ISNUMBER(G82), (G82 - $B82) / $B82, "")</f>
        <v>6.0836501901140684E-2</v>
      </c>
      <c r="I82" s="101">
        <f>IF(ISNUMBER(G82), $B91 * H82, "")</f>
        <v>6083.6501901140682</v>
      </c>
      <c r="J82" s="15">
        <v>271</v>
      </c>
      <c r="K82" s="32">
        <f t="shared" ref="K82:K85" si="40">IF(ISNUMBER(J82), (J82 - $B82) / $B82, "")</f>
        <v>3.0418250950570342E-2</v>
      </c>
      <c r="L82" s="18">
        <f>IF(ISNUMBER(J82), $B91 * K82, "")</f>
        <v>3041.8250950570341</v>
      </c>
      <c r="M82" s="31">
        <v>274</v>
      </c>
      <c r="N82" s="32">
        <f t="shared" ref="N82:N85" si="41">IF(ISNUMBER(M82), (M82 - $B82) / $B82, "")</f>
        <v>4.1825095057034217E-2</v>
      </c>
      <c r="O82" s="18">
        <f>IF(ISNUMBER(M82), $B91 * N82, "")</f>
        <v>4182.5095057034214</v>
      </c>
      <c r="Q82" s="242"/>
      <c r="R82" s="243"/>
      <c r="S82" s="244"/>
    </row>
    <row r="83" spans="1:19" ht="17.25" thickBot="1">
      <c r="A83" s="162" t="s">
        <v>210</v>
      </c>
      <c r="B83" s="126">
        <v>135</v>
      </c>
      <c r="C83" s="77">
        <v>2.2727272699999999E-2</v>
      </c>
      <c r="D83" s="15">
        <v>136</v>
      </c>
      <c r="E83" s="32">
        <f t="shared" si="38"/>
        <v>7.4074074074074077E-3</v>
      </c>
      <c r="F83" s="18">
        <f>IF(ISNUMBER(D83), $B91 * E83, "")</f>
        <v>740.74074074074076</v>
      </c>
      <c r="G83" s="31">
        <v>139</v>
      </c>
      <c r="H83" s="32">
        <f t="shared" si="39"/>
        <v>2.9629629629629631E-2</v>
      </c>
      <c r="I83" s="101">
        <f>IF(ISNUMBER(G83), $B91 * H83, "")</f>
        <v>2962.962962962963</v>
      </c>
      <c r="J83" s="15">
        <v>137</v>
      </c>
      <c r="K83" s="32">
        <f t="shared" si="40"/>
        <v>1.4814814814814815E-2</v>
      </c>
      <c r="L83" s="18">
        <f>IF(ISNUMBER(J83), $B91 * K83, "")</f>
        <v>1481.4814814814815</v>
      </c>
      <c r="M83" s="31">
        <v>137</v>
      </c>
      <c r="N83" s="32">
        <f t="shared" si="41"/>
        <v>1.4814814814814815E-2</v>
      </c>
      <c r="O83" s="18">
        <f>IF(ISNUMBER(M83), $B91 * N83, "")</f>
        <v>1481.4814814814815</v>
      </c>
      <c r="Q83" s="235"/>
      <c r="R83" s="235"/>
      <c r="S83" s="235"/>
    </row>
    <row r="84" spans="1:19" ht="17.25" thickBot="1">
      <c r="A84" s="162" t="s">
        <v>256</v>
      </c>
      <c r="B84" s="126">
        <v>181</v>
      </c>
      <c r="C84" s="77">
        <v>2.2598870100000001E-2</v>
      </c>
      <c r="D84" s="15">
        <v>182</v>
      </c>
      <c r="E84" s="32">
        <f t="shared" si="38"/>
        <v>5.5248618784530384E-3</v>
      </c>
      <c r="F84" s="18">
        <f>IF(ISNUMBER(D84), $B91 * E84, "")</f>
        <v>552.48618784530379</v>
      </c>
      <c r="G84" s="31">
        <v>186</v>
      </c>
      <c r="H84" s="32">
        <f t="shared" si="39"/>
        <v>2.7624309392265192E-2</v>
      </c>
      <c r="I84" s="101">
        <f>IF(ISNUMBER(G84), $B91 * H84, "")</f>
        <v>2762.4309392265191</v>
      </c>
      <c r="J84" s="15">
        <v>183</v>
      </c>
      <c r="K84" s="32">
        <f t="shared" si="40"/>
        <v>1.1049723756906077E-2</v>
      </c>
      <c r="L84" s="18">
        <f>IF(ISNUMBER(J84), $B91 * K84, "")</f>
        <v>1104.9723756906076</v>
      </c>
      <c r="M84" s="31">
        <v>185</v>
      </c>
      <c r="N84" s="32">
        <f t="shared" si="41"/>
        <v>2.2099447513812154E-2</v>
      </c>
      <c r="O84" s="18">
        <f>IF(ISNUMBER(M84), $B91 * N84, "")</f>
        <v>2209.9447513812152</v>
      </c>
      <c r="Q84" s="245"/>
      <c r="R84" s="245"/>
      <c r="S84" s="245"/>
    </row>
    <row r="85" spans="1:19" ht="17.25" thickBot="1">
      <c r="A85" s="163" t="s">
        <v>116</v>
      </c>
      <c r="B85" s="128">
        <v>388</v>
      </c>
      <c r="C85" s="78">
        <v>2.10526316E-2</v>
      </c>
      <c r="D85" s="20">
        <v>388</v>
      </c>
      <c r="E85" s="21">
        <f t="shared" si="38"/>
        <v>0</v>
      </c>
      <c r="F85" s="22">
        <f>IF(ISNUMBER(D85), $B91 * E85, "")</f>
        <v>0</v>
      </c>
      <c r="G85" s="30">
        <v>404</v>
      </c>
      <c r="H85" s="21">
        <f t="shared" si="39"/>
        <v>4.1237113402061855E-2</v>
      </c>
      <c r="I85" s="105">
        <f>IF(ISNUMBER(G85), $B91 * H85, "")</f>
        <v>4123.7113402061859</v>
      </c>
      <c r="J85" s="20">
        <v>391</v>
      </c>
      <c r="K85" s="21">
        <f t="shared" si="40"/>
        <v>7.7319587628865982E-3</v>
      </c>
      <c r="L85" s="22">
        <f>IF(ISNUMBER(J85), $B91 * K85, "")</f>
        <v>773.19587628865986</v>
      </c>
      <c r="M85" s="30">
        <v>398</v>
      </c>
      <c r="N85" s="21">
        <f t="shared" si="41"/>
        <v>2.5773195876288658E-2</v>
      </c>
      <c r="O85" s="22">
        <f>IF(ISNUMBER(M85), $B91 * N85, "")</f>
        <v>2577.319587628866</v>
      </c>
      <c r="Q85" s="245"/>
      <c r="R85" s="245"/>
      <c r="S85" s="245"/>
    </row>
    <row r="86" spans="1:19" ht="17.25" thickBot="1">
      <c r="A86" s="162" t="s">
        <v>120</v>
      </c>
      <c r="B86" s="129">
        <v>148</v>
      </c>
      <c r="C86" s="80">
        <v>2.06896552E-2</v>
      </c>
      <c r="D86" s="106">
        <v>150</v>
      </c>
      <c r="E86" s="107">
        <f>IF(ISNUMBER(D86), (D86 - $B86) / $B86, "")</f>
        <v>1.3513513513513514E-2</v>
      </c>
      <c r="F86" s="108">
        <f>IF(ISNUMBER(D86), $B91 * E86, "")</f>
        <v>1351.3513513513515</v>
      </c>
      <c r="G86" s="109">
        <v>153</v>
      </c>
      <c r="H86" s="107">
        <f>IF(ISNUMBER(G86), (G86 - $B86) / $B86, "")</f>
        <v>3.3783783783783786E-2</v>
      </c>
      <c r="I86" s="110">
        <f>IF(ISNUMBER(G86), $B91 * H86, "")</f>
        <v>3378.3783783783788</v>
      </c>
      <c r="J86" s="106">
        <v>150</v>
      </c>
      <c r="K86" s="107">
        <f>IF(ISNUMBER(J86), (J86 - $B86) / $B86, "")</f>
        <v>1.3513513513513514E-2</v>
      </c>
      <c r="L86" s="108">
        <f>IF(ISNUMBER(J86), $B91 * K86, "")</f>
        <v>1351.3513513513515</v>
      </c>
      <c r="M86" s="109">
        <v>149</v>
      </c>
      <c r="N86" s="107">
        <f>IF(ISNUMBER(M86), (M86 - $B86) / $B86, "")</f>
        <v>6.7567567567567571E-3</v>
      </c>
      <c r="O86" s="108">
        <f>IF(ISNUMBER(M86), $B91 * N86, "")</f>
        <v>675.67567567567573</v>
      </c>
      <c r="Q86" s="235"/>
      <c r="R86" s="235"/>
      <c r="S86" s="235"/>
    </row>
    <row r="87" spans="1:19" ht="17.25" thickBot="1">
      <c r="A87" s="162" t="s">
        <v>61</v>
      </c>
      <c r="B87" s="126">
        <v>999</v>
      </c>
      <c r="C87" s="77">
        <v>2.0429009200000001E-2</v>
      </c>
      <c r="D87" s="15">
        <v>1005</v>
      </c>
      <c r="E87" s="32">
        <f t="shared" ref="E87:E90" si="42">IF(ISNUMBER(D87), (D87 - $B87) / $B87, "")</f>
        <v>6.006006006006006E-3</v>
      </c>
      <c r="F87" s="18">
        <f>IF(ISNUMBER(D87), $B91 * E87, "")</f>
        <v>600.60060060060061</v>
      </c>
      <c r="G87" s="31">
        <v>1035</v>
      </c>
      <c r="H87" s="32">
        <f t="shared" ref="H87:H90" si="43">IF(ISNUMBER(G87), (G87 - $B87) / $B87, "")</f>
        <v>3.6036036036036036E-2</v>
      </c>
      <c r="I87" s="101">
        <f>IF(ISNUMBER(G87), $B91 * H87, "")</f>
        <v>3603.6036036036035</v>
      </c>
      <c r="J87" s="15">
        <v>1005</v>
      </c>
      <c r="K87" s="32">
        <f t="shared" ref="K87:K90" si="44">IF(ISNUMBER(J87), (J87 - $B87) / $B87, "")</f>
        <v>6.006006006006006E-3</v>
      </c>
      <c r="L87" s="18">
        <f>IF(ISNUMBER(J87), $B91 * K87, "")</f>
        <v>600.60060060060061</v>
      </c>
      <c r="M87" s="31">
        <v>1015</v>
      </c>
      <c r="N87" s="32">
        <f t="shared" ref="N87:N90" si="45">IF(ISNUMBER(M87), (M87 - $B87) / $B87, "")</f>
        <v>1.6016016016016016E-2</v>
      </c>
      <c r="O87" s="18">
        <f>IF(ISNUMBER(M87), $B91 * N87, "")</f>
        <v>1601.6016016016015</v>
      </c>
      <c r="Q87" s="235"/>
      <c r="R87" s="235"/>
      <c r="S87" s="235"/>
    </row>
    <row r="88" spans="1:19" ht="17.25" thickBot="1">
      <c r="A88" s="162" t="s">
        <v>182</v>
      </c>
      <c r="B88" s="126">
        <v>308</v>
      </c>
      <c r="C88" s="77">
        <v>1.9867549700000001E-2</v>
      </c>
      <c r="D88" s="15">
        <v>310</v>
      </c>
      <c r="E88" s="32">
        <f t="shared" si="42"/>
        <v>6.4935064935064939E-3</v>
      </c>
      <c r="F88" s="18">
        <f>IF(ISNUMBER(D88), $B91 * E88, "")</f>
        <v>649.35064935064941</v>
      </c>
      <c r="G88" s="31">
        <v>316</v>
      </c>
      <c r="H88" s="32">
        <f t="shared" si="43"/>
        <v>2.5974025974025976E-2</v>
      </c>
      <c r="I88" s="101">
        <f>IF(ISNUMBER(G88), $B91 * H88, "")</f>
        <v>2597.4025974025976</v>
      </c>
      <c r="J88" s="15">
        <v>308</v>
      </c>
      <c r="K88" s="32">
        <f t="shared" si="44"/>
        <v>0</v>
      </c>
      <c r="L88" s="18">
        <f>IF(ISNUMBER(J88), $B91 * K88, "")</f>
        <v>0</v>
      </c>
      <c r="M88" s="31">
        <v>311</v>
      </c>
      <c r="N88" s="32">
        <f t="shared" si="45"/>
        <v>9.74025974025974E-3</v>
      </c>
      <c r="O88" s="18">
        <f>IF(ISNUMBER(M88), $B91 * N88, "")</f>
        <v>974.02597402597405</v>
      </c>
      <c r="Q88" s="235"/>
      <c r="R88" s="235"/>
      <c r="S88" s="235"/>
    </row>
    <row r="89" spans="1:19">
      <c r="A89" s="162" t="s">
        <v>270</v>
      </c>
      <c r="B89" s="126">
        <v>365</v>
      </c>
      <c r="C89" s="77">
        <v>1.9553072599999999E-2</v>
      </c>
      <c r="D89" s="15">
        <v>380</v>
      </c>
      <c r="E89" s="32">
        <f t="shared" si="42"/>
        <v>4.1095890410958902E-2</v>
      </c>
      <c r="F89" s="18">
        <f>IF(ISNUMBER(D89), $B91 * E89, "")</f>
        <v>4109.58904109589</v>
      </c>
      <c r="G89" s="31">
        <v>386</v>
      </c>
      <c r="H89" s="32">
        <f t="shared" si="43"/>
        <v>5.7534246575342465E-2</v>
      </c>
      <c r="I89" s="101">
        <f>IF(ISNUMBER(G89), $B91 * H89, "")</f>
        <v>5753.4246575342468</v>
      </c>
      <c r="J89" s="15">
        <v>381</v>
      </c>
      <c r="K89" s="32">
        <f t="shared" si="44"/>
        <v>4.3835616438356165E-2</v>
      </c>
      <c r="L89" s="18">
        <f>IF(ISNUMBER(J89), $B91 * K89, "")</f>
        <v>4383.5616438356165</v>
      </c>
      <c r="M89" s="31">
        <v>381</v>
      </c>
      <c r="N89" s="32">
        <f t="shared" si="45"/>
        <v>4.3835616438356165E-2</v>
      </c>
      <c r="O89" s="18">
        <f>IF(ISNUMBER(M89), $B91 * N89, "")</f>
        <v>4383.5616438356165</v>
      </c>
      <c r="Q89" s="224"/>
      <c r="R89" s="225"/>
      <c r="S89" s="226"/>
    </row>
    <row r="90" spans="1:19" ht="17.25" thickBot="1">
      <c r="A90" s="130" t="s">
        <v>262</v>
      </c>
      <c r="B90" s="131">
        <v>655</v>
      </c>
      <c r="C90" s="79">
        <v>1.2364760400000001E-2</v>
      </c>
      <c r="D90" s="24">
        <v>659</v>
      </c>
      <c r="E90" s="25">
        <f t="shared" si="42"/>
        <v>6.1068702290076335E-3</v>
      </c>
      <c r="F90" s="104">
        <f>IF(ISNUMBER(D90), $B91 * E90, "")</f>
        <v>610.6870229007634</v>
      </c>
      <c r="G90" s="102">
        <v>673</v>
      </c>
      <c r="H90" s="25">
        <f t="shared" si="43"/>
        <v>2.748091603053435E-2</v>
      </c>
      <c r="I90" s="103">
        <f>IF(ISNUMBER(G90), $B91 * H90, "")</f>
        <v>2748.0916030534349</v>
      </c>
      <c r="J90" s="24">
        <v>657</v>
      </c>
      <c r="K90" s="25">
        <f t="shared" si="44"/>
        <v>3.0534351145038168E-3</v>
      </c>
      <c r="L90" s="104">
        <f>IF(ISNUMBER(J90), $B91 * K90, "")</f>
        <v>305.3435114503817</v>
      </c>
      <c r="M90" s="102">
        <v>664</v>
      </c>
      <c r="N90" s="25">
        <f t="shared" si="45"/>
        <v>1.3740458015267175E-2</v>
      </c>
      <c r="O90" s="104">
        <f>IF(ISNUMBER(M90), $B91 * N90, "")</f>
        <v>1374.0458015267175</v>
      </c>
      <c r="Q90" s="227"/>
      <c r="R90" s="228"/>
      <c r="S90" s="229"/>
    </row>
    <row r="91" spans="1:19" ht="17.25" thickBot="1">
      <c r="A91" s="132" t="s">
        <v>300</v>
      </c>
      <c r="B91" s="288">
        <f>$B$37</f>
        <v>100000</v>
      </c>
      <c r="C91" s="289"/>
      <c r="D91" s="26" t="s">
        <v>301</v>
      </c>
      <c r="E91" s="27">
        <f>IF(COUNT(E71:E90), SUM(E71:E90) / COUNT(E71:E90), 0)</f>
        <v>1.473886652535435E-2</v>
      </c>
      <c r="F91" s="28">
        <f>SUM(F71:F90)</f>
        <v>29477.733050708699</v>
      </c>
      <c r="G91" s="26" t="s">
        <v>301</v>
      </c>
      <c r="H91" s="27">
        <f>IF(COUNT(H71:H90), SUM(H71:H90) / COUNT(H71:H90), 0)</f>
        <v>4.5020492333864646E-2</v>
      </c>
      <c r="I91" s="28">
        <f>SUM(I71:I90)</f>
        <v>90040.984667729266</v>
      </c>
      <c r="J91" s="26" t="s">
        <v>301</v>
      </c>
      <c r="K91" s="27">
        <f>IF(COUNT(K71:K90), SUM(K71:K90) / COUNT(K71:K90), 0)</f>
        <v>2.0102971845895136E-2</v>
      </c>
      <c r="L91" s="28">
        <f>SUM(L71:L90)</f>
        <v>40205.943691790271</v>
      </c>
      <c r="M91" s="26" t="s">
        <v>301</v>
      </c>
      <c r="N91" s="27">
        <f>IF(COUNT(N71:N90), SUM(N71:N90) / COUNT(N71:N90), 0)</f>
        <v>2.7547899196957503E-2</v>
      </c>
      <c r="O91" s="28">
        <f>SUM(O71:O90)</f>
        <v>55095.798393914993</v>
      </c>
      <c r="Q91" s="230"/>
      <c r="R91" s="231"/>
      <c r="S91" s="232"/>
    </row>
    <row r="93" spans="1:19" ht="17.25" thickBot="1"/>
    <row r="94" spans="1:19" ht="17.25" thickBot="1">
      <c r="A94" s="246" t="s">
        <v>46</v>
      </c>
      <c r="B94" s="247"/>
      <c r="C94" s="247"/>
      <c r="D94" s="247"/>
      <c r="E94" s="247"/>
      <c r="F94" s="247"/>
      <c r="G94" s="247"/>
      <c r="H94" s="247"/>
      <c r="I94" s="247"/>
      <c r="J94" s="247"/>
      <c r="K94" s="247"/>
      <c r="L94" s="247"/>
      <c r="M94" s="247"/>
      <c r="N94" s="247"/>
      <c r="O94" s="248"/>
      <c r="Q94" s="245"/>
      <c r="R94" s="245"/>
      <c r="S94" s="245"/>
    </row>
    <row r="95" spans="1:19" ht="17.25" thickBot="1">
      <c r="A95" s="168" t="s">
        <v>297</v>
      </c>
      <c r="B95" s="246" t="s">
        <v>49</v>
      </c>
      <c r="C95" s="248"/>
      <c r="D95" s="246" t="s">
        <v>58</v>
      </c>
      <c r="E95" s="247"/>
      <c r="F95" s="248"/>
      <c r="G95" s="249">
        <f>_xlfn.IFNA(VLOOKUP(B95, 현재가테이블!$B$2:$D$200, 2, FALSE), "-")</f>
        <v>45335000</v>
      </c>
      <c r="H95" s="250"/>
      <c r="I95" s="251"/>
      <c r="J95" s="246" t="s">
        <v>59</v>
      </c>
      <c r="K95" s="247"/>
      <c r="L95" s="248"/>
      <c r="M95" s="252">
        <f>_xlfn.IFNA(VLOOKUP(B95, 현재가테이블!$B$2:$D$200, 3, FALSE), "-")</f>
        <v>-2.27209037E-2</v>
      </c>
      <c r="N95" s="253"/>
      <c r="O95" s="254"/>
      <c r="Q95" s="245"/>
      <c r="R95" s="245"/>
      <c r="S95" s="245"/>
    </row>
    <row r="96" spans="1:19" ht="17.25" thickBot="1">
      <c r="A96" s="290" t="s">
        <v>55</v>
      </c>
      <c r="B96" s="286" t="str">
        <f>TEXT($G$1, "[$-ko-KR]yyyy-mm-dd(ddd) ") &amp; "오전 00:00"</f>
        <v>2021-06-03(목) 오전 00:00</v>
      </c>
      <c r="C96" s="287"/>
      <c r="D96" s="259" t="str">
        <f>TEXT($G$1, "[$-ko-KR]yyyy-mm-dd(ddd) ") &amp; "오후 14:00"</f>
        <v>2021-06-03(목) 오후 14:00</v>
      </c>
      <c r="E96" s="260"/>
      <c r="F96" s="261"/>
      <c r="G96" s="259" t="str">
        <f>TEXT($G$1, "[$-ko-KR]yyyy-mm-dd(ddd) ") &amp; "오후 19:00"</f>
        <v>2021-06-03(목) 오후 19:00</v>
      </c>
      <c r="H96" s="260"/>
      <c r="I96" s="261"/>
      <c r="J96" s="259" t="str">
        <f>TEXT($G$1, "[$-ko-KR]yyyy-mm-dd(ddd) ") &amp; "오후 21:00"</f>
        <v>2021-06-03(목) 오후 21:00</v>
      </c>
      <c r="K96" s="260"/>
      <c r="L96" s="261"/>
      <c r="M96" s="259" t="str">
        <f>TEXT($G$1+1, "[$-ko-KR]yyyy-mm-dd(ddd) ") &amp; "오전 00:00"</f>
        <v>2021-06-04(금) 오전 00:00</v>
      </c>
      <c r="N96" s="260"/>
      <c r="O96" s="261"/>
      <c r="Q96" s="245"/>
      <c r="R96" s="245"/>
      <c r="S96" s="245"/>
    </row>
    <row r="97" spans="1:19" ht="17.25" thickBot="1">
      <c r="A97" s="291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69" t="s">
        <v>58</v>
      </c>
      <c r="H97" s="170" t="s">
        <v>298</v>
      </c>
      <c r="I97" s="171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5"/>
      <c r="R97" s="235"/>
      <c r="S97" s="235"/>
    </row>
    <row r="98" spans="1:19" ht="17.25" thickBot="1">
      <c r="A98" s="161" t="s">
        <v>118</v>
      </c>
      <c r="B98" s="124">
        <v>6405</v>
      </c>
      <c r="C98" s="76">
        <v>0.52500000000000002</v>
      </c>
      <c r="D98" s="13">
        <v>6340</v>
      </c>
      <c r="E98" s="14">
        <f>IF(ISNUMBER(D98), (D98 - $B98) / $B98, "")</f>
        <v>-1.0148321623731461E-2</v>
      </c>
      <c r="F98" s="16">
        <f>IF(ISNUMBER(D98), $B118 * E98, "")</f>
        <v>-1014.832162373146</v>
      </c>
      <c r="G98" s="29">
        <v>6270</v>
      </c>
      <c r="H98" s="14">
        <f>IF(ISNUMBER(G98), (G98 - $B98) / $B98, "")</f>
        <v>-2.1077283372365339E-2</v>
      </c>
      <c r="I98" s="100">
        <f>IF(ISNUMBER(G98), $B118 * H98, "")</f>
        <v>-2107.7283372365337</v>
      </c>
      <c r="J98" s="13">
        <v>6005</v>
      </c>
      <c r="K98" s="14">
        <f>IF(ISNUMBER(J98), (J98 - $B98) / $B98, "")</f>
        <v>-6.2451209992193599E-2</v>
      </c>
      <c r="L98" s="16">
        <f>IF(ISNUMBER(J98), $B118 * K98, "")</f>
        <v>-6245.1209992193599</v>
      </c>
      <c r="M98" s="29">
        <v>6010</v>
      </c>
      <c r="N98" s="14">
        <f>IF(ISNUMBER(M98), (M98 - $B98) / $B98, "")</f>
        <v>-6.1670569867291178E-2</v>
      </c>
      <c r="O98" s="16">
        <f>IF(ISNUMBER(M98), $B118 * N98, "")</f>
        <v>-6167.0569867291179</v>
      </c>
      <c r="Q98" s="245"/>
      <c r="R98" s="245"/>
      <c r="S98" s="245"/>
    </row>
    <row r="99" spans="1:19" ht="17.25" thickBot="1">
      <c r="A99" s="162" t="s">
        <v>140</v>
      </c>
      <c r="B99" s="126">
        <v>2790</v>
      </c>
      <c r="C99" s="77">
        <v>0.1698113208</v>
      </c>
      <c r="D99" s="15">
        <v>2975</v>
      </c>
      <c r="E99" s="32">
        <f t="shared" ref="E99:E102" si="46">IF(ISNUMBER(D99), (D99 - $B99) / $B99, "")</f>
        <v>6.6308243727598568E-2</v>
      </c>
      <c r="F99" s="18">
        <f>IF(ISNUMBER(D99), $B118 * E99, "")</f>
        <v>6630.8243727598565</v>
      </c>
      <c r="G99" s="31">
        <v>2945</v>
      </c>
      <c r="H99" s="32">
        <f t="shared" ref="H99:H102" si="47">IF(ISNUMBER(G99), (G99 - $B99) / $B99, "")</f>
        <v>5.5555555555555552E-2</v>
      </c>
      <c r="I99" s="101">
        <f>IF(ISNUMBER(G99), $B118 * H99, "")</f>
        <v>5555.5555555555557</v>
      </c>
      <c r="J99" s="15">
        <v>2850</v>
      </c>
      <c r="K99" s="32">
        <f t="shared" ref="K99:K102" si="48">IF(ISNUMBER(J99), (J99 - $B99) / $B99, "")</f>
        <v>2.1505376344086023E-2</v>
      </c>
      <c r="L99" s="18">
        <f>IF(ISNUMBER(J99), $B118 * K99, "")</f>
        <v>2150.5376344086021</v>
      </c>
      <c r="M99" s="31">
        <v>2840</v>
      </c>
      <c r="N99" s="32">
        <f t="shared" ref="N99:N102" si="49">IF(ISNUMBER(M99), (M99 - $B99) / $B99, "")</f>
        <v>1.7921146953405017E-2</v>
      </c>
      <c r="O99" s="18">
        <f>IF(ISNUMBER(M99), $B118 * N99, "")</f>
        <v>1792.1146953405016</v>
      </c>
      <c r="Q99" s="245"/>
      <c r="R99" s="245"/>
      <c r="S99" s="245"/>
    </row>
    <row r="100" spans="1:19" ht="17.25" thickBot="1">
      <c r="A100" s="162" t="s">
        <v>106</v>
      </c>
      <c r="B100" s="126">
        <v>1365</v>
      </c>
      <c r="C100" s="77">
        <v>0.12345679010000001</v>
      </c>
      <c r="D100" s="15">
        <v>1350</v>
      </c>
      <c r="E100" s="32">
        <f t="shared" si="46"/>
        <v>-1.098901098901099E-2</v>
      </c>
      <c r="F100" s="18">
        <f>IF(ISNUMBER(D100), $B118 * E100, "")</f>
        <v>-1098.901098901099</v>
      </c>
      <c r="G100" s="31">
        <v>1395</v>
      </c>
      <c r="H100" s="32">
        <f t="shared" si="47"/>
        <v>2.197802197802198E-2</v>
      </c>
      <c r="I100" s="101">
        <f>IF(ISNUMBER(G100), $B118 * H100, "")</f>
        <v>2197.802197802198</v>
      </c>
      <c r="J100" s="15">
        <v>1340</v>
      </c>
      <c r="K100" s="32">
        <f t="shared" si="48"/>
        <v>-1.8315018315018316E-2</v>
      </c>
      <c r="L100" s="18">
        <f>IF(ISNUMBER(J100), $B118 * K100, "")</f>
        <v>-1831.5018315018315</v>
      </c>
      <c r="M100" s="31">
        <v>1360</v>
      </c>
      <c r="N100" s="32">
        <f t="shared" si="49"/>
        <v>-3.663003663003663E-3</v>
      </c>
      <c r="O100" s="18">
        <f>IF(ISNUMBER(M100), $B118 * N100, "")</f>
        <v>-366.30036630036631</v>
      </c>
      <c r="Q100" s="235"/>
      <c r="R100" s="235"/>
      <c r="S100" s="235"/>
    </row>
    <row r="101" spans="1:19" ht="17.25" thickBot="1">
      <c r="A101" s="162" t="s">
        <v>296</v>
      </c>
      <c r="B101" s="126">
        <v>488</v>
      </c>
      <c r="C101" s="77">
        <v>0.11670480549999999</v>
      </c>
      <c r="D101" s="15">
        <v>506</v>
      </c>
      <c r="E101" s="32">
        <f t="shared" si="46"/>
        <v>3.6885245901639344E-2</v>
      </c>
      <c r="F101" s="18">
        <f>IF(ISNUMBER(D101), $B118 * E101, "")</f>
        <v>3688.5245901639341</v>
      </c>
      <c r="G101" s="31">
        <v>494</v>
      </c>
      <c r="H101" s="32">
        <f t="shared" si="47"/>
        <v>1.2295081967213115E-2</v>
      </c>
      <c r="I101" s="101">
        <f>IF(ISNUMBER(G101), $B118 * H101, "")</f>
        <v>1229.5081967213114</v>
      </c>
      <c r="J101" s="15">
        <v>475</v>
      </c>
      <c r="K101" s="32">
        <f t="shared" si="48"/>
        <v>-2.663934426229508E-2</v>
      </c>
      <c r="L101" s="18">
        <f>IF(ISNUMBER(J101), $B118 * K101, "")</f>
        <v>-2663.9344262295081</v>
      </c>
      <c r="M101" s="31">
        <v>471</v>
      </c>
      <c r="N101" s="32">
        <f t="shared" si="49"/>
        <v>-3.4836065573770489E-2</v>
      </c>
      <c r="O101" s="18">
        <f>IF(ISNUMBER(M101), $B118 * N101, "")</f>
        <v>-3483.6065573770488</v>
      </c>
      <c r="Q101" s="235"/>
      <c r="R101" s="235"/>
      <c r="S101" s="235"/>
    </row>
    <row r="102" spans="1:19" ht="17.25" thickBot="1">
      <c r="A102" s="163" t="s">
        <v>138</v>
      </c>
      <c r="B102" s="128">
        <v>29460</v>
      </c>
      <c r="C102" s="78">
        <v>9.4353640399999994E-2</v>
      </c>
      <c r="D102" s="20">
        <v>32290</v>
      </c>
      <c r="E102" s="21">
        <f t="shared" si="46"/>
        <v>9.6062457569585882E-2</v>
      </c>
      <c r="F102" s="22">
        <f>IF(ISNUMBER(D102), $B118 * E102, "")</f>
        <v>9606.2457569585877</v>
      </c>
      <c r="G102" s="30">
        <v>33100</v>
      </c>
      <c r="H102" s="21">
        <f t="shared" si="47"/>
        <v>0.12355736591989137</v>
      </c>
      <c r="I102" s="105">
        <f>IF(ISNUMBER(G102), $B118 * H102, "")</f>
        <v>12355.736591989138</v>
      </c>
      <c r="J102" s="20">
        <v>31250</v>
      </c>
      <c r="K102" s="21">
        <f t="shared" si="48"/>
        <v>6.0760353021045488E-2</v>
      </c>
      <c r="L102" s="22">
        <f>IF(ISNUMBER(J102), $B118 * K102, "")</f>
        <v>6076.0353021045485</v>
      </c>
      <c r="M102" s="30">
        <v>31510</v>
      </c>
      <c r="N102" s="21">
        <f t="shared" si="49"/>
        <v>6.9585879158180583E-2</v>
      </c>
      <c r="O102" s="22">
        <f>IF(ISNUMBER(M102), $B118 * N102, "")</f>
        <v>6958.5879158180587</v>
      </c>
      <c r="Q102" s="235"/>
      <c r="R102" s="235"/>
      <c r="S102" s="235"/>
    </row>
    <row r="103" spans="1:19" ht="17.25" thickBot="1">
      <c r="A103" s="162" t="s">
        <v>184</v>
      </c>
      <c r="B103" s="129">
        <v>1505</v>
      </c>
      <c r="C103" s="80">
        <v>8.6642599299999998E-2</v>
      </c>
      <c r="D103" s="106">
        <v>1640</v>
      </c>
      <c r="E103" s="107">
        <f>IF(ISNUMBER(D103), (D103 - $B103) / $B103, "")</f>
        <v>8.9700996677740868E-2</v>
      </c>
      <c r="F103" s="108">
        <f>IF(ISNUMBER(D103), $B118 * E103, "")</f>
        <v>8970.0996677740877</v>
      </c>
      <c r="G103" s="109">
        <v>1630</v>
      </c>
      <c r="H103" s="107">
        <f>IF(ISNUMBER(G103), (G103 - $B103) / $B103, "")</f>
        <v>8.3056478405315617E-2</v>
      </c>
      <c r="I103" s="110">
        <f>IF(ISNUMBER(G103), $B118 * H103, "")</f>
        <v>8305.6478405315611</v>
      </c>
      <c r="J103" s="106">
        <v>1665</v>
      </c>
      <c r="K103" s="107">
        <f>IF(ISNUMBER(J103), (J103 - $B103) / $B103, "")</f>
        <v>0.10631229235880399</v>
      </c>
      <c r="L103" s="108">
        <f>IF(ISNUMBER(J103), $B118 * K103, "")</f>
        <v>10631.229235880399</v>
      </c>
      <c r="M103" s="109">
        <v>1715</v>
      </c>
      <c r="N103" s="107">
        <f>IF(ISNUMBER(M103), (M103 - $B103) / $B103, "")</f>
        <v>0.13953488372093023</v>
      </c>
      <c r="O103" s="108">
        <f>IF(ISNUMBER(M103), $B118 * N103, "")</f>
        <v>13953.488372093023</v>
      </c>
      <c r="Q103" s="235"/>
      <c r="R103" s="235"/>
      <c r="S103" s="235"/>
    </row>
    <row r="104" spans="1:19" ht="17.25" thickBot="1">
      <c r="A104" s="162" t="s">
        <v>69</v>
      </c>
      <c r="B104" s="126">
        <v>5845</v>
      </c>
      <c r="C104" s="77">
        <v>8.3410565300000003E-2</v>
      </c>
      <c r="D104" s="15">
        <v>5915</v>
      </c>
      <c r="E104" s="32">
        <f t="shared" ref="E104:E107" si="50">IF(ISNUMBER(D104), (D104 - $B104) / $B104, "")</f>
        <v>1.1976047904191617E-2</v>
      </c>
      <c r="F104" s="18">
        <f>IF(ISNUMBER(D104), $B118 * E104, "")</f>
        <v>1197.6047904191616</v>
      </c>
      <c r="G104" s="31">
        <v>6075</v>
      </c>
      <c r="H104" s="32">
        <f t="shared" ref="H104:H107" si="51">IF(ISNUMBER(G104), (G104 - $B104) / $B104, "")</f>
        <v>3.9349871685201029E-2</v>
      </c>
      <c r="I104" s="101">
        <f>IF(ISNUMBER(G104), $B118 * H104, "")</f>
        <v>3934.9871685201028</v>
      </c>
      <c r="J104" s="15">
        <v>5830</v>
      </c>
      <c r="K104" s="32">
        <f t="shared" ref="K104:K107" si="52">IF(ISNUMBER(J104), (J104 - $B104) / $B104, "")</f>
        <v>-2.5662959794696323E-3</v>
      </c>
      <c r="L104" s="18">
        <f>IF(ISNUMBER(J104), $B118 * K104, "")</f>
        <v>-256.6295979469632</v>
      </c>
      <c r="M104" s="31">
        <v>5875</v>
      </c>
      <c r="N104" s="32">
        <f t="shared" ref="N104:N107" si="53">IF(ISNUMBER(M104), (M104 - $B104) / $B104, "")</f>
        <v>5.1325919589392645E-3</v>
      </c>
      <c r="O104" s="18">
        <f>IF(ISNUMBER(M104), $B118 * N104, "")</f>
        <v>513.2591958939264</v>
      </c>
      <c r="Q104" s="235"/>
      <c r="R104" s="235"/>
      <c r="S104" s="235"/>
    </row>
    <row r="105" spans="1:19" ht="17.25" thickBot="1">
      <c r="A105" s="162" t="s">
        <v>166</v>
      </c>
      <c r="B105" s="126">
        <v>1355</v>
      </c>
      <c r="C105" s="77">
        <v>7.9681274900000001E-2</v>
      </c>
      <c r="D105" s="15">
        <v>1365</v>
      </c>
      <c r="E105" s="32">
        <f t="shared" si="50"/>
        <v>7.3800738007380072E-3</v>
      </c>
      <c r="F105" s="18">
        <f>IF(ISNUMBER(D105), $B118 * E105, "")</f>
        <v>738.00738007380073</v>
      </c>
      <c r="G105" s="31">
        <v>1405</v>
      </c>
      <c r="H105" s="32">
        <f t="shared" si="51"/>
        <v>3.6900369003690037E-2</v>
      </c>
      <c r="I105" s="101">
        <f>IF(ISNUMBER(G105), $B118 * H105, "")</f>
        <v>3690.0369003690039</v>
      </c>
      <c r="J105" s="15">
        <v>1360</v>
      </c>
      <c r="K105" s="32">
        <f t="shared" si="52"/>
        <v>3.6900369003690036E-3</v>
      </c>
      <c r="L105" s="18">
        <f>IF(ISNUMBER(J105), $B118 * K105, "")</f>
        <v>369.00369003690037</v>
      </c>
      <c r="M105" s="31">
        <v>1360</v>
      </c>
      <c r="N105" s="32">
        <f t="shared" si="53"/>
        <v>3.6900369003690036E-3</v>
      </c>
      <c r="O105" s="18">
        <f>IF(ISNUMBER(M105), $B118 * N105, "")</f>
        <v>369.00369003690037</v>
      </c>
      <c r="Q105" s="235"/>
      <c r="R105" s="235"/>
      <c r="S105" s="235"/>
    </row>
    <row r="106" spans="1:19" ht="17.25" thickBot="1">
      <c r="A106" s="162" t="s">
        <v>80</v>
      </c>
      <c r="B106" s="126">
        <v>949</v>
      </c>
      <c r="C106" s="77">
        <v>7.9635949900000003E-2</v>
      </c>
      <c r="D106" s="15">
        <v>957</v>
      </c>
      <c r="E106" s="32">
        <f t="shared" si="50"/>
        <v>8.4299262381454156E-3</v>
      </c>
      <c r="F106" s="18">
        <f>IF(ISNUMBER(D106), $B118 * E106, "")</f>
        <v>842.99262381454162</v>
      </c>
      <c r="G106" s="31">
        <v>980</v>
      </c>
      <c r="H106" s="32">
        <f t="shared" si="51"/>
        <v>3.2665964172813484E-2</v>
      </c>
      <c r="I106" s="101">
        <f>IF(ISNUMBER(G106), $B118 * H106, "")</f>
        <v>3266.5964172813483</v>
      </c>
      <c r="J106" s="15">
        <v>943</v>
      </c>
      <c r="K106" s="32">
        <f t="shared" si="52"/>
        <v>-6.3224446786090622E-3</v>
      </c>
      <c r="L106" s="18">
        <f>IF(ISNUMBER(J106), $B118 * K106, "")</f>
        <v>-632.24446786090618</v>
      </c>
      <c r="M106" s="31">
        <v>945</v>
      </c>
      <c r="N106" s="32">
        <f t="shared" si="53"/>
        <v>-4.2149631190727078E-3</v>
      </c>
      <c r="O106" s="18">
        <f>IF(ISNUMBER(M106), $B118 * N106, "")</f>
        <v>-421.49631190727081</v>
      </c>
      <c r="Q106" s="33"/>
      <c r="R106" s="33"/>
    </row>
    <row r="107" spans="1:19" ht="17.25" thickBot="1">
      <c r="A107" s="130" t="s">
        <v>74</v>
      </c>
      <c r="B107" s="131">
        <v>17420</v>
      </c>
      <c r="C107" s="79">
        <v>7.4645280699999997E-2</v>
      </c>
      <c r="D107" s="24">
        <v>19300</v>
      </c>
      <c r="E107" s="25">
        <f t="shared" si="50"/>
        <v>0.1079219288174512</v>
      </c>
      <c r="F107" s="104">
        <f>IF(ISNUMBER(D107), $B118 * E107, "")</f>
        <v>10792.192881745121</v>
      </c>
      <c r="G107" s="102">
        <v>19240</v>
      </c>
      <c r="H107" s="25">
        <f t="shared" si="51"/>
        <v>0.1044776119402985</v>
      </c>
      <c r="I107" s="103">
        <f>IF(ISNUMBER(G107), $B118 * H107, "")</f>
        <v>10447.76119402985</v>
      </c>
      <c r="J107" s="24">
        <v>18500</v>
      </c>
      <c r="K107" s="25">
        <f t="shared" si="52"/>
        <v>6.1997703788748568E-2</v>
      </c>
      <c r="L107" s="104">
        <f>IF(ISNUMBER(J107), $B118 * K107, "")</f>
        <v>6199.7703788748568</v>
      </c>
      <c r="M107" s="102">
        <v>18590</v>
      </c>
      <c r="N107" s="25">
        <f t="shared" si="53"/>
        <v>6.7164179104477612E-2</v>
      </c>
      <c r="O107" s="104">
        <f>IF(ISNUMBER(M107), $B118 * N107, "")</f>
        <v>6716.4179104477607</v>
      </c>
      <c r="Q107" s="236"/>
      <c r="R107" s="237"/>
      <c r="S107" s="238"/>
    </row>
    <row r="108" spans="1:19">
      <c r="A108" s="161" t="s">
        <v>220</v>
      </c>
      <c r="B108" s="124">
        <v>11.7</v>
      </c>
      <c r="C108" s="76">
        <v>7.3394495399999995E-2</v>
      </c>
      <c r="D108" s="13">
        <v>11.7</v>
      </c>
      <c r="E108" s="14">
        <f>IF(ISNUMBER(D108), (D108 - $B108) / $B108, "")</f>
        <v>0</v>
      </c>
      <c r="F108" s="16">
        <f>IF(ISNUMBER(D108), $B118 * E108, "")</f>
        <v>0</v>
      </c>
      <c r="G108" s="29">
        <v>11.8</v>
      </c>
      <c r="H108" s="14">
        <f>IF(ISNUMBER(G108), (G108 - $B108) / $B108, "")</f>
        <v>8.5470085470086693E-3</v>
      </c>
      <c r="I108" s="100">
        <f>IF(ISNUMBER(G108), $B118 * H108, "")</f>
        <v>854.7008547008669</v>
      </c>
      <c r="J108" s="13">
        <v>11.5</v>
      </c>
      <c r="K108" s="14">
        <f>IF(ISNUMBER(J108), (J108 - $B108) / $B108, "")</f>
        <v>-1.7094017094017033E-2</v>
      </c>
      <c r="L108" s="16">
        <f>IF(ISNUMBER(J108), $B118 * K108, "")</f>
        <v>-1709.4017094017033</v>
      </c>
      <c r="M108" s="29">
        <v>11.6</v>
      </c>
      <c r="N108" s="14">
        <f>IF(ISNUMBER(M108), (M108 - $B108) / $B108, "")</f>
        <v>-8.5470085470085166E-3</v>
      </c>
      <c r="O108" s="16">
        <f>IF(ISNUMBER(M108), $B118 * N108, "")</f>
        <v>-854.70085470085166</v>
      </c>
      <c r="Q108" s="239"/>
      <c r="R108" s="240"/>
      <c r="S108" s="241"/>
    </row>
    <row r="109" spans="1:19" ht="17.25" thickBot="1">
      <c r="A109" s="162" t="s">
        <v>164</v>
      </c>
      <c r="B109" s="126">
        <v>16700</v>
      </c>
      <c r="C109" s="77">
        <v>7.25754656E-2</v>
      </c>
      <c r="D109" s="15">
        <v>17620</v>
      </c>
      <c r="E109" s="32">
        <f t="shared" ref="E109:E112" si="54">IF(ISNUMBER(D109), (D109 - $B109) / $B109, "")</f>
        <v>5.5089820359281436E-2</v>
      </c>
      <c r="F109" s="18">
        <f>IF(ISNUMBER(D109), $B118 * E109, "")</f>
        <v>5508.9820359281439</v>
      </c>
      <c r="G109" s="31">
        <v>18020</v>
      </c>
      <c r="H109" s="32">
        <f t="shared" ref="H109:H112" si="55">IF(ISNUMBER(G109), (G109 - $B109) / $B109, "")</f>
        <v>7.9041916167664678E-2</v>
      </c>
      <c r="I109" s="101">
        <f>IF(ISNUMBER(G109), $B118 * H109, "")</f>
        <v>7904.1916167664676</v>
      </c>
      <c r="J109" s="15">
        <v>17190</v>
      </c>
      <c r="K109" s="32">
        <f t="shared" ref="K109:K112" si="56">IF(ISNUMBER(J109), (J109 - $B109) / $B109, "")</f>
        <v>2.9341317365269463E-2</v>
      </c>
      <c r="L109" s="18">
        <f>IF(ISNUMBER(J109), $B118 * K109, "")</f>
        <v>2934.131736526946</v>
      </c>
      <c r="M109" s="31">
        <v>17340</v>
      </c>
      <c r="N109" s="32">
        <f t="shared" ref="N109:N112" si="57">IF(ISNUMBER(M109), (M109 - $B109) / $B109, "")</f>
        <v>3.8323353293413173E-2</v>
      </c>
      <c r="O109" s="18">
        <f>IF(ISNUMBER(M109), $B118 * N109, "")</f>
        <v>3832.3353293413174</v>
      </c>
      <c r="Q109" s="242"/>
      <c r="R109" s="243"/>
      <c r="S109" s="244"/>
    </row>
    <row r="110" spans="1:19" ht="17.25" thickBot="1">
      <c r="A110" s="162" t="s">
        <v>110</v>
      </c>
      <c r="B110" s="126">
        <v>1435</v>
      </c>
      <c r="C110" s="77">
        <v>5.9040590400000002E-2</v>
      </c>
      <c r="D110" s="15">
        <v>1495</v>
      </c>
      <c r="E110" s="32">
        <f t="shared" si="54"/>
        <v>4.1811846689895474E-2</v>
      </c>
      <c r="F110" s="18">
        <f>IF(ISNUMBER(D110), $B118 * E110, "")</f>
        <v>4181.1846689895474</v>
      </c>
      <c r="G110" s="31">
        <v>1530</v>
      </c>
      <c r="H110" s="32">
        <f t="shared" si="55"/>
        <v>6.6202090592334492E-2</v>
      </c>
      <c r="I110" s="101">
        <f>IF(ISNUMBER(G110), $B118 * H110, "")</f>
        <v>6620.2090592334489</v>
      </c>
      <c r="J110" s="15">
        <v>1460</v>
      </c>
      <c r="K110" s="32">
        <f t="shared" si="56"/>
        <v>1.7421602787456445E-2</v>
      </c>
      <c r="L110" s="18">
        <f>IF(ISNUMBER(J110), $B118 * K110, "")</f>
        <v>1742.1602787456445</v>
      </c>
      <c r="M110" s="31">
        <v>1465</v>
      </c>
      <c r="N110" s="32">
        <f t="shared" si="57"/>
        <v>2.0905923344947737E-2</v>
      </c>
      <c r="O110" s="18">
        <f>IF(ISNUMBER(M110), $B118 * N110, "")</f>
        <v>2090.5923344947737</v>
      </c>
      <c r="Q110" s="235"/>
      <c r="R110" s="235"/>
      <c r="S110" s="235"/>
    </row>
    <row r="111" spans="1:19" ht="17.25" thickBot="1">
      <c r="A111" s="162" t="s">
        <v>178</v>
      </c>
      <c r="B111" s="126">
        <v>29320</v>
      </c>
      <c r="C111" s="77">
        <v>5.8101768300000002E-2</v>
      </c>
      <c r="D111" s="15">
        <v>30100</v>
      </c>
      <c r="E111" s="32">
        <f t="shared" si="54"/>
        <v>2.660300136425648E-2</v>
      </c>
      <c r="F111" s="18">
        <f>IF(ISNUMBER(D111), $B118 * E111, "")</f>
        <v>2660.3001364256479</v>
      </c>
      <c r="G111" s="31">
        <v>30500</v>
      </c>
      <c r="H111" s="32">
        <f t="shared" si="55"/>
        <v>4.0245566166439289E-2</v>
      </c>
      <c r="I111" s="101">
        <f>IF(ISNUMBER(G111), $B118 * H111, "")</f>
        <v>4024.5566166439289</v>
      </c>
      <c r="J111" s="15">
        <v>30100</v>
      </c>
      <c r="K111" s="32">
        <f t="shared" si="56"/>
        <v>2.660300136425648E-2</v>
      </c>
      <c r="L111" s="18">
        <f>IF(ISNUMBER(J111), $B118 * K111, "")</f>
        <v>2660.3001364256479</v>
      </c>
      <c r="M111" s="31">
        <v>30820</v>
      </c>
      <c r="N111" s="32">
        <f t="shared" si="57"/>
        <v>5.115961800818554E-2</v>
      </c>
      <c r="O111" s="18">
        <f>IF(ISNUMBER(M111), $B118 * N111, "")</f>
        <v>5115.9618008185544</v>
      </c>
      <c r="Q111" s="245"/>
      <c r="R111" s="245"/>
      <c r="S111" s="245"/>
    </row>
    <row r="112" spans="1:19" ht="17.25" thickBot="1">
      <c r="A112" s="163" t="s">
        <v>136</v>
      </c>
      <c r="B112" s="128">
        <v>147</v>
      </c>
      <c r="C112" s="78">
        <v>5.75539568E-2</v>
      </c>
      <c r="D112" s="20">
        <v>147</v>
      </c>
      <c r="E112" s="21">
        <f t="shared" si="54"/>
        <v>0</v>
      </c>
      <c r="F112" s="22">
        <f>IF(ISNUMBER(D112), $B118 * E112, "")</f>
        <v>0</v>
      </c>
      <c r="G112" s="30">
        <v>170</v>
      </c>
      <c r="H112" s="21">
        <f t="shared" si="55"/>
        <v>0.15646258503401361</v>
      </c>
      <c r="I112" s="105">
        <f>IF(ISNUMBER(G112), $B118 * H112, "")</f>
        <v>15646.258503401361</v>
      </c>
      <c r="J112" s="20">
        <v>163</v>
      </c>
      <c r="K112" s="21">
        <f t="shared" si="56"/>
        <v>0.10884353741496598</v>
      </c>
      <c r="L112" s="22">
        <f>IF(ISNUMBER(J112), $B118 * K112, "")</f>
        <v>10884.353741496598</v>
      </c>
      <c r="M112" s="30">
        <v>164</v>
      </c>
      <c r="N112" s="21">
        <f t="shared" si="57"/>
        <v>0.11564625850340136</v>
      </c>
      <c r="O112" s="22">
        <f>IF(ISNUMBER(M112), $B118 * N112, "")</f>
        <v>11564.625850340137</v>
      </c>
      <c r="Q112" s="245"/>
      <c r="R112" s="245"/>
      <c r="S112" s="245"/>
    </row>
    <row r="113" spans="1:19" ht="17.25" thickBot="1">
      <c r="A113" s="162" t="s">
        <v>150</v>
      </c>
      <c r="B113" s="129">
        <v>2540</v>
      </c>
      <c r="C113" s="80">
        <v>5.6133056100000002E-2</v>
      </c>
      <c r="D113" s="106">
        <v>2620</v>
      </c>
      <c r="E113" s="107">
        <f>IF(ISNUMBER(D113), (D113 - $B113) / $B113, "")</f>
        <v>3.1496062992125984E-2</v>
      </c>
      <c r="F113" s="108">
        <f>IF(ISNUMBER(D113), $B118 * E113, "")</f>
        <v>3149.6062992125985</v>
      </c>
      <c r="G113" s="109">
        <v>2715</v>
      </c>
      <c r="H113" s="107">
        <f>IF(ISNUMBER(G113), (G113 - $B113) / $B113, "")</f>
        <v>6.8897637795275593E-2</v>
      </c>
      <c r="I113" s="110">
        <f>IF(ISNUMBER(G113), $B118 * H113, "")</f>
        <v>6889.7637795275596</v>
      </c>
      <c r="J113" s="106">
        <v>2640</v>
      </c>
      <c r="K113" s="107">
        <f>IF(ISNUMBER(J113), (J113 - $B113) / $B113, "")</f>
        <v>3.937007874015748E-2</v>
      </c>
      <c r="L113" s="108">
        <f>IF(ISNUMBER(J113), $B118 * K113, "")</f>
        <v>3937.0078740157478</v>
      </c>
      <c r="M113" s="109">
        <v>2650</v>
      </c>
      <c r="N113" s="107">
        <f>IF(ISNUMBER(M113), (M113 - $B113) / $B113, "")</f>
        <v>4.3307086614173228E-2</v>
      </c>
      <c r="O113" s="108">
        <f>IF(ISNUMBER(M113), $B118 * N113, "")</f>
        <v>4330.7086614173231</v>
      </c>
      <c r="Q113" s="235"/>
      <c r="R113" s="235"/>
      <c r="S113" s="235"/>
    </row>
    <row r="114" spans="1:19" ht="17.25" thickBot="1">
      <c r="A114" s="162" t="s">
        <v>180</v>
      </c>
      <c r="B114" s="126">
        <v>2770</v>
      </c>
      <c r="C114" s="77">
        <v>5.5238095199999997E-2</v>
      </c>
      <c r="D114" s="15">
        <v>2775</v>
      </c>
      <c r="E114" s="32">
        <f t="shared" ref="E114:E117" si="58">IF(ISNUMBER(D114), (D114 - $B114) / $B114, "")</f>
        <v>1.8050541516245488E-3</v>
      </c>
      <c r="F114" s="18">
        <f>IF(ISNUMBER(D114), $B118 * E114, "")</f>
        <v>180.50541516245488</v>
      </c>
      <c r="G114" s="31">
        <v>2865</v>
      </c>
      <c r="H114" s="32">
        <f t="shared" ref="H114:H117" si="59">IF(ISNUMBER(G114), (G114 - $B114) / $B114, "")</f>
        <v>3.4296028880866428E-2</v>
      </c>
      <c r="I114" s="101">
        <f>IF(ISNUMBER(G114), $B118 * H114, "")</f>
        <v>3429.6028880866429</v>
      </c>
      <c r="J114" s="15">
        <v>2760</v>
      </c>
      <c r="K114" s="32">
        <f t="shared" ref="K114:K117" si="60">IF(ISNUMBER(J114), (J114 - $B114) / $B114, "")</f>
        <v>-3.6101083032490976E-3</v>
      </c>
      <c r="L114" s="18">
        <f>IF(ISNUMBER(J114), $B118 * K114, "")</f>
        <v>-361.01083032490976</v>
      </c>
      <c r="M114" s="31">
        <v>2800</v>
      </c>
      <c r="N114" s="32">
        <f t="shared" ref="N114:N117" si="61">IF(ISNUMBER(M114), (M114 - $B114) / $B114, "")</f>
        <v>1.0830324909747292E-2</v>
      </c>
      <c r="O114" s="18">
        <f>IF(ISNUMBER(M114), $B118 * N114, "")</f>
        <v>1083.0324909747292</v>
      </c>
      <c r="Q114" s="235"/>
      <c r="R114" s="235"/>
      <c r="S114" s="235"/>
    </row>
    <row r="115" spans="1:19" ht="17.25" thickBot="1">
      <c r="A115" s="162" t="s">
        <v>232</v>
      </c>
      <c r="B115" s="126">
        <v>122</v>
      </c>
      <c r="C115" s="77">
        <v>5.1724137900000001E-2</v>
      </c>
      <c r="D115" s="15">
        <v>123</v>
      </c>
      <c r="E115" s="32">
        <f t="shared" si="58"/>
        <v>8.1967213114754103E-3</v>
      </c>
      <c r="F115" s="18">
        <f>IF(ISNUMBER(D115), $B118 * E115, "")</f>
        <v>819.67213114754099</v>
      </c>
      <c r="G115" s="31">
        <v>123</v>
      </c>
      <c r="H115" s="32">
        <f t="shared" si="59"/>
        <v>8.1967213114754103E-3</v>
      </c>
      <c r="I115" s="101">
        <f>IF(ISNUMBER(G115), $B118 * H115, "")</f>
        <v>819.67213114754099</v>
      </c>
      <c r="J115" s="15">
        <v>123</v>
      </c>
      <c r="K115" s="32">
        <f t="shared" si="60"/>
        <v>8.1967213114754103E-3</v>
      </c>
      <c r="L115" s="18">
        <f>IF(ISNUMBER(J115), $B118 * K115, "")</f>
        <v>819.67213114754099</v>
      </c>
      <c r="M115" s="31">
        <v>122</v>
      </c>
      <c r="N115" s="32">
        <f t="shared" si="61"/>
        <v>0</v>
      </c>
      <c r="O115" s="18">
        <f>IF(ISNUMBER(M115), $B118 * N115, "")</f>
        <v>0</v>
      </c>
      <c r="Q115" s="235"/>
      <c r="R115" s="235"/>
      <c r="S115" s="235"/>
    </row>
    <row r="116" spans="1:19">
      <c r="A116" s="162" t="s">
        <v>63</v>
      </c>
      <c r="B116" s="126">
        <v>66370</v>
      </c>
      <c r="C116" s="77">
        <v>4.5196850400000002E-2</v>
      </c>
      <c r="D116" s="15">
        <v>71530</v>
      </c>
      <c r="E116" s="32">
        <f t="shared" si="58"/>
        <v>7.7745969564562298E-2</v>
      </c>
      <c r="F116" s="18">
        <f>IF(ISNUMBER(D116), $B118 * E116, "")</f>
        <v>7774.5969564562301</v>
      </c>
      <c r="G116" s="31">
        <v>72510</v>
      </c>
      <c r="H116" s="32">
        <f t="shared" si="59"/>
        <v>9.2511676962483053E-2</v>
      </c>
      <c r="I116" s="101">
        <f>IF(ISNUMBER(G116), $B118 * H116, "")</f>
        <v>9251.1676962483052</v>
      </c>
      <c r="J116" s="15">
        <v>69620</v>
      </c>
      <c r="K116" s="32">
        <f t="shared" si="60"/>
        <v>4.8967907186982074E-2</v>
      </c>
      <c r="L116" s="18">
        <f>IF(ISNUMBER(J116), $B118 * K116, "")</f>
        <v>4896.7907186982075</v>
      </c>
      <c r="M116" s="31">
        <v>69910</v>
      </c>
      <c r="N116" s="32">
        <f t="shared" si="61"/>
        <v>5.3337351212897392E-2</v>
      </c>
      <c r="O116" s="18">
        <f>IF(ISNUMBER(M116), $B118 * N116, "")</f>
        <v>5333.7351212897393</v>
      </c>
      <c r="Q116" s="224"/>
      <c r="R116" s="225"/>
      <c r="S116" s="226"/>
    </row>
    <row r="117" spans="1:19" ht="17.25" thickBot="1">
      <c r="A117" s="130" t="s">
        <v>242</v>
      </c>
      <c r="B117" s="131">
        <v>4455</v>
      </c>
      <c r="C117" s="79">
        <v>4.3325526900000001E-2</v>
      </c>
      <c r="D117" s="24">
        <v>4510</v>
      </c>
      <c r="E117" s="25">
        <f t="shared" si="58"/>
        <v>1.2345679012345678E-2</v>
      </c>
      <c r="F117" s="104">
        <f>IF(ISNUMBER(D117), $B118 * E117, "")</f>
        <v>1234.5679012345679</v>
      </c>
      <c r="G117" s="102">
        <v>4650</v>
      </c>
      <c r="H117" s="25">
        <f t="shared" si="59"/>
        <v>4.3771043771043773E-2</v>
      </c>
      <c r="I117" s="103">
        <f>IF(ISNUMBER(G117), $B118 * H117, "")</f>
        <v>4377.1043771043769</v>
      </c>
      <c r="J117" s="24">
        <v>4520</v>
      </c>
      <c r="K117" s="25">
        <f t="shared" si="60"/>
        <v>1.4590347923681257E-2</v>
      </c>
      <c r="L117" s="104">
        <f>IF(ISNUMBER(J117), $B118 * K117, "")</f>
        <v>1459.0347923681256</v>
      </c>
      <c r="M117" s="102">
        <v>4550</v>
      </c>
      <c r="N117" s="25">
        <f t="shared" si="61"/>
        <v>2.1324354657687991E-2</v>
      </c>
      <c r="O117" s="104">
        <f>IF(ISNUMBER(M117), $B118 * N117, "")</f>
        <v>2132.4354657687991</v>
      </c>
      <c r="Q117" s="227"/>
      <c r="R117" s="228"/>
      <c r="S117" s="229"/>
    </row>
    <row r="118" spans="1:19" ht="17.25" thickBot="1">
      <c r="A118" s="132" t="s">
        <v>300</v>
      </c>
      <c r="B118" s="288">
        <f>$B$37</f>
        <v>100000</v>
      </c>
      <c r="C118" s="289"/>
      <c r="D118" s="26" t="s">
        <v>301</v>
      </c>
      <c r="E118" s="27">
        <f>IF(COUNT(E98:E117), SUM(E98:E117) / COUNT(E98:E117), 0)</f>
        <v>3.2931087173495799E-2</v>
      </c>
      <c r="F118" s="28">
        <f>SUM(F98:F117)</f>
        <v>65862.174346991582</v>
      </c>
      <c r="G118" s="26" t="s">
        <v>301</v>
      </c>
      <c r="H118" s="27">
        <f>IF(COUNT(H98:H117), SUM(H98:H117) / COUNT(H98:H117), 0)</f>
        <v>5.4346565624212015E-2</v>
      </c>
      <c r="I118" s="28">
        <f>SUM(I98:I117)</f>
        <v>108693.13124842403</v>
      </c>
      <c r="J118" s="26" t="s">
        <v>301</v>
      </c>
      <c r="K118" s="27">
        <f>IF(COUNT(K98:K117), SUM(K98:K117) / COUNT(K98:K117), 0)</f>
        <v>2.053009189412229E-2</v>
      </c>
      <c r="L118" s="28">
        <f>SUM(L98:L117)</f>
        <v>41060.183788244576</v>
      </c>
      <c r="M118" s="26" t="s">
        <v>301</v>
      </c>
      <c r="N118" s="27">
        <f>IF(COUNT(N98:N117), SUM(N98:N117) / COUNT(N98:N117), 0)</f>
        <v>2.7246568878530442E-2</v>
      </c>
      <c r="O118" s="28">
        <f>SUM(O98:O117)</f>
        <v>54493.137757060889</v>
      </c>
      <c r="Q118" s="230"/>
      <c r="R118" s="231"/>
      <c r="S118" s="232"/>
    </row>
    <row r="120" spans="1:19" ht="17.25" thickBot="1"/>
    <row r="121" spans="1:19" ht="17.25" thickBot="1">
      <c r="A121" s="246" t="s">
        <v>288</v>
      </c>
      <c r="B121" s="247"/>
      <c r="C121" s="247"/>
      <c r="D121" s="247"/>
      <c r="E121" s="247"/>
      <c r="F121" s="247"/>
      <c r="G121" s="247"/>
      <c r="H121" s="247"/>
      <c r="I121" s="247"/>
      <c r="J121" s="247"/>
      <c r="K121" s="247"/>
      <c r="L121" s="247"/>
      <c r="M121" s="247"/>
      <c r="N121" s="247"/>
      <c r="O121" s="248"/>
      <c r="Q121" s="245"/>
      <c r="R121" s="245"/>
      <c r="S121" s="245"/>
    </row>
    <row r="122" spans="1:19" ht="17.25" thickBot="1">
      <c r="A122" s="168" t="s">
        <v>297</v>
      </c>
      <c r="B122" s="246" t="s">
        <v>49</v>
      </c>
      <c r="C122" s="248"/>
      <c r="D122" s="246" t="s">
        <v>58</v>
      </c>
      <c r="E122" s="247"/>
      <c r="F122" s="248"/>
      <c r="G122" s="249">
        <f>_xlfn.IFNA(VLOOKUP(B122, 현재가테이블!$B$2:$D$200, 2, FALSE), "-")</f>
        <v>45335000</v>
      </c>
      <c r="H122" s="250"/>
      <c r="I122" s="251"/>
      <c r="J122" s="246" t="s">
        <v>59</v>
      </c>
      <c r="K122" s="247"/>
      <c r="L122" s="248"/>
      <c r="M122" s="252">
        <f>_xlfn.IFNA(VLOOKUP(B122, 현재가테이블!$B$2:$D$200, 3, FALSE), "-")</f>
        <v>-2.27209037E-2</v>
      </c>
      <c r="N122" s="253"/>
      <c r="O122" s="254"/>
      <c r="Q122" s="245"/>
      <c r="R122" s="245"/>
      <c r="S122" s="245"/>
    </row>
    <row r="123" spans="1:19" ht="17.25" thickBot="1">
      <c r="A123" s="290" t="s">
        <v>55</v>
      </c>
      <c r="B123" s="286" t="str">
        <f>TEXT($G$1, "[$-ko-KR]yyyy-mm-dd(ddd) ") &amp; "오전 00:00"</f>
        <v>2021-06-03(목) 오전 00:00</v>
      </c>
      <c r="C123" s="287"/>
      <c r="D123" s="259" t="str">
        <f>TEXT($G$1, "[$-ko-KR]yyyy-mm-dd(ddd) ") &amp; "오후 14:00"</f>
        <v>2021-06-03(목) 오후 14:00</v>
      </c>
      <c r="E123" s="260"/>
      <c r="F123" s="261"/>
      <c r="G123" s="259" t="str">
        <f>TEXT($G$1, "[$-ko-KR]yyyy-mm-dd(ddd) ") &amp; "오후 19:00"</f>
        <v>2021-06-03(목) 오후 19:00</v>
      </c>
      <c r="H123" s="260"/>
      <c r="I123" s="261"/>
      <c r="J123" s="259" t="str">
        <f>TEXT($G$1, "[$-ko-KR]yyyy-mm-dd(ddd) ") &amp; "오후 21:00"</f>
        <v>2021-06-03(목) 오후 21:00</v>
      </c>
      <c r="K123" s="260"/>
      <c r="L123" s="261"/>
      <c r="M123" s="259" t="str">
        <f>TEXT($G$1+1, "[$-ko-KR]yyyy-mm-dd(ddd) ") &amp; "오전 00:00"</f>
        <v>2021-06-04(금) 오전 00:00</v>
      </c>
      <c r="N123" s="260"/>
      <c r="O123" s="261"/>
      <c r="Q123" s="245"/>
      <c r="R123" s="245"/>
      <c r="S123" s="245"/>
    </row>
    <row r="124" spans="1:19" ht="17.25" thickBot="1">
      <c r="A124" s="291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69" t="s">
        <v>58</v>
      </c>
      <c r="H124" s="170" t="s">
        <v>298</v>
      </c>
      <c r="I124" s="171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5"/>
      <c r="R124" s="235"/>
      <c r="S124" s="235"/>
    </row>
    <row r="125" spans="1:19" ht="17.25" thickBot="1">
      <c r="A125" s="161" t="s">
        <v>156</v>
      </c>
      <c r="B125" s="124">
        <v>91.4</v>
      </c>
      <c r="C125" s="76">
        <v>2.0089285700000001E-2</v>
      </c>
      <c r="D125" s="13">
        <v>91.8</v>
      </c>
      <c r="E125" s="14">
        <f>IF(ISNUMBER(D125), (D125 - $B125) / $B125, "")</f>
        <v>4.3763676148795561E-3</v>
      </c>
      <c r="F125" s="16">
        <f>IF(ISNUMBER(D125), $B145 * E125, "")</f>
        <v>437.6367614879556</v>
      </c>
      <c r="G125" s="29">
        <v>94.4</v>
      </c>
      <c r="H125" s="14">
        <f>IF(ISNUMBER(G125), (G125 - $B125) / $B125, "")</f>
        <v>3.2822757111597371E-2</v>
      </c>
      <c r="I125" s="100">
        <f>IF(ISNUMBER(G125), $B145 * H125, "")</f>
        <v>3282.2757111597371</v>
      </c>
      <c r="J125" s="13">
        <v>92.2</v>
      </c>
      <c r="K125" s="14">
        <f>IF(ISNUMBER(J125), (J125 - $B125) / $B125, "")</f>
        <v>8.7527352297592682E-3</v>
      </c>
      <c r="L125" s="16">
        <f>IF(ISNUMBER(J125), $B145 * K125, "")</f>
        <v>875.27352297592688</v>
      </c>
      <c r="M125" s="29">
        <v>93</v>
      </c>
      <c r="N125" s="14">
        <f>IF(ISNUMBER(M125), (M125 - $B125) / $B125, "")</f>
        <v>1.7505470459518536E-2</v>
      </c>
      <c r="O125" s="16">
        <f>IF(ISNUMBER(M125), $B145 * N125, "")</f>
        <v>1750.5470459518538</v>
      </c>
      <c r="Q125" s="245"/>
      <c r="R125" s="245"/>
      <c r="S125" s="245"/>
    </row>
    <row r="126" spans="1:19" ht="17.25" thickBot="1">
      <c r="A126" s="162" t="s">
        <v>126</v>
      </c>
      <c r="B126" s="126">
        <v>29.7</v>
      </c>
      <c r="C126" s="77">
        <v>1.71232877E-2</v>
      </c>
      <c r="D126" s="15">
        <v>30.6</v>
      </c>
      <c r="E126" s="32">
        <f t="shared" ref="E126:E129" si="62">IF(ISNUMBER(D126), (D126 - $B126) / $B126, "")</f>
        <v>3.0303030303030377E-2</v>
      </c>
      <c r="F126" s="18">
        <f>IF(ISNUMBER(D126), $B145 * E126, "")</f>
        <v>3030.3030303030378</v>
      </c>
      <c r="G126" s="31">
        <v>31.7</v>
      </c>
      <c r="H126" s="32">
        <f t="shared" ref="H126:H129" si="63">IF(ISNUMBER(G126), (G126 - $B126) / $B126, "")</f>
        <v>6.7340067340067339E-2</v>
      </c>
      <c r="I126" s="101">
        <f>IF(ISNUMBER(G126), $B145 * H126, "")</f>
        <v>6734.0067340067335</v>
      </c>
      <c r="J126" s="15">
        <v>30.3</v>
      </c>
      <c r="K126" s="32">
        <f t="shared" ref="K126:K129" si="64">IF(ISNUMBER(J126), (J126 - $B126) / $B126, "")</f>
        <v>2.0202020202020249E-2</v>
      </c>
      <c r="L126" s="18">
        <f>IF(ISNUMBER(J126), $B145 * K126, "")</f>
        <v>2020.2020202020249</v>
      </c>
      <c r="M126" s="31">
        <v>30.5</v>
      </c>
      <c r="N126" s="32">
        <f t="shared" ref="N126:N129" si="65">IF(ISNUMBER(M126), (M126 - $B126) / $B126, "")</f>
        <v>2.6936026936026959E-2</v>
      </c>
      <c r="O126" s="18">
        <f>IF(ISNUMBER(M126), $B145 * N126, "")</f>
        <v>2693.602693602696</v>
      </c>
      <c r="Q126" s="245"/>
      <c r="R126" s="245"/>
      <c r="S126" s="245"/>
    </row>
    <row r="127" spans="1:19" ht="17.25" thickBot="1">
      <c r="A127" s="162" t="s">
        <v>196</v>
      </c>
      <c r="B127" s="126">
        <v>11.9</v>
      </c>
      <c r="C127" s="77">
        <v>1.7094017100000001E-2</v>
      </c>
      <c r="D127" s="15">
        <v>12</v>
      </c>
      <c r="E127" s="32">
        <f t="shared" si="62"/>
        <v>8.4033613445377853E-3</v>
      </c>
      <c r="F127" s="18">
        <f>IF(ISNUMBER(D127), $B145 * E127, "")</f>
        <v>840.33613445377853</v>
      </c>
      <c r="G127" s="31">
        <v>12.3</v>
      </c>
      <c r="H127" s="32">
        <f t="shared" si="63"/>
        <v>3.3613445378151287E-2</v>
      </c>
      <c r="I127" s="101">
        <f>IF(ISNUMBER(G127), $B145 * H127, "")</f>
        <v>3361.3445378151287</v>
      </c>
      <c r="J127" s="15">
        <v>12</v>
      </c>
      <c r="K127" s="32">
        <f t="shared" si="64"/>
        <v>8.4033613445377853E-3</v>
      </c>
      <c r="L127" s="18">
        <f>IF(ISNUMBER(J127), $B145 * K127, "")</f>
        <v>840.33613445377853</v>
      </c>
      <c r="M127" s="31">
        <v>12.1</v>
      </c>
      <c r="N127" s="32">
        <f t="shared" si="65"/>
        <v>1.6806722689075571E-2</v>
      </c>
      <c r="O127" s="18">
        <f>IF(ISNUMBER(M127), $B145 * N127, "")</f>
        <v>1680.6722689075571</v>
      </c>
      <c r="Q127" s="235"/>
      <c r="R127" s="235"/>
      <c r="S127" s="235"/>
    </row>
    <row r="128" spans="1:19" ht="17.25" thickBot="1">
      <c r="A128" s="162" t="s">
        <v>72</v>
      </c>
      <c r="B128" s="126">
        <v>21.8</v>
      </c>
      <c r="C128" s="77">
        <v>1.39534884E-2</v>
      </c>
      <c r="D128" s="15">
        <v>22.1</v>
      </c>
      <c r="E128" s="32">
        <f t="shared" si="62"/>
        <v>1.3761467889908289E-2</v>
      </c>
      <c r="F128" s="18">
        <f>IF(ISNUMBER(D128), $B145 * E128, "")</f>
        <v>1376.1467889908288</v>
      </c>
      <c r="G128" s="31">
        <v>22.7</v>
      </c>
      <c r="H128" s="32">
        <f t="shared" si="63"/>
        <v>4.1284403669724704E-2</v>
      </c>
      <c r="I128" s="101">
        <f>IF(ISNUMBER(G128), $B145 * H128, "")</f>
        <v>4128.4403669724707</v>
      </c>
      <c r="J128" s="15">
        <v>22.3</v>
      </c>
      <c r="K128" s="32">
        <f t="shared" si="64"/>
        <v>2.2935779816513759E-2</v>
      </c>
      <c r="L128" s="18">
        <f>IF(ISNUMBER(J128), $B145 * K128, "")</f>
        <v>2293.5779816513759</v>
      </c>
      <c r="M128" s="31">
        <v>22.4</v>
      </c>
      <c r="N128" s="32">
        <f t="shared" si="65"/>
        <v>2.7522935779816415E-2</v>
      </c>
      <c r="O128" s="18">
        <f>IF(ISNUMBER(M128), $B145 * N128, "")</f>
        <v>2752.2935779816416</v>
      </c>
      <c r="Q128" s="235"/>
      <c r="R128" s="235"/>
      <c r="S128" s="235"/>
    </row>
    <row r="129" spans="1:19" ht="17.25" thickBot="1">
      <c r="A129" s="163" t="s">
        <v>218</v>
      </c>
      <c r="B129" s="128">
        <v>17</v>
      </c>
      <c r="C129" s="78">
        <v>1.19047619E-2</v>
      </c>
      <c r="D129" s="20">
        <v>17.7</v>
      </c>
      <c r="E129" s="21">
        <f t="shared" si="62"/>
        <v>4.1176470588235252E-2</v>
      </c>
      <c r="F129" s="22">
        <f>IF(ISNUMBER(D129), $B145 * E129, "")</f>
        <v>4117.6470588235252</v>
      </c>
      <c r="G129" s="30">
        <v>17.8</v>
      </c>
      <c r="H129" s="21">
        <f t="shared" si="63"/>
        <v>4.7058823529411806E-2</v>
      </c>
      <c r="I129" s="105">
        <f>IF(ISNUMBER(G129), $B145 * H129, "")</f>
        <v>4705.8823529411802</v>
      </c>
      <c r="J129" s="20">
        <v>17.399999999999999</v>
      </c>
      <c r="K129" s="21">
        <f t="shared" si="64"/>
        <v>2.3529411764705799E-2</v>
      </c>
      <c r="L129" s="22">
        <f>IF(ISNUMBER(J129), $B145 * K129, "")</f>
        <v>2352.9411764705801</v>
      </c>
      <c r="M129" s="30">
        <v>17.600000000000001</v>
      </c>
      <c r="N129" s="21">
        <f t="shared" si="65"/>
        <v>3.5294117647058906E-2</v>
      </c>
      <c r="O129" s="22">
        <f>IF(ISNUMBER(M129), $B145 * N129, "")</f>
        <v>3529.4117647058906</v>
      </c>
      <c r="Q129" s="235"/>
      <c r="R129" s="235"/>
      <c r="S129" s="235"/>
    </row>
    <row r="130" spans="1:19" ht="17.25" thickBot="1">
      <c r="A130" s="162" t="s">
        <v>236</v>
      </c>
      <c r="B130" s="129">
        <v>53.5</v>
      </c>
      <c r="C130" s="80">
        <v>1.1342155E-2</v>
      </c>
      <c r="D130" s="106">
        <v>55.8</v>
      </c>
      <c r="E130" s="107">
        <f>IF(ISNUMBER(D130), (D130 - $B130) / $B130, "")</f>
        <v>4.2990654205607423E-2</v>
      </c>
      <c r="F130" s="108">
        <f>IF(ISNUMBER(D130), $B145 * E130, "")</f>
        <v>4299.0654205607425</v>
      </c>
      <c r="G130" s="109">
        <v>56.6</v>
      </c>
      <c r="H130" s="107">
        <f>IF(ISNUMBER(G130), (G130 - $B130) / $B130, "")</f>
        <v>5.7943925233644888E-2</v>
      </c>
      <c r="I130" s="110">
        <f>IF(ISNUMBER(G130), $B145 * H130, "")</f>
        <v>5794.3925233644886</v>
      </c>
      <c r="J130" s="106">
        <v>55.1</v>
      </c>
      <c r="K130" s="107">
        <f>IF(ISNUMBER(J130), (J130 - $B130) / $B130, "")</f>
        <v>2.9906542056074792E-2</v>
      </c>
      <c r="L130" s="108">
        <f>IF(ISNUMBER(J130), $B145 * K130, "")</f>
        <v>2990.6542056074791</v>
      </c>
      <c r="M130" s="109">
        <v>54.7</v>
      </c>
      <c r="N130" s="107">
        <f>IF(ISNUMBER(M130), (M130 - $B130) / $B130, "")</f>
        <v>2.2429906542056129E-2</v>
      </c>
      <c r="O130" s="108">
        <f>IF(ISNUMBER(M130), $B145 * N130, "")</f>
        <v>2242.9906542056128</v>
      </c>
      <c r="Q130" s="235"/>
      <c r="R130" s="235"/>
      <c r="S130" s="235"/>
    </row>
    <row r="131" spans="1:19" ht="17.25" thickBot="1">
      <c r="A131" s="162" t="s">
        <v>152</v>
      </c>
      <c r="B131" s="126">
        <v>20.399999999999999</v>
      </c>
      <c r="C131" s="77">
        <v>9.9009900999999997E-3</v>
      </c>
      <c r="D131" s="15">
        <v>20.8</v>
      </c>
      <c r="E131" s="32">
        <f t="shared" ref="E131:E134" si="66">IF(ISNUMBER(D131), (D131 - $B131) / $B131, "")</f>
        <v>1.9607843137255009E-2</v>
      </c>
      <c r="F131" s="18">
        <f>IF(ISNUMBER(D131), $B145 * E131, "")</f>
        <v>1960.7843137255009</v>
      </c>
      <c r="G131" s="31">
        <v>21.3</v>
      </c>
      <c r="H131" s="32">
        <f t="shared" ref="H131:H134" si="67">IF(ISNUMBER(G131), (G131 - $B131) / $B131, "")</f>
        <v>4.4117647058823636E-2</v>
      </c>
      <c r="I131" s="101">
        <f>IF(ISNUMBER(G131), $B145 * H131, "")</f>
        <v>4411.7647058823641</v>
      </c>
      <c r="J131" s="15">
        <v>20.7</v>
      </c>
      <c r="K131" s="32">
        <f t="shared" ref="K131:K134" si="68">IF(ISNUMBER(J131), (J131 - $B131) / $B131, "")</f>
        <v>1.4705882352941213E-2</v>
      </c>
      <c r="L131" s="18">
        <f>IF(ISNUMBER(J131), $B145 * K131, "")</f>
        <v>1470.5882352941212</v>
      </c>
      <c r="M131" s="31">
        <v>20.7</v>
      </c>
      <c r="N131" s="32">
        <f t="shared" ref="N131:N134" si="69">IF(ISNUMBER(M131), (M131 - $B131) / $B131, "")</f>
        <v>1.4705882352941213E-2</v>
      </c>
      <c r="O131" s="18">
        <f>IF(ISNUMBER(M131), $B145 * N131, "")</f>
        <v>1470.5882352941212</v>
      </c>
      <c r="Q131" s="235"/>
      <c r="R131" s="235"/>
      <c r="S131" s="235"/>
    </row>
    <row r="132" spans="1:19" ht="17.25" thickBot="1">
      <c r="A132" s="162" t="s">
        <v>228</v>
      </c>
      <c r="B132" s="126">
        <v>10.9</v>
      </c>
      <c r="C132" s="77">
        <v>9.2592592999999994E-3</v>
      </c>
      <c r="D132" s="15">
        <v>11</v>
      </c>
      <c r="E132" s="32">
        <f t="shared" si="66"/>
        <v>9.1743119266054721E-3</v>
      </c>
      <c r="F132" s="18">
        <f>IF(ISNUMBER(D132), $B145 * E132, "")</f>
        <v>917.43119266054725</v>
      </c>
      <c r="G132" s="31">
        <v>11.3</v>
      </c>
      <c r="H132" s="32">
        <f t="shared" si="67"/>
        <v>3.6697247706422048E-2</v>
      </c>
      <c r="I132" s="101">
        <f>IF(ISNUMBER(G132), $B145 * H132, "")</f>
        <v>3669.7247706422049</v>
      </c>
      <c r="J132" s="15">
        <v>11</v>
      </c>
      <c r="K132" s="32">
        <f t="shared" si="68"/>
        <v>9.1743119266054721E-3</v>
      </c>
      <c r="L132" s="18">
        <f>IF(ISNUMBER(J132), $B145 * K132, "")</f>
        <v>917.43119266054725</v>
      </c>
      <c r="M132" s="31">
        <v>11</v>
      </c>
      <c r="N132" s="32">
        <f t="shared" si="69"/>
        <v>9.1743119266054721E-3</v>
      </c>
      <c r="O132" s="18">
        <f>IF(ISNUMBER(M132), $B145 * N132, "")</f>
        <v>917.43119266054725</v>
      </c>
      <c r="Q132" s="235"/>
      <c r="R132" s="235"/>
      <c r="S132" s="235"/>
    </row>
    <row r="133" spans="1:19" ht="17.25" thickBot="1">
      <c r="A133" s="162" t="s">
        <v>212</v>
      </c>
      <c r="B133" s="126">
        <v>79.7</v>
      </c>
      <c r="C133" s="77">
        <v>8.8607595000000008E-3</v>
      </c>
      <c r="D133" s="15">
        <v>80.599999999999994</v>
      </c>
      <c r="E133" s="32">
        <f t="shared" si="66"/>
        <v>1.1292346298619717E-2</v>
      </c>
      <c r="F133" s="18">
        <f>IF(ISNUMBER(D133), $B145 * E133, "")</f>
        <v>1129.2346298619718</v>
      </c>
      <c r="G133" s="31">
        <v>81.7</v>
      </c>
      <c r="H133" s="32">
        <f t="shared" si="67"/>
        <v>2.5094102885821833E-2</v>
      </c>
      <c r="I133" s="101">
        <f>IF(ISNUMBER(G133), $B145 * H133, "")</f>
        <v>2509.4102885821831</v>
      </c>
      <c r="J133" s="15">
        <v>80.3</v>
      </c>
      <c r="K133" s="32">
        <f t="shared" si="68"/>
        <v>7.5282308657464783E-3</v>
      </c>
      <c r="L133" s="18">
        <f>IF(ISNUMBER(J133), $B145 * K133, "")</f>
        <v>752.82308657464785</v>
      </c>
      <c r="M133" s="31">
        <v>80.5</v>
      </c>
      <c r="N133" s="32">
        <f t="shared" si="69"/>
        <v>1.0037641154328697E-2</v>
      </c>
      <c r="O133" s="18">
        <f>IF(ISNUMBER(M133), $B145 * N133, "")</f>
        <v>1003.7641154328697</v>
      </c>
      <c r="Q133" s="33"/>
      <c r="R133" s="33"/>
    </row>
    <row r="134" spans="1:19" ht="17.25" thickBot="1">
      <c r="A134" s="130" t="s">
        <v>254</v>
      </c>
      <c r="B134" s="131">
        <v>52.9</v>
      </c>
      <c r="C134" s="79">
        <v>7.6190475999999997E-3</v>
      </c>
      <c r="D134" s="24">
        <v>55.5</v>
      </c>
      <c r="E134" s="25">
        <f t="shared" si="66"/>
        <v>4.914933837429114E-2</v>
      </c>
      <c r="F134" s="104">
        <f>IF(ISNUMBER(D134), $B145 * E134, "")</f>
        <v>4914.9338374291137</v>
      </c>
      <c r="G134" s="102">
        <v>55.6</v>
      </c>
      <c r="H134" s="25">
        <f t="shared" si="67"/>
        <v>5.1039697542533138E-2</v>
      </c>
      <c r="I134" s="103">
        <f>IF(ISNUMBER(G134), $B145 * H134, "")</f>
        <v>5103.969754253314</v>
      </c>
      <c r="J134" s="24">
        <v>53.9</v>
      </c>
      <c r="K134" s="25">
        <f t="shared" si="68"/>
        <v>1.890359168241966E-2</v>
      </c>
      <c r="L134" s="104">
        <f>IF(ISNUMBER(J134), $B145 * K134, "")</f>
        <v>1890.359168241966</v>
      </c>
      <c r="M134" s="102">
        <v>54.2</v>
      </c>
      <c r="N134" s="25">
        <f t="shared" si="69"/>
        <v>2.457466918714564E-2</v>
      </c>
      <c r="O134" s="104">
        <f>IF(ISNUMBER(M134), $B145 * N134, "")</f>
        <v>2457.4669187145641</v>
      </c>
      <c r="Q134" s="236"/>
      <c r="R134" s="237"/>
      <c r="S134" s="238"/>
    </row>
    <row r="135" spans="1:19">
      <c r="A135" s="161" t="s">
        <v>134</v>
      </c>
      <c r="B135" s="124">
        <v>95.7</v>
      </c>
      <c r="C135" s="76">
        <v>7.3684210999999996E-3</v>
      </c>
      <c r="D135" s="13">
        <v>96.8</v>
      </c>
      <c r="E135" s="14">
        <f>IF(ISNUMBER(D135), (D135 - $B135) / $B135, "")</f>
        <v>1.1494252873563159E-2</v>
      </c>
      <c r="F135" s="16">
        <f>IF(ISNUMBER(D135), $B145 * E135, "")</f>
        <v>1149.4252873563159</v>
      </c>
      <c r="G135" s="29">
        <v>98.2</v>
      </c>
      <c r="H135" s="14">
        <f>IF(ISNUMBER(G135), (G135 - $B135) / $B135, "")</f>
        <v>2.612330198537095E-2</v>
      </c>
      <c r="I135" s="100">
        <f>IF(ISNUMBER(G135), $B145 * H135, "")</f>
        <v>2612.3301985370949</v>
      </c>
      <c r="J135" s="13">
        <v>96.9</v>
      </c>
      <c r="K135" s="14">
        <f>IF(ISNUMBER(J135), (J135 - $B135) / $B135, "")</f>
        <v>1.2539184952978085E-2</v>
      </c>
      <c r="L135" s="16">
        <f>IF(ISNUMBER(J135), $B145 * K135, "")</f>
        <v>1253.9184952978085</v>
      </c>
      <c r="M135" s="29">
        <v>97.6</v>
      </c>
      <c r="N135" s="14">
        <f>IF(ISNUMBER(M135), (M135 - $B135) / $B135, "")</f>
        <v>1.9853709508881833E-2</v>
      </c>
      <c r="O135" s="16">
        <f>IF(ISNUMBER(M135), $B145 * N135, "")</f>
        <v>1985.3709508881834</v>
      </c>
      <c r="Q135" s="239"/>
      <c r="R135" s="240"/>
      <c r="S135" s="241"/>
    </row>
    <row r="136" spans="1:19" ht="17.25" thickBot="1">
      <c r="A136" s="162" t="s">
        <v>100</v>
      </c>
      <c r="B136" s="126">
        <v>4.46</v>
      </c>
      <c r="C136" s="77">
        <v>6.7720089999999998E-3</v>
      </c>
      <c r="D136" s="15">
        <v>4.5199999999999996</v>
      </c>
      <c r="E136" s="32">
        <f t="shared" ref="E136:E139" si="70">IF(ISNUMBER(D136), (D136 - $B136) / $B136, "")</f>
        <v>1.345291479820619E-2</v>
      </c>
      <c r="F136" s="18">
        <f>IF(ISNUMBER(D136), $B145 * E136, "")</f>
        <v>1345.2914798206191</v>
      </c>
      <c r="G136" s="31">
        <v>4.7300000000000004</v>
      </c>
      <c r="H136" s="32">
        <f t="shared" ref="H136:H139" si="71">IF(ISNUMBER(G136), (G136 - $B136) / $B136, "")</f>
        <v>6.0538116591928356E-2</v>
      </c>
      <c r="I136" s="101">
        <f>IF(ISNUMBER(G136), $B145 * H136, "")</f>
        <v>6053.8116591928356</v>
      </c>
      <c r="J136" s="15">
        <v>4.54</v>
      </c>
      <c r="K136" s="32">
        <f t="shared" ref="K136:K139" si="72">IF(ISNUMBER(J136), (J136 - $B136) / $B136, "")</f>
        <v>1.7937219730941721E-2</v>
      </c>
      <c r="L136" s="18">
        <f>IF(ISNUMBER(J136), $B145 * K136, "")</f>
        <v>1793.7219730941722</v>
      </c>
      <c r="M136" s="31">
        <v>4.5999999999999996</v>
      </c>
      <c r="N136" s="32">
        <f t="shared" ref="N136:N139" si="73">IF(ISNUMBER(M136), (M136 - $B136) / $B136, "")</f>
        <v>3.1390134529147913E-2</v>
      </c>
      <c r="O136" s="18">
        <f>IF(ISNUMBER(M136), $B145 * N136, "")</f>
        <v>3139.0134529147913</v>
      </c>
      <c r="Q136" s="242"/>
      <c r="R136" s="243"/>
      <c r="S136" s="244"/>
    </row>
    <row r="137" spans="1:19" ht="17.25" thickBot="1">
      <c r="A137" s="162" t="s">
        <v>264</v>
      </c>
      <c r="B137" s="126">
        <v>91.5</v>
      </c>
      <c r="C137" s="77">
        <v>6.6006601E-3</v>
      </c>
      <c r="D137" s="15">
        <v>92.2</v>
      </c>
      <c r="E137" s="32">
        <f t="shared" si="70"/>
        <v>7.6502732240437471E-3</v>
      </c>
      <c r="F137" s="18">
        <f>IF(ISNUMBER(D137), $B145 * E137, "")</f>
        <v>765.02732240437467</v>
      </c>
      <c r="G137" s="31">
        <v>93.9</v>
      </c>
      <c r="H137" s="32">
        <f t="shared" si="71"/>
        <v>2.6229508196721374E-2</v>
      </c>
      <c r="I137" s="101">
        <f>IF(ISNUMBER(G137), $B145 * H137, "")</f>
        <v>2622.9508196721372</v>
      </c>
      <c r="J137" s="15">
        <v>92.1</v>
      </c>
      <c r="K137" s="32">
        <f t="shared" si="72"/>
        <v>6.5573770491802654E-3</v>
      </c>
      <c r="L137" s="18">
        <f>IF(ISNUMBER(J137), $B145 * K137, "")</f>
        <v>655.73770491802657</v>
      </c>
      <c r="M137" s="31">
        <v>93.4</v>
      </c>
      <c r="N137" s="32">
        <f t="shared" si="73"/>
        <v>2.0765027322404435E-2</v>
      </c>
      <c r="O137" s="18">
        <f>IF(ISNUMBER(M137), $B145 * N137, "")</f>
        <v>2076.5027322404435</v>
      </c>
      <c r="Q137" s="235"/>
      <c r="R137" s="235"/>
      <c r="S137" s="235"/>
    </row>
    <row r="138" spans="1:19" ht="17.25" thickBot="1">
      <c r="A138" s="162" t="s">
        <v>122</v>
      </c>
      <c r="B138" s="126">
        <v>70.400000000000006</v>
      </c>
      <c r="C138" s="77">
        <v>5.7142857000000002E-3</v>
      </c>
      <c r="D138" s="15">
        <v>70.599999999999994</v>
      </c>
      <c r="E138" s="32">
        <f t="shared" si="70"/>
        <v>2.8409090909089292E-3</v>
      </c>
      <c r="F138" s="18">
        <f>IF(ISNUMBER(D138), $B145 * E138, "")</f>
        <v>284.09090909089292</v>
      </c>
      <c r="G138" s="31">
        <v>71.2</v>
      </c>
      <c r="H138" s="32">
        <f t="shared" si="71"/>
        <v>1.1363636363636322E-2</v>
      </c>
      <c r="I138" s="101">
        <f>IF(ISNUMBER(G138), $B145 * H138, "")</f>
        <v>1136.3636363636322</v>
      </c>
      <c r="J138" s="15">
        <v>71.099999999999994</v>
      </c>
      <c r="K138" s="32">
        <f t="shared" si="72"/>
        <v>9.9431818181816567E-3</v>
      </c>
      <c r="L138" s="18">
        <f>IF(ISNUMBER(J138), $B145 * K138, "")</f>
        <v>994.31818181816561</v>
      </c>
      <c r="M138" s="31">
        <v>71</v>
      </c>
      <c r="N138" s="32">
        <f t="shared" si="73"/>
        <v>8.5227272727271906E-3</v>
      </c>
      <c r="O138" s="18">
        <f>IF(ISNUMBER(M138), $B145 * N138, "")</f>
        <v>852.27272727271907</v>
      </c>
      <c r="Q138" s="245"/>
      <c r="R138" s="245"/>
      <c r="S138" s="245"/>
    </row>
    <row r="139" spans="1:19" ht="17.25" thickBot="1">
      <c r="A139" s="163" t="s">
        <v>268</v>
      </c>
      <c r="B139" s="128">
        <v>53.5</v>
      </c>
      <c r="C139" s="78">
        <v>3.7523451999999999E-3</v>
      </c>
      <c r="D139" s="20">
        <v>54.4</v>
      </c>
      <c r="E139" s="21">
        <f t="shared" si="70"/>
        <v>1.6822429906542029E-2</v>
      </c>
      <c r="F139" s="22">
        <f>IF(ISNUMBER(D139), $B145 * E139, "")</f>
        <v>1682.2429906542029</v>
      </c>
      <c r="G139" s="30">
        <v>55.4</v>
      </c>
      <c r="H139" s="21">
        <f t="shared" si="71"/>
        <v>3.551401869158876E-2</v>
      </c>
      <c r="I139" s="105">
        <f>IF(ISNUMBER(G139), $B145 * H139, "")</f>
        <v>3551.4018691588758</v>
      </c>
      <c r="J139" s="20">
        <v>54.4</v>
      </c>
      <c r="K139" s="21">
        <f t="shared" si="72"/>
        <v>1.6822429906542029E-2</v>
      </c>
      <c r="L139" s="22">
        <f>IF(ISNUMBER(J139), $B145 * K139, "")</f>
        <v>1682.2429906542029</v>
      </c>
      <c r="M139" s="30">
        <v>54.6</v>
      </c>
      <c r="N139" s="21">
        <f t="shared" si="73"/>
        <v>2.056074766355143E-2</v>
      </c>
      <c r="O139" s="22">
        <f>IF(ISNUMBER(M139), $B145 * N139, "")</f>
        <v>2056.0747663551429</v>
      </c>
      <c r="Q139" s="245"/>
      <c r="R139" s="245"/>
      <c r="S139" s="245"/>
    </row>
    <row r="140" spans="1:19" ht="17.25" thickBot="1">
      <c r="A140" s="162" t="s">
        <v>222</v>
      </c>
      <c r="B140" s="129">
        <v>11.6</v>
      </c>
      <c r="C140" s="80">
        <v>0</v>
      </c>
      <c r="D140" s="106">
        <v>11.8</v>
      </c>
      <c r="E140" s="107">
        <f>IF(ISNUMBER(D140), (D140 - $B140) / $B140, "")</f>
        <v>1.7241379310344921E-2</v>
      </c>
      <c r="F140" s="108">
        <f>IF(ISNUMBER(D140), $B145 * E140, "")</f>
        <v>1724.1379310344921</v>
      </c>
      <c r="G140" s="109">
        <v>12</v>
      </c>
      <c r="H140" s="107">
        <f>IF(ISNUMBER(G140), (G140 - $B140) / $B140, "")</f>
        <v>3.4482758620689689E-2</v>
      </c>
      <c r="I140" s="110">
        <f>IF(ISNUMBER(G140), $B145 * H140, "")</f>
        <v>3448.2758620689688</v>
      </c>
      <c r="J140" s="106">
        <v>11.7</v>
      </c>
      <c r="K140" s="107">
        <f>IF(ISNUMBER(J140), (J140 - $B140) / $B140, "")</f>
        <v>8.6206896551723842E-3</v>
      </c>
      <c r="L140" s="108">
        <f>IF(ISNUMBER(J140), $B145 * K140, "")</f>
        <v>862.06896551723844</v>
      </c>
      <c r="M140" s="109">
        <v>11.9</v>
      </c>
      <c r="N140" s="107">
        <f>IF(ISNUMBER(M140), (M140 - $B140) / $B140, "")</f>
        <v>2.5862068965517303E-2</v>
      </c>
      <c r="O140" s="108">
        <f>IF(ISNUMBER(M140), $B145 * N140, "")</f>
        <v>2586.2068965517306</v>
      </c>
      <c r="Q140" s="235"/>
      <c r="R140" s="235"/>
      <c r="S140" s="235"/>
    </row>
    <row r="141" spans="1:19" ht="17.25" thickBot="1">
      <c r="A141" s="162" t="s">
        <v>266</v>
      </c>
      <c r="B141" s="126">
        <v>58.5</v>
      </c>
      <c r="C141" s="77">
        <v>-1.7064846000000001E-3</v>
      </c>
      <c r="D141" s="15">
        <v>62.1</v>
      </c>
      <c r="E141" s="32">
        <f t="shared" ref="E141:E144" si="74">IF(ISNUMBER(D141), (D141 - $B141) / $B141, "")</f>
        <v>6.1538461538461563E-2</v>
      </c>
      <c r="F141" s="18">
        <f>IF(ISNUMBER(D141), $B145 * E141, "")</f>
        <v>6153.8461538461561</v>
      </c>
      <c r="G141" s="31">
        <v>63</v>
      </c>
      <c r="H141" s="32">
        <f t="shared" ref="H141:H144" si="75">IF(ISNUMBER(G141), (G141 - $B141) / $B141, "")</f>
        <v>7.6923076923076927E-2</v>
      </c>
      <c r="I141" s="101">
        <f>IF(ISNUMBER(G141), $B145 * H141, "")</f>
        <v>7692.3076923076924</v>
      </c>
      <c r="J141" s="15">
        <v>61.6</v>
      </c>
      <c r="K141" s="32">
        <f t="shared" ref="K141:K144" si="76">IF(ISNUMBER(J141), (J141 - $B141) / $B141, "")</f>
        <v>5.2991452991453018E-2</v>
      </c>
      <c r="L141" s="18">
        <f>IF(ISNUMBER(J141), $B145 * K141, "")</f>
        <v>5299.1452991453016</v>
      </c>
      <c r="M141" s="31">
        <v>62.4</v>
      </c>
      <c r="N141" s="32">
        <f t="shared" ref="N141:N144" si="77">IF(ISNUMBER(M141), (M141 - $B141) / $B141, "")</f>
        <v>6.6666666666666638E-2</v>
      </c>
      <c r="O141" s="18">
        <f>IF(ISNUMBER(M141), $B145 * N141, "")</f>
        <v>6666.6666666666642</v>
      </c>
      <c r="Q141" s="235"/>
      <c r="R141" s="235"/>
      <c r="S141" s="235"/>
    </row>
    <row r="142" spans="1:19" ht="17.25" thickBot="1">
      <c r="A142" s="162" t="s">
        <v>172</v>
      </c>
      <c r="B142" s="126">
        <v>15.5</v>
      </c>
      <c r="C142" s="77">
        <v>-6.4102563999999997E-3</v>
      </c>
      <c r="D142" s="15">
        <v>15.5</v>
      </c>
      <c r="E142" s="32">
        <f t="shared" si="74"/>
        <v>0</v>
      </c>
      <c r="F142" s="18">
        <f>IF(ISNUMBER(D142), $B145 * E142, "")</f>
        <v>0</v>
      </c>
      <c r="G142" s="31">
        <v>15.8</v>
      </c>
      <c r="H142" s="32">
        <f t="shared" si="75"/>
        <v>1.9354838709677465E-2</v>
      </c>
      <c r="I142" s="101">
        <f>IF(ISNUMBER(G142), $B145 * H142, "")</f>
        <v>1935.4838709677465</v>
      </c>
      <c r="J142" s="15">
        <v>15.5</v>
      </c>
      <c r="K142" s="32">
        <f t="shared" si="76"/>
        <v>0</v>
      </c>
      <c r="L142" s="18">
        <f>IF(ISNUMBER(J142), $B145 * K142, "")</f>
        <v>0</v>
      </c>
      <c r="M142" s="31">
        <v>15.7</v>
      </c>
      <c r="N142" s="32">
        <f t="shared" si="77"/>
        <v>1.2903225806451568E-2</v>
      </c>
      <c r="O142" s="18">
        <f>IF(ISNUMBER(M142), $B145 * N142, "")</f>
        <v>1290.3225806451567</v>
      </c>
      <c r="Q142" s="235"/>
      <c r="R142" s="235"/>
      <c r="S142" s="235"/>
    </row>
    <row r="143" spans="1:19">
      <c r="A143" s="162" t="s">
        <v>186</v>
      </c>
      <c r="B143" s="126">
        <v>13.7</v>
      </c>
      <c r="C143" s="77">
        <v>-7.2463768E-3</v>
      </c>
      <c r="D143" s="15">
        <v>14.3</v>
      </c>
      <c r="E143" s="32">
        <f t="shared" si="74"/>
        <v>4.379562043795631E-2</v>
      </c>
      <c r="F143" s="18">
        <f>IF(ISNUMBER(D143), $B145 * E143, "")</f>
        <v>4379.5620437956313</v>
      </c>
      <c r="G143" s="31">
        <v>14.6</v>
      </c>
      <c r="H143" s="32">
        <f t="shared" si="75"/>
        <v>6.5693430656934337E-2</v>
      </c>
      <c r="I143" s="101">
        <f>IF(ISNUMBER(G143), $B145 * H143, "")</f>
        <v>6569.3430656934333</v>
      </c>
      <c r="J143" s="15">
        <v>14.2</v>
      </c>
      <c r="K143" s="32">
        <f t="shared" si="76"/>
        <v>3.6496350364963508E-2</v>
      </c>
      <c r="L143" s="18">
        <f>IF(ISNUMBER(J143), $B145 * K143, "")</f>
        <v>3649.6350364963509</v>
      </c>
      <c r="M143" s="31">
        <v>14.2</v>
      </c>
      <c r="N143" s="32">
        <f t="shared" si="77"/>
        <v>3.6496350364963508E-2</v>
      </c>
      <c r="O143" s="18">
        <f>IF(ISNUMBER(M143), $B145 * N143, "")</f>
        <v>3649.6350364963509</v>
      </c>
      <c r="Q143" s="224"/>
      <c r="R143" s="225"/>
      <c r="S143" s="226"/>
    </row>
    <row r="144" spans="1:19" ht="17.25" thickBot="1">
      <c r="A144" s="130" t="s">
        <v>260</v>
      </c>
      <c r="B144" s="131">
        <v>80.8</v>
      </c>
      <c r="C144" s="79">
        <v>-8.5889571000000008E-3</v>
      </c>
      <c r="D144" s="24">
        <v>81.099999999999994</v>
      </c>
      <c r="E144" s="25">
        <f t="shared" si="74"/>
        <v>3.712871287128678E-3</v>
      </c>
      <c r="F144" s="104">
        <f>IF(ISNUMBER(D144), $B145 * E144, "")</f>
        <v>371.2871287128678</v>
      </c>
      <c r="G144" s="102">
        <v>82.2</v>
      </c>
      <c r="H144" s="25">
        <f t="shared" si="75"/>
        <v>1.7326732673267398E-2</v>
      </c>
      <c r="I144" s="103">
        <f>IF(ISNUMBER(G144), $B145 * H144, "")</f>
        <v>1732.6732673267397</v>
      </c>
      <c r="J144" s="24">
        <v>81.099999999999994</v>
      </c>
      <c r="K144" s="25">
        <f t="shared" si="76"/>
        <v>3.712871287128678E-3</v>
      </c>
      <c r="L144" s="104">
        <f>IF(ISNUMBER(J144), $B145 * K144, "")</f>
        <v>371.2871287128678</v>
      </c>
      <c r="M144" s="102">
        <v>81.7</v>
      </c>
      <c r="N144" s="25">
        <f t="shared" si="77"/>
        <v>1.1138613861386209E-2</v>
      </c>
      <c r="O144" s="104">
        <f>IF(ISNUMBER(M144), $B145 * N144, "")</f>
        <v>1113.8613861386209</v>
      </c>
      <c r="Q144" s="227"/>
      <c r="R144" s="228"/>
      <c r="S144" s="229"/>
    </row>
    <row r="145" spans="1:19" ht="17.25" thickBot="1">
      <c r="A145" s="132" t="s">
        <v>300</v>
      </c>
      <c r="B145" s="288">
        <f>$B$37</f>
        <v>100000</v>
      </c>
      <c r="C145" s="289"/>
      <c r="D145" s="26" t="s">
        <v>301</v>
      </c>
      <c r="E145" s="27">
        <f>IF(COUNT(E125:E144), SUM(E125:E144) / COUNT(E125:E144), 0)</f>
        <v>2.043921520750628E-2</v>
      </c>
      <c r="F145" s="28">
        <f>SUM(F125:F144)</f>
        <v>40878.430415012546</v>
      </c>
      <c r="G145" s="26" t="s">
        <v>301</v>
      </c>
      <c r="H145" s="27">
        <f>IF(COUNT(H125:H144), SUM(H125:H144) / COUNT(H125:H144), 0)</f>
        <v>4.0528076843454483E-2</v>
      </c>
      <c r="I145" s="28">
        <f>SUM(I125:I144)</f>
        <v>81056.153686908961</v>
      </c>
      <c r="J145" s="26" t="s">
        <v>301</v>
      </c>
      <c r="K145" s="27">
        <f>IF(COUNT(K125:K144), SUM(K125:K144) / COUNT(K125:K144), 0)</f>
        <v>1.6483131249893292E-2</v>
      </c>
      <c r="L145" s="28">
        <f>SUM(L125:L144)</f>
        <v>32966.262499786579</v>
      </c>
      <c r="M145" s="26" t="s">
        <v>301</v>
      </c>
      <c r="N145" s="27">
        <f>IF(COUNT(N125:N144), SUM(N125:N144) / COUNT(N125:N144), 0)</f>
        <v>2.2957347831813579E-2</v>
      </c>
      <c r="O145" s="28">
        <f>SUM(O125:O144)</f>
        <v>45914.695663627157</v>
      </c>
      <c r="Q145" s="230"/>
      <c r="R145" s="231"/>
      <c r="S145" s="232"/>
    </row>
    <row r="147" spans="1:19" ht="17.25" thickBot="1"/>
    <row r="148" spans="1:19" ht="17.25" thickBot="1">
      <c r="A148" s="246" t="s">
        <v>289</v>
      </c>
      <c r="B148" s="247"/>
      <c r="C148" s="247"/>
      <c r="D148" s="247"/>
      <c r="E148" s="247"/>
      <c r="F148" s="247"/>
      <c r="G148" s="247"/>
      <c r="H148" s="247"/>
      <c r="I148" s="247"/>
      <c r="J148" s="247"/>
      <c r="K148" s="247"/>
      <c r="L148" s="247"/>
      <c r="M148" s="247"/>
      <c r="N148" s="247"/>
      <c r="O148" s="248"/>
      <c r="Q148" s="245"/>
      <c r="R148" s="245"/>
      <c r="S148" s="245"/>
    </row>
    <row r="149" spans="1:19" ht="17.25" thickBot="1">
      <c r="A149" s="168" t="s">
        <v>297</v>
      </c>
      <c r="B149" s="246" t="s">
        <v>49</v>
      </c>
      <c r="C149" s="248"/>
      <c r="D149" s="246" t="s">
        <v>58</v>
      </c>
      <c r="E149" s="247"/>
      <c r="F149" s="248"/>
      <c r="G149" s="249">
        <f>_xlfn.IFNA(VLOOKUP(B149, 현재가테이블!$B$2:$D$200, 2, FALSE), "-")</f>
        <v>45335000</v>
      </c>
      <c r="H149" s="250"/>
      <c r="I149" s="251"/>
      <c r="J149" s="246" t="s">
        <v>59</v>
      </c>
      <c r="K149" s="247"/>
      <c r="L149" s="248"/>
      <c r="M149" s="252">
        <f>_xlfn.IFNA(VLOOKUP(B149, 현재가테이블!$B$2:$D$200, 3, FALSE), "-")</f>
        <v>-2.27209037E-2</v>
      </c>
      <c r="N149" s="253"/>
      <c r="O149" s="254"/>
      <c r="Q149" s="245"/>
      <c r="R149" s="245"/>
      <c r="S149" s="245"/>
    </row>
    <row r="150" spans="1:19" ht="17.25" thickBot="1">
      <c r="A150" s="290" t="s">
        <v>55</v>
      </c>
      <c r="B150" s="286" t="str">
        <f>TEXT($G$1, "[$-ko-KR]yyyy-mm-dd(ddd) ") &amp; "오전 00:00"</f>
        <v>2021-06-03(목) 오전 00:00</v>
      </c>
      <c r="C150" s="287"/>
      <c r="D150" s="259" t="str">
        <f>TEXT($G$1, "[$-ko-KR]yyyy-mm-dd(ddd) ") &amp; "오후 14:00"</f>
        <v>2021-06-03(목) 오후 14:00</v>
      </c>
      <c r="E150" s="260"/>
      <c r="F150" s="261"/>
      <c r="G150" s="259" t="str">
        <f>TEXT($G$1, "[$-ko-KR]yyyy-mm-dd(ddd) ") &amp; "오후 19:00"</f>
        <v>2021-06-03(목) 오후 19:00</v>
      </c>
      <c r="H150" s="260"/>
      <c r="I150" s="261"/>
      <c r="J150" s="259" t="str">
        <f>TEXT($G$1, "[$-ko-KR]yyyy-mm-dd(ddd) ") &amp; "오후 21:00"</f>
        <v>2021-06-03(목) 오후 21:00</v>
      </c>
      <c r="K150" s="260"/>
      <c r="L150" s="261"/>
      <c r="M150" s="259" t="str">
        <f>TEXT($G$1+1, "[$-ko-KR]yyyy-mm-dd(ddd) ") &amp; "오전 00:00"</f>
        <v>2021-06-04(금) 오전 00:00</v>
      </c>
      <c r="N150" s="260"/>
      <c r="O150" s="261"/>
      <c r="Q150" s="245"/>
      <c r="R150" s="245"/>
      <c r="S150" s="245"/>
    </row>
    <row r="151" spans="1:19" ht="17.25" thickBot="1">
      <c r="A151" s="291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69" t="s">
        <v>58</v>
      </c>
      <c r="H151" s="170" t="s">
        <v>298</v>
      </c>
      <c r="I151" s="171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5"/>
      <c r="R151" s="235"/>
      <c r="S151" s="235"/>
    </row>
    <row r="152" spans="1:19" ht="17.25" thickBot="1">
      <c r="A152" s="161" t="s">
        <v>262</v>
      </c>
      <c r="B152" s="124">
        <v>655</v>
      </c>
      <c r="C152" s="76">
        <v>1.2364760400000001E-2</v>
      </c>
      <c r="D152" s="13">
        <v>659</v>
      </c>
      <c r="E152" s="14">
        <f>IF(ISNUMBER(D152), (D152 - $B152) / $B152, "")</f>
        <v>6.1068702290076335E-3</v>
      </c>
      <c r="F152" s="16">
        <f>IF(ISNUMBER(D152), $B172 * E152, "")</f>
        <v>610.6870229007634</v>
      </c>
      <c r="G152" s="29">
        <v>673</v>
      </c>
      <c r="H152" s="14">
        <f>IF(ISNUMBER(G152), (G152 - $B152) / $B152, "")</f>
        <v>2.748091603053435E-2</v>
      </c>
      <c r="I152" s="100">
        <f>IF(ISNUMBER(G152), $B172 * H152, "")</f>
        <v>2748.0916030534349</v>
      </c>
      <c r="J152" s="13">
        <v>657</v>
      </c>
      <c r="K152" s="14">
        <f>IF(ISNUMBER(J152), (J152 - $B152) / $B152, "")</f>
        <v>3.0534351145038168E-3</v>
      </c>
      <c r="L152" s="16">
        <f>IF(ISNUMBER(J152), $B172 * K152, "")</f>
        <v>305.3435114503817</v>
      </c>
      <c r="M152" s="29">
        <v>664</v>
      </c>
      <c r="N152" s="14">
        <f>IF(ISNUMBER(M152), (M152 - $B152) / $B152, "")</f>
        <v>1.3740458015267175E-2</v>
      </c>
      <c r="O152" s="16">
        <f>IF(ISNUMBER(M152), $B172 * N152, "")</f>
        <v>1374.0458015267175</v>
      </c>
      <c r="Q152" s="245"/>
      <c r="R152" s="245"/>
      <c r="S152" s="245"/>
    </row>
    <row r="153" spans="1:19" ht="17.25" thickBot="1">
      <c r="A153" s="162" t="s">
        <v>200</v>
      </c>
      <c r="B153" s="126">
        <v>214</v>
      </c>
      <c r="C153" s="77">
        <v>9.4339622999999994E-3</v>
      </c>
      <c r="D153" s="15">
        <v>223</v>
      </c>
      <c r="E153" s="32">
        <f t="shared" ref="E153:E156" si="78">IF(ISNUMBER(D153), (D153 - $B153) / $B153, "")</f>
        <v>4.2056074766355138E-2</v>
      </c>
      <c r="F153" s="18">
        <f>IF(ISNUMBER(D153), $B172 * E153, "")</f>
        <v>4205.6074766355141</v>
      </c>
      <c r="G153" s="31">
        <v>221</v>
      </c>
      <c r="H153" s="32">
        <f t="shared" ref="H153:H156" si="79">IF(ISNUMBER(G153), (G153 - $B153) / $B153, "")</f>
        <v>3.2710280373831772E-2</v>
      </c>
      <c r="I153" s="101">
        <f>IF(ISNUMBER(G153), $B172 * H153, "")</f>
        <v>3271.0280373831774</v>
      </c>
      <c r="J153" s="15">
        <v>218</v>
      </c>
      <c r="K153" s="32">
        <f t="shared" ref="K153:K156" si="80">IF(ISNUMBER(J153), (J153 - $B153) / $B153, "")</f>
        <v>1.8691588785046728E-2</v>
      </c>
      <c r="L153" s="18">
        <f>IF(ISNUMBER(J153), $B172 * K153, "")</f>
        <v>1869.1588785046727</v>
      </c>
      <c r="M153" s="31">
        <v>220</v>
      </c>
      <c r="N153" s="32">
        <f t="shared" ref="N153:N156" si="81">IF(ISNUMBER(M153), (M153 - $B153) / $B153, "")</f>
        <v>2.8037383177570093E-2</v>
      </c>
      <c r="O153" s="18">
        <f>IF(ISNUMBER(M153), $B172 * N153, "")</f>
        <v>2803.7383177570091</v>
      </c>
      <c r="Q153" s="245"/>
      <c r="R153" s="245"/>
      <c r="S153" s="245"/>
    </row>
    <row r="154" spans="1:19" ht="17.25" thickBot="1">
      <c r="A154" s="162" t="s">
        <v>88</v>
      </c>
      <c r="B154" s="126">
        <v>324</v>
      </c>
      <c r="C154" s="77">
        <v>9.3457943999999994E-3</v>
      </c>
      <c r="D154" s="15">
        <v>327</v>
      </c>
      <c r="E154" s="32">
        <f t="shared" si="78"/>
        <v>9.2592592592592587E-3</v>
      </c>
      <c r="F154" s="18">
        <f>IF(ISNUMBER(D154), $B172 * E154, "")</f>
        <v>925.92592592592587</v>
      </c>
      <c r="G154" s="31">
        <v>335</v>
      </c>
      <c r="H154" s="32">
        <f t="shared" si="79"/>
        <v>3.3950617283950615E-2</v>
      </c>
      <c r="I154" s="101">
        <f>IF(ISNUMBER(G154), $B172 * H154, "")</f>
        <v>3395.0617283950614</v>
      </c>
      <c r="J154" s="15">
        <v>334</v>
      </c>
      <c r="K154" s="32">
        <f t="shared" si="80"/>
        <v>3.0864197530864196E-2</v>
      </c>
      <c r="L154" s="18">
        <f>IF(ISNUMBER(J154), $B172 * K154, "")</f>
        <v>3086.4197530864194</v>
      </c>
      <c r="M154" s="31">
        <v>337</v>
      </c>
      <c r="N154" s="32">
        <f t="shared" si="81"/>
        <v>4.0123456790123455E-2</v>
      </c>
      <c r="O154" s="18">
        <f>IF(ISNUMBER(M154), $B172 * N154, "")</f>
        <v>4012.3456790123455</v>
      </c>
      <c r="Q154" s="235"/>
      <c r="R154" s="235"/>
      <c r="S154" s="235"/>
    </row>
    <row r="155" spans="1:19" ht="17.25" thickBot="1">
      <c r="A155" s="162" t="s">
        <v>282</v>
      </c>
      <c r="B155" s="126">
        <v>113</v>
      </c>
      <c r="C155" s="77">
        <v>8.9285713999999999E-3</v>
      </c>
      <c r="D155" s="15">
        <v>113</v>
      </c>
      <c r="E155" s="32">
        <f t="shared" si="78"/>
        <v>0</v>
      </c>
      <c r="F155" s="18">
        <f>IF(ISNUMBER(D155), $B172 * E155, "")</f>
        <v>0</v>
      </c>
      <c r="G155" s="31">
        <v>114</v>
      </c>
      <c r="H155" s="32">
        <f t="shared" si="79"/>
        <v>8.8495575221238937E-3</v>
      </c>
      <c r="I155" s="101">
        <f>IF(ISNUMBER(G155), $B172 * H155, "")</f>
        <v>884.95575221238937</v>
      </c>
      <c r="J155" s="15">
        <v>113</v>
      </c>
      <c r="K155" s="32">
        <f t="shared" si="80"/>
        <v>0</v>
      </c>
      <c r="L155" s="18">
        <f>IF(ISNUMBER(J155), $B172 * K155, "")</f>
        <v>0</v>
      </c>
      <c r="M155" s="31">
        <v>114</v>
      </c>
      <c r="N155" s="32">
        <f t="shared" si="81"/>
        <v>8.8495575221238937E-3</v>
      </c>
      <c r="O155" s="18">
        <f>IF(ISNUMBER(M155), $B172 * N155, "")</f>
        <v>884.95575221238937</v>
      </c>
      <c r="Q155" s="235"/>
      <c r="R155" s="235"/>
      <c r="S155" s="235"/>
    </row>
    <row r="156" spans="1:19" ht="17.25" thickBot="1">
      <c r="A156" s="163" t="s">
        <v>168</v>
      </c>
      <c r="B156" s="128">
        <v>115</v>
      </c>
      <c r="C156" s="78">
        <v>8.7719297999999998E-3</v>
      </c>
      <c r="D156" s="20">
        <v>114</v>
      </c>
      <c r="E156" s="21">
        <f t="shared" si="78"/>
        <v>-8.6956521739130436E-3</v>
      </c>
      <c r="F156" s="22">
        <f>IF(ISNUMBER(D156), $B172 * E156, "")</f>
        <v>-869.56521739130437</v>
      </c>
      <c r="G156" s="30">
        <v>118</v>
      </c>
      <c r="H156" s="21">
        <f t="shared" si="79"/>
        <v>2.6086956521739129E-2</v>
      </c>
      <c r="I156" s="105">
        <f>IF(ISNUMBER(G156), $B172 * H156, "")</f>
        <v>2608.695652173913</v>
      </c>
      <c r="J156" s="20">
        <v>115</v>
      </c>
      <c r="K156" s="21">
        <f t="shared" si="80"/>
        <v>0</v>
      </c>
      <c r="L156" s="22">
        <f>IF(ISNUMBER(J156), $B172 * K156, "")</f>
        <v>0</v>
      </c>
      <c r="M156" s="30">
        <v>115</v>
      </c>
      <c r="N156" s="21">
        <f t="shared" si="81"/>
        <v>0</v>
      </c>
      <c r="O156" s="22">
        <f>IF(ISNUMBER(M156), $B172 * N156, "")</f>
        <v>0</v>
      </c>
      <c r="Q156" s="235"/>
      <c r="R156" s="235"/>
      <c r="S156" s="235"/>
    </row>
    <row r="157" spans="1:19" ht="17.25" thickBot="1">
      <c r="A157" s="162" t="s">
        <v>250</v>
      </c>
      <c r="B157" s="129">
        <v>118</v>
      </c>
      <c r="C157" s="80">
        <v>8.5470084999999998E-3</v>
      </c>
      <c r="D157" s="106">
        <v>121</v>
      </c>
      <c r="E157" s="107">
        <f>IF(ISNUMBER(D157), (D157 - $B157) / $B157, "")</f>
        <v>2.5423728813559324E-2</v>
      </c>
      <c r="F157" s="108">
        <f>IF(ISNUMBER(D157), $B172 * E157, "")</f>
        <v>2542.3728813559323</v>
      </c>
      <c r="G157" s="109">
        <v>123</v>
      </c>
      <c r="H157" s="107">
        <f>IF(ISNUMBER(G157), (G157 - $B157) / $B157, "")</f>
        <v>4.2372881355932202E-2</v>
      </c>
      <c r="I157" s="110">
        <f>IF(ISNUMBER(G157), $B172 * H157, "")</f>
        <v>4237.2881355932204</v>
      </c>
      <c r="J157" s="106">
        <v>120</v>
      </c>
      <c r="K157" s="107">
        <f>IF(ISNUMBER(J157), (J157 - $B157) / $B157, "")</f>
        <v>1.6949152542372881E-2</v>
      </c>
      <c r="L157" s="108">
        <f>IF(ISNUMBER(J157), $B172 * K157, "")</f>
        <v>1694.9152542372881</v>
      </c>
      <c r="M157" s="109">
        <v>120</v>
      </c>
      <c r="N157" s="107">
        <f>IF(ISNUMBER(M157), (M157 - $B157) / $B157, "")</f>
        <v>1.6949152542372881E-2</v>
      </c>
      <c r="O157" s="108">
        <f>IF(ISNUMBER(M157), $B172 * N157, "")</f>
        <v>1694.9152542372881</v>
      </c>
      <c r="Q157" s="235"/>
      <c r="R157" s="235"/>
      <c r="S157" s="235"/>
    </row>
    <row r="158" spans="1:19" ht="17.25" thickBot="1">
      <c r="A158" s="162" t="s">
        <v>238</v>
      </c>
      <c r="B158" s="126">
        <v>193</v>
      </c>
      <c r="C158" s="77">
        <v>5.2083333000000004E-3</v>
      </c>
      <c r="D158" s="15">
        <v>193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197</v>
      </c>
      <c r="H158" s="32">
        <f t="shared" ref="H158:H161" si="83">IF(ISNUMBER(G158), (G158 - $B158) / $B158, "")</f>
        <v>2.072538860103627E-2</v>
      </c>
      <c r="I158" s="101">
        <f>IF(ISNUMBER(G158), $B172 * H158, "")</f>
        <v>2072.538860103627</v>
      </c>
      <c r="J158" s="15">
        <v>193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194</v>
      </c>
      <c r="N158" s="32">
        <f t="shared" ref="N158:N161" si="85">IF(ISNUMBER(M158), (M158 - $B158) / $B158, "")</f>
        <v>5.1813471502590676E-3</v>
      </c>
      <c r="O158" s="18">
        <f>IF(ISNUMBER(M158), $B172 * N158, "")</f>
        <v>518.13471502590676</v>
      </c>
      <c r="Q158" s="235"/>
      <c r="R158" s="235"/>
      <c r="S158" s="235"/>
    </row>
    <row r="159" spans="1:19" ht="17.25" thickBot="1">
      <c r="A159" s="162" t="s">
        <v>174</v>
      </c>
      <c r="B159" s="126">
        <v>195</v>
      </c>
      <c r="C159" s="77">
        <v>5.1546392E-3</v>
      </c>
      <c r="D159" s="15">
        <v>198</v>
      </c>
      <c r="E159" s="32">
        <f t="shared" si="82"/>
        <v>1.5384615384615385E-2</v>
      </c>
      <c r="F159" s="18">
        <f>IF(ISNUMBER(D159), $B172 * E159, "")</f>
        <v>1538.4615384615386</v>
      </c>
      <c r="G159" s="31">
        <v>198</v>
      </c>
      <c r="H159" s="32">
        <f t="shared" si="83"/>
        <v>1.5384615384615385E-2</v>
      </c>
      <c r="I159" s="101">
        <f>IF(ISNUMBER(G159), $B172 * H159, "")</f>
        <v>1538.4615384615386</v>
      </c>
      <c r="J159" s="15">
        <v>197</v>
      </c>
      <c r="K159" s="32">
        <f t="shared" si="84"/>
        <v>1.0256410256410256E-2</v>
      </c>
      <c r="L159" s="18">
        <f>IF(ISNUMBER(J159), $B172 * K159, "")</f>
        <v>1025.6410256410256</v>
      </c>
      <c r="M159" s="31">
        <v>196</v>
      </c>
      <c r="N159" s="32">
        <f t="shared" si="85"/>
        <v>5.1282051282051282E-3</v>
      </c>
      <c r="O159" s="18">
        <f>IF(ISNUMBER(M159), $B172 * N159, "")</f>
        <v>512.82051282051282</v>
      </c>
      <c r="Q159" s="235"/>
      <c r="R159" s="235"/>
      <c r="S159" s="235"/>
    </row>
    <row r="160" spans="1:19" ht="17.25" thickBot="1">
      <c r="A160" s="162" t="s">
        <v>234</v>
      </c>
      <c r="B160" s="126">
        <v>849</v>
      </c>
      <c r="C160" s="77">
        <v>4.7337278000000003E-3</v>
      </c>
      <c r="D160" s="15">
        <v>861</v>
      </c>
      <c r="E160" s="32">
        <f t="shared" si="82"/>
        <v>1.4134275618374558E-2</v>
      </c>
      <c r="F160" s="18">
        <f>IF(ISNUMBER(D160), $B172 * E160, "")</f>
        <v>1413.4275618374559</v>
      </c>
      <c r="G160" s="31">
        <v>885</v>
      </c>
      <c r="H160" s="32">
        <f t="shared" si="83"/>
        <v>4.2402826855123678E-2</v>
      </c>
      <c r="I160" s="101">
        <f>IF(ISNUMBER(G160), $B172 * H160, "")</f>
        <v>4240.2826855123676</v>
      </c>
      <c r="J160" s="15">
        <v>863</v>
      </c>
      <c r="K160" s="32">
        <f t="shared" si="84"/>
        <v>1.6489988221436984E-2</v>
      </c>
      <c r="L160" s="18">
        <f>IF(ISNUMBER(J160), $B172 * K160, "")</f>
        <v>1648.9988221436984</v>
      </c>
      <c r="M160" s="31">
        <v>869</v>
      </c>
      <c r="N160" s="32">
        <f t="shared" si="85"/>
        <v>2.3557126030624265E-2</v>
      </c>
      <c r="O160" s="18">
        <f>IF(ISNUMBER(M160), $B172 * N160, "")</f>
        <v>2355.7126030624263</v>
      </c>
      <c r="Q160" s="33"/>
      <c r="R160" s="33"/>
    </row>
    <row r="161" spans="1:19" ht="17.25" thickBot="1">
      <c r="A161" s="130" t="s">
        <v>170</v>
      </c>
      <c r="B161" s="131">
        <v>302</v>
      </c>
      <c r="C161" s="79">
        <v>3.3222591000000002E-3</v>
      </c>
      <c r="D161" s="24">
        <v>307</v>
      </c>
      <c r="E161" s="25">
        <f t="shared" si="82"/>
        <v>1.6556291390728478E-2</v>
      </c>
      <c r="F161" s="104">
        <f>IF(ISNUMBER(D161), $B172 * E161, "")</f>
        <v>1655.6291390728479</v>
      </c>
      <c r="G161" s="102">
        <v>314</v>
      </c>
      <c r="H161" s="25">
        <f t="shared" si="83"/>
        <v>3.9735099337748346E-2</v>
      </c>
      <c r="I161" s="103">
        <f>IF(ISNUMBER(G161), $B172 * H161, "")</f>
        <v>3973.5099337748347</v>
      </c>
      <c r="J161" s="24">
        <v>306</v>
      </c>
      <c r="K161" s="25">
        <f t="shared" si="84"/>
        <v>1.3245033112582781E-2</v>
      </c>
      <c r="L161" s="104">
        <f>IF(ISNUMBER(J161), $B172 * K161, "")</f>
        <v>1324.5033112582782</v>
      </c>
      <c r="M161" s="102">
        <v>309</v>
      </c>
      <c r="N161" s="25">
        <f t="shared" si="85"/>
        <v>2.3178807947019868E-2</v>
      </c>
      <c r="O161" s="104">
        <f>IF(ISNUMBER(M161), $B172 * N161, "")</f>
        <v>2317.8807947019868</v>
      </c>
      <c r="Q161" s="236"/>
      <c r="R161" s="237"/>
      <c r="S161" s="238"/>
    </row>
    <row r="162" spans="1:19">
      <c r="A162" s="161" t="s">
        <v>208</v>
      </c>
      <c r="B162" s="124">
        <v>338</v>
      </c>
      <c r="C162" s="76">
        <v>2.9673591000000002E-3</v>
      </c>
      <c r="D162" s="13">
        <v>340</v>
      </c>
      <c r="E162" s="14">
        <f>IF(ISNUMBER(D162), (D162 - $B162) / $B162, "")</f>
        <v>5.9171597633136093E-3</v>
      </c>
      <c r="F162" s="16">
        <f>IF(ISNUMBER(D162), $B172 * E162, "")</f>
        <v>591.71597633136093</v>
      </c>
      <c r="G162" s="29">
        <v>345</v>
      </c>
      <c r="H162" s="14">
        <f>IF(ISNUMBER(G162), (G162 - $B162) / $B162, "")</f>
        <v>2.0710059171597635E-2</v>
      </c>
      <c r="I162" s="100">
        <f>IF(ISNUMBER(G162), $B172 * H162, "")</f>
        <v>2071.0059171597636</v>
      </c>
      <c r="J162" s="13">
        <v>339</v>
      </c>
      <c r="K162" s="14">
        <f>IF(ISNUMBER(J162), (J162 - $B162) / $B162, "")</f>
        <v>2.9585798816568047E-3</v>
      </c>
      <c r="L162" s="16">
        <f>IF(ISNUMBER(J162), $B172 * K162, "")</f>
        <v>295.85798816568047</v>
      </c>
      <c r="M162" s="29">
        <v>342</v>
      </c>
      <c r="N162" s="14">
        <f>IF(ISNUMBER(M162), (M162 - $B162) / $B162, "")</f>
        <v>1.1834319526627219E-2</v>
      </c>
      <c r="O162" s="16">
        <f>IF(ISNUMBER(M162), $B172 * N162, "")</f>
        <v>1183.4319526627219</v>
      </c>
      <c r="Q162" s="239"/>
      <c r="R162" s="240"/>
      <c r="S162" s="241"/>
    </row>
    <row r="163" spans="1:19" ht="17.25" thickBot="1">
      <c r="A163" s="162" t="s">
        <v>258</v>
      </c>
      <c r="B163" s="126">
        <v>501</v>
      </c>
      <c r="C163" s="77">
        <v>2E-3</v>
      </c>
      <c r="D163" s="15">
        <v>505</v>
      </c>
      <c r="E163" s="32">
        <f t="shared" ref="E163:E166" si="86">IF(ISNUMBER(D163), (D163 - $B163) / $B163, "")</f>
        <v>7.9840319361277438E-3</v>
      </c>
      <c r="F163" s="18">
        <f>IF(ISNUMBER(D163), $B172 * E163, "")</f>
        <v>798.40319361277443</v>
      </c>
      <c r="G163" s="31">
        <v>513</v>
      </c>
      <c r="H163" s="32">
        <f t="shared" ref="H163:H166" si="87">IF(ISNUMBER(G163), (G163 - $B163) / $B163, "")</f>
        <v>2.3952095808383235E-2</v>
      </c>
      <c r="I163" s="101">
        <f>IF(ISNUMBER(G163), $B172 * H163, "")</f>
        <v>2395.2095808383233</v>
      </c>
      <c r="J163" s="15">
        <v>507</v>
      </c>
      <c r="K163" s="32">
        <f t="shared" ref="K163:K166" si="88">IF(ISNUMBER(J163), (J163 - $B163) / $B163, "")</f>
        <v>1.1976047904191617E-2</v>
      </c>
      <c r="L163" s="18">
        <f>IF(ISNUMBER(J163), $B172 * K163, "")</f>
        <v>1197.6047904191616</v>
      </c>
      <c r="M163" s="31">
        <v>511</v>
      </c>
      <c r="N163" s="32">
        <f t="shared" ref="N163:N166" si="89">IF(ISNUMBER(M163), (M163 - $B163) / $B163, "")</f>
        <v>1.9960079840319361E-2</v>
      </c>
      <c r="O163" s="18">
        <f>IF(ISNUMBER(M163), $B172 * N163, "")</f>
        <v>1996.0079840319361</v>
      </c>
      <c r="Q163" s="242"/>
      <c r="R163" s="243"/>
      <c r="S163" s="244"/>
    </row>
    <row r="164" spans="1:19" ht="17.25" thickBot="1">
      <c r="A164" s="162" t="s">
        <v>51</v>
      </c>
      <c r="B164" s="126">
        <v>493</v>
      </c>
      <c r="C164" s="77">
        <v>0</v>
      </c>
      <c r="D164" s="15">
        <v>492</v>
      </c>
      <c r="E164" s="32">
        <f t="shared" si="86"/>
        <v>-2.0283975659229209E-3</v>
      </c>
      <c r="F164" s="18">
        <f>IF(ISNUMBER(D164), $B172 * E164, "")</f>
        <v>-202.83975659229208</v>
      </c>
      <c r="G164" s="31">
        <v>502</v>
      </c>
      <c r="H164" s="32">
        <f t="shared" si="87"/>
        <v>1.8255578093306288E-2</v>
      </c>
      <c r="I164" s="101">
        <f>IF(ISNUMBER(G164), $B172 * H164, "")</f>
        <v>1825.5578093306287</v>
      </c>
      <c r="J164" s="15">
        <v>487</v>
      </c>
      <c r="K164" s="32">
        <f t="shared" si="88"/>
        <v>-1.2170385395537525E-2</v>
      </c>
      <c r="L164" s="18">
        <f>IF(ISNUMBER(J164), $B172 * K164, "")</f>
        <v>-1217.0385395537526</v>
      </c>
      <c r="M164" s="31">
        <v>489</v>
      </c>
      <c r="N164" s="32">
        <f t="shared" si="89"/>
        <v>-8.1135902636916835E-3</v>
      </c>
      <c r="O164" s="18">
        <f>IF(ISNUMBER(M164), $B172 * N164, "")</f>
        <v>-811.3590263691683</v>
      </c>
      <c r="Q164" s="235"/>
      <c r="R164" s="235"/>
      <c r="S164" s="235"/>
    </row>
    <row r="165" spans="1:19" ht="17.25" thickBot="1">
      <c r="A165" s="162" t="s">
        <v>112</v>
      </c>
      <c r="B165" s="126">
        <v>164</v>
      </c>
      <c r="C165" s="77">
        <v>0</v>
      </c>
      <c r="D165" s="15">
        <v>174</v>
      </c>
      <c r="E165" s="32">
        <f t="shared" si="86"/>
        <v>6.097560975609756E-2</v>
      </c>
      <c r="F165" s="18">
        <f>IF(ISNUMBER(D165), $B172 * E165, "")</f>
        <v>6097.5609756097556</v>
      </c>
      <c r="G165" s="31">
        <v>173</v>
      </c>
      <c r="H165" s="32">
        <f t="shared" si="87"/>
        <v>5.4878048780487805E-2</v>
      </c>
      <c r="I165" s="101">
        <f>IF(ISNUMBER(G165), $B172 * H165, "")</f>
        <v>5487.8048780487807</v>
      </c>
      <c r="J165" s="15">
        <v>193</v>
      </c>
      <c r="K165" s="32">
        <f t="shared" si="88"/>
        <v>0.17682926829268292</v>
      </c>
      <c r="L165" s="18">
        <f>IF(ISNUMBER(J165), $B172 * K165, "")</f>
        <v>17682.92682926829</v>
      </c>
      <c r="M165" s="31">
        <v>186</v>
      </c>
      <c r="N165" s="32">
        <f t="shared" si="89"/>
        <v>0.13414634146341464</v>
      </c>
      <c r="O165" s="18">
        <f>IF(ISNUMBER(M165), $B172 * N165, "")</f>
        <v>13414.634146341465</v>
      </c>
      <c r="Q165" s="245"/>
      <c r="R165" s="245"/>
      <c r="S165" s="245"/>
    </row>
    <row r="166" spans="1:19" ht="17.25" thickBot="1">
      <c r="A166" s="163" t="s">
        <v>252</v>
      </c>
      <c r="B166" s="128">
        <v>310</v>
      </c>
      <c r="C166" s="78">
        <v>-3.2154341000000001E-3</v>
      </c>
      <c r="D166" s="20">
        <v>311</v>
      </c>
      <c r="E166" s="21">
        <f t="shared" si="86"/>
        <v>3.2258064516129032E-3</v>
      </c>
      <c r="F166" s="22">
        <f>IF(ISNUMBER(D166), $B172 * E166, "")</f>
        <v>322.58064516129031</v>
      </c>
      <c r="G166" s="30">
        <v>315</v>
      </c>
      <c r="H166" s="21">
        <f t="shared" si="87"/>
        <v>1.6129032258064516E-2</v>
      </c>
      <c r="I166" s="105">
        <f>IF(ISNUMBER(G166), $B172 * H166, "")</f>
        <v>1612.9032258064515</v>
      </c>
      <c r="J166" s="20">
        <v>310</v>
      </c>
      <c r="K166" s="21">
        <f t="shared" si="88"/>
        <v>0</v>
      </c>
      <c r="L166" s="22">
        <f>IF(ISNUMBER(J166), $B172 * K166, "")</f>
        <v>0</v>
      </c>
      <c r="M166" s="30">
        <v>312</v>
      </c>
      <c r="N166" s="21">
        <f t="shared" si="89"/>
        <v>6.4516129032258064E-3</v>
      </c>
      <c r="O166" s="22">
        <f>IF(ISNUMBER(M166), $B172 * N166, "")</f>
        <v>645.16129032258061</v>
      </c>
      <c r="Q166" s="245"/>
      <c r="R166" s="245"/>
      <c r="S166" s="245"/>
    </row>
    <row r="167" spans="1:19" ht="17.25" thickBot="1">
      <c r="A167" s="162" t="s">
        <v>226</v>
      </c>
      <c r="B167" s="129">
        <v>304</v>
      </c>
      <c r="C167" s="80">
        <v>-6.5359477000000001E-3</v>
      </c>
      <c r="D167" s="106">
        <v>305</v>
      </c>
      <c r="E167" s="107">
        <f>IF(ISNUMBER(D167), (D167 - $B167) / $B167, "")</f>
        <v>3.2894736842105261E-3</v>
      </c>
      <c r="F167" s="108">
        <f>IF(ISNUMBER(D167), $B172 * E167, "")</f>
        <v>328.9473684210526</v>
      </c>
      <c r="G167" s="109">
        <v>308</v>
      </c>
      <c r="H167" s="107">
        <f>IF(ISNUMBER(G167), (G167 - $B167) / $B167, "")</f>
        <v>1.3157894736842105E-2</v>
      </c>
      <c r="I167" s="110">
        <f>IF(ISNUMBER(G167), $B172 * H167, "")</f>
        <v>1315.7894736842104</v>
      </c>
      <c r="J167" s="106">
        <v>307</v>
      </c>
      <c r="K167" s="107">
        <f>IF(ISNUMBER(J167), (J167 - $B167) / $B167, "")</f>
        <v>9.8684210526315784E-3</v>
      </c>
      <c r="L167" s="108">
        <f>IF(ISNUMBER(J167), $B172 * K167, "")</f>
        <v>986.8421052631578</v>
      </c>
      <c r="M167" s="109">
        <v>309</v>
      </c>
      <c r="N167" s="107">
        <f>IF(ISNUMBER(M167), (M167 - $B167) / $B167, "")</f>
        <v>1.6447368421052631E-2</v>
      </c>
      <c r="O167" s="108">
        <f>IF(ISNUMBER(M167), $B172 * N167, "")</f>
        <v>1644.7368421052631</v>
      </c>
      <c r="Q167" s="235"/>
      <c r="R167" s="235"/>
      <c r="S167" s="235"/>
    </row>
    <row r="168" spans="1:19" ht="17.25" thickBot="1">
      <c r="A168" s="162" t="s">
        <v>148</v>
      </c>
      <c r="B168" s="126">
        <v>126</v>
      </c>
      <c r="C168" s="77">
        <v>-7.8740157000000005E-3</v>
      </c>
      <c r="D168" s="15">
        <v>125</v>
      </c>
      <c r="E168" s="32">
        <f t="shared" ref="E168:E171" si="90">IF(ISNUMBER(D168), (D168 - $B168) / $B168, "")</f>
        <v>-7.9365079365079361E-3</v>
      </c>
      <c r="F168" s="18">
        <f>IF(ISNUMBER(D168), $B172 * E168, "")</f>
        <v>-793.65079365079362</v>
      </c>
      <c r="G168" s="31">
        <v>132</v>
      </c>
      <c r="H168" s="32">
        <f t="shared" ref="H168:H171" si="91">IF(ISNUMBER(G168), (G168 - $B168) / $B168, "")</f>
        <v>4.7619047619047616E-2</v>
      </c>
      <c r="I168" s="101">
        <f>IF(ISNUMBER(G168), $B172 * H168, "")</f>
        <v>4761.9047619047615</v>
      </c>
      <c r="J168" s="15">
        <v>129</v>
      </c>
      <c r="K168" s="32">
        <f t="shared" ref="K168:K171" si="92">IF(ISNUMBER(J168), (J168 - $B168) / $B168, "")</f>
        <v>2.3809523809523808E-2</v>
      </c>
      <c r="L168" s="18">
        <f>IF(ISNUMBER(J168), $B172 * K168, "")</f>
        <v>2380.9523809523807</v>
      </c>
      <c r="M168" s="31">
        <v>129</v>
      </c>
      <c r="N168" s="32">
        <f t="shared" ref="N168:N171" si="93">IF(ISNUMBER(M168), (M168 - $B168) / $B168, "")</f>
        <v>2.3809523809523808E-2</v>
      </c>
      <c r="O168" s="18">
        <f>IF(ISNUMBER(M168), $B172 * N168, "")</f>
        <v>2380.9523809523807</v>
      </c>
      <c r="Q168" s="235"/>
      <c r="R168" s="235"/>
      <c r="S168" s="235"/>
    </row>
    <row r="169" spans="1:19" ht="17.25" thickBot="1">
      <c r="A169" s="162" t="s">
        <v>230</v>
      </c>
      <c r="B169" s="126">
        <v>114</v>
      </c>
      <c r="C169" s="77">
        <v>-8.6956522000000008E-3</v>
      </c>
      <c r="D169" s="15">
        <v>117</v>
      </c>
      <c r="E169" s="32">
        <f t="shared" si="90"/>
        <v>2.6315789473684209E-2</v>
      </c>
      <c r="F169" s="18">
        <f>IF(ISNUMBER(D169), $B172 * E169, "")</f>
        <v>2631.5789473684208</v>
      </c>
      <c r="G169" s="31">
        <v>118</v>
      </c>
      <c r="H169" s="32">
        <f t="shared" si="91"/>
        <v>3.5087719298245612E-2</v>
      </c>
      <c r="I169" s="101">
        <f>IF(ISNUMBER(G169), $B172 * H169, "")</f>
        <v>3508.7719298245611</v>
      </c>
      <c r="J169" s="15">
        <v>118</v>
      </c>
      <c r="K169" s="32">
        <f t="shared" si="92"/>
        <v>3.5087719298245612E-2</v>
      </c>
      <c r="L169" s="18">
        <f>IF(ISNUMBER(J169), $B172 * K169, "")</f>
        <v>3508.7719298245611</v>
      </c>
      <c r="M169" s="31">
        <v>118</v>
      </c>
      <c r="N169" s="32">
        <f t="shared" si="93"/>
        <v>3.5087719298245612E-2</v>
      </c>
      <c r="O169" s="18">
        <f>IF(ISNUMBER(M169), $B172 * N169, "")</f>
        <v>3508.7719298245611</v>
      </c>
      <c r="Q169" s="235"/>
      <c r="R169" s="235"/>
      <c r="S169" s="235"/>
    </row>
    <row r="170" spans="1:19">
      <c r="A170" s="162" t="s">
        <v>246</v>
      </c>
      <c r="B170" s="126">
        <v>310</v>
      </c>
      <c r="C170" s="77">
        <v>-9.5846644999999994E-3</v>
      </c>
      <c r="D170" s="15">
        <v>310</v>
      </c>
      <c r="E170" s="32">
        <f t="shared" si="90"/>
        <v>0</v>
      </c>
      <c r="F170" s="18">
        <f>IF(ISNUMBER(D170), $B172 * E170, "")</f>
        <v>0</v>
      </c>
      <c r="G170" s="31">
        <v>316</v>
      </c>
      <c r="H170" s="32">
        <f t="shared" si="91"/>
        <v>1.935483870967742E-2</v>
      </c>
      <c r="I170" s="101">
        <f>IF(ISNUMBER(G170), $B172 * H170, "")</f>
        <v>1935.483870967742</v>
      </c>
      <c r="J170" s="15">
        <v>311</v>
      </c>
      <c r="K170" s="32">
        <f t="shared" si="92"/>
        <v>3.2258064516129032E-3</v>
      </c>
      <c r="L170" s="18">
        <f>IF(ISNUMBER(J170), $B172 * K170, "")</f>
        <v>322.58064516129031</v>
      </c>
      <c r="M170" s="31">
        <v>313</v>
      </c>
      <c r="N170" s="32">
        <f t="shared" si="93"/>
        <v>9.6774193548387101E-3</v>
      </c>
      <c r="O170" s="18">
        <f>IF(ISNUMBER(M170), $B172 * N170, "")</f>
        <v>967.74193548387098</v>
      </c>
      <c r="Q170" s="224"/>
      <c r="R170" s="225"/>
      <c r="S170" s="226"/>
    </row>
    <row r="171" spans="1:19" ht="17.25" thickBot="1">
      <c r="A171" s="130" t="s">
        <v>142</v>
      </c>
      <c r="B171" s="131">
        <v>416</v>
      </c>
      <c r="C171" s="79">
        <v>-2.11764706E-2</v>
      </c>
      <c r="D171" s="24">
        <v>419</v>
      </c>
      <c r="E171" s="25">
        <f t="shared" si="90"/>
        <v>7.2115384615384619E-3</v>
      </c>
      <c r="F171" s="104">
        <f>IF(ISNUMBER(D171), $B172 * E171, "")</f>
        <v>721.15384615384619</v>
      </c>
      <c r="G171" s="102">
        <v>451</v>
      </c>
      <c r="H171" s="25">
        <f t="shared" si="91"/>
        <v>8.4134615384615391E-2</v>
      </c>
      <c r="I171" s="103">
        <f>IF(ISNUMBER(G171), $B172 * H171, "")</f>
        <v>8413.461538461539</v>
      </c>
      <c r="J171" s="24">
        <v>437</v>
      </c>
      <c r="K171" s="25">
        <f t="shared" si="92"/>
        <v>5.0480769230769232E-2</v>
      </c>
      <c r="L171" s="104">
        <f>IF(ISNUMBER(J171), $B172 * K171, "")</f>
        <v>5048.0769230769229</v>
      </c>
      <c r="M171" s="102">
        <v>465</v>
      </c>
      <c r="N171" s="25">
        <f t="shared" si="93"/>
        <v>0.11778846153846154</v>
      </c>
      <c r="O171" s="104">
        <f>IF(ISNUMBER(M171), $B172 * N171, "")</f>
        <v>11778.846153846154</v>
      </c>
      <c r="Q171" s="227"/>
      <c r="R171" s="228"/>
      <c r="S171" s="229"/>
    </row>
    <row r="172" spans="1:19" ht="17.25" thickBot="1">
      <c r="A172" s="132" t="s">
        <v>300</v>
      </c>
      <c r="B172" s="288">
        <f>$B$37</f>
        <v>100000</v>
      </c>
      <c r="C172" s="289"/>
      <c r="D172" s="26" t="s">
        <v>301</v>
      </c>
      <c r="E172" s="27">
        <f>IF(COUNT(E152:E171), SUM(E152:E171) / COUNT(E152:E171), 0)</f>
        <v>1.1258998365607046E-2</v>
      </c>
      <c r="F172" s="28">
        <f>SUM(F152:F171)</f>
        <v>22517.996731214091</v>
      </c>
      <c r="G172" s="26" t="s">
        <v>301</v>
      </c>
      <c r="H172" s="27">
        <f>IF(COUNT(H152:H171), SUM(H152:H171) / COUNT(H152:H171), 0)</f>
        <v>3.1148903456345162E-2</v>
      </c>
      <c r="I172" s="28">
        <f>SUM(I152:I171)</f>
        <v>62297.806912690336</v>
      </c>
      <c r="J172" s="26" t="s">
        <v>301</v>
      </c>
      <c r="K172" s="27">
        <f>IF(COUNT(K152:K171), SUM(K152:K171) / COUNT(K152:K171), 0)</f>
        <v>2.0580777804449731E-2</v>
      </c>
      <c r="L172" s="28">
        <f>SUM(L152:L171)</f>
        <v>41161.555608899449</v>
      </c>
      <c r="M172" s="26" t="s">
        <v>301</v>
      </c>
      <c r="N172" s="27">
        <f>IF(COUNT(N152:N171), SUM(N152:N171) / COUNT(N152:N171), 0)</f>
        <v>2.6591737509779178E-2</v>
      </c>
      <c r="O172" s="28">
        <f>SUM(O152:O171)</f>
        <v>53183.475019558355</v>
      </c>
      <c r="Q172" s="230"/>
      <c r="R172" s="231"/>
      <c r="S172" s="232"/>
    </row>
    <row r="174" spans="1:19" ht="17.25" thickBot="1"/>
    <row r="175" spans="1:19" ht="17.25" thickBot="1">
      <c r="A175" s="246" t="s">
        <v>285</v>
      </c>
      <c r="B175" s="247"/>
      <c r="C175" s="247"/>
      <c r="D175" s="247"/>
      <c r="E175" s="247"/>
      <c r="F175" s="247"/>
      <c r="G175" s="247"/>
      <c r="H175" s="247"/>
      <c r="I175" s="247"/>
      <c r="J175" s="247"/>
      <c r="K175" s="247"/>
      <c r="L175" s="247"/>
      <c r="M175" s="247"/>
      <c r="N175" s="247"/>
      <c r="O175" s="248"/>
      <c r="Q175" s="245"/>
      <c r="R175" s="245"/>
      <c r="S175" s="245"/>
    </row>
    <row r="176" spans="1:19" ht="17.25" thickBot="1">
      <c r="A176" s="168" t="s">
        <v>297</v>
      </c>
      <c r="B176" s="246" t="s">
        <v>49</v>
      </c>
      <c r="C176" s="248"/>
      <c r="D176" s="246" t="s">
        <v>58</v>
      </c>
      <c r="E176" s="247"/>
      <c r="F176" s="248"/>
      <c r="G176" s="249">
        <f>_xlfn.IFNA(VLOOKUP(B176, 현재가테이블!$B$2:$D$200, 2, FALSE), "-")</f>
        <v>45335000</v>
      </c>
      <c r="H176" s="250"/>
      <c r="I176" s="251"/>
      <c r="J176" s="246" t="s">
        <v>59</v>
      </c>
      <c r="K176" s="247"/>
      <c r="L176" s="248"/>
      <c r="M176" s="252">
        <f>_xlfn.IFNA(VLOOKUP(B176, 현재가테이블!$B$2:$D$200, 3, FALSE), "-")</f>
        <v>-2.27209037E-2</v>
      </c>
      <c r="N176" s="253"/>
      <c r="O176" s="254"/>
      <c r="Q176" s="245"/>
      <c r="R176" s="245"/>
      <c r="S176" s="245"/>
    </row>
    <row r="177" spans="1:19" ht="17.25" thickBot="1">
      <c r="A177" s="290" t="s">
        <v>55</v>
      </c>
      <c r="B177" s="286" t="str">
        <f>TEXT($G$1, "[$-ko-KR]yyyy-mm-dd(ddd) ") &amp; "오전 00:00"</f>
        <v>2021-06-03(목) 오전 00:00</v>
      </c>
      <c r="C177" s="287"/>
      <c r="D177" s="259" t="str">
        <f>TEXT($G$1, "[$-ko-KR]yyyy-mm-dd(ddd) ") &amp; "오후 14:00"</f>
        <v>2021-06-03(목) 오후 14:00</v>
      </c>
      <c r="E177" s="260"/>
      <c r="F177" s="261"/>
      <c r="G177" s="259" t="str">
        <f>TEXT($G$1, "[$-ko-KR]yyyy-mm-dd(ddd) ") &amp; "오후 19:00"</f>
        <v>2021-06-03(목) 오후 19:00</v>
      </c>
      <c r="H177" s="260"/>
      <c r="I177" s="261"/>
      <c r="J177" s="259" t="str">
        <f>TEXT($G$1, "[$-ko-KR]yyyy-mm-dd(ddd) ") &amp; "오후 21:00"</f>
        <v>2021-06-03(목) 오후 21:00</v>
      </c>
      <c r="K177" s="260"/>
      <c r="L177" s="261"/>
      <c r="M177" s="259" t="str">
        <f>TEXT($G$1+1, "[$-ko-KR]yyyy-mm-dd(ddd) ") &amp; "오전 00:00"</f>
        <v>2021-06-04(금) 오전 00:00</v>
      </c>
      <c r="N177" s="260"/>
      <c r="O177" s="261"/>
      <c r="Q177" s="245"/>
      <c r="R177" s="245"/>
      <c r="S177" s="245"/>
    </row>
    <row r="178" spans="1:19" ht="17.25" thickBot="1">
      <c r="A178" s="291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69" t="s">
        <v>58</v>
      </c>
      <c r="H178" s="170" t="s">
        <v>298</v>
      </c>
      <c r="I178" s="171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5"/>
      <c r="R178" s="235"/>
      <c r="S178" s="235"/>
    </row>
    <row r="179" spans="1:19" ht="17.25" thickBot="1">
      <c r="A179" s="161" t="s">
        <v>224</v>
      </c>
      <c r="B179" s="124">
        <v>1600</v>
      </c>
      <c r="C179" s="76">
        <v>0</v>
      </c>
      <c r="D179" s="13">
        <v>1610</v>
      </c>
      <c r="E179" s="14">
        <f>IF(ISNUMBER(D179), (D179 - $B179) / $B179, "")</f>
        <v>6.2500000000000003E-3</v>
      </c>
      <c r="F179" s="16">
        <f>IF(ISNUMBER(D179), $B199 * E179, "")</f>
        <v>625</v>
      </c>
      <c r="G179" s="29">
        <v>1625</v>
      </c>
      <c r="H179" s="14">
        <f>IF(ISNUMBER(G179), (G179 - $B179) / $B179, "")</f>
        <v>1.5625E-2</v>
      </c>
      <c r="I179" s="100">
        <f>IF(ISNUMBER(G179), $B199 * H179, "")</f>
        <v>1562.5</v>
      </c>
      <c r="J179" s="13">
        <v>1610</v>
      </c>
      <c r="K179" s="14">
        <f>IF(ISNUMBER(J179), (J179 - $B179) / $B179, "")</f>
        <v>6.2500000000000003E-3</v>
      </c>
      <c r="L179" s="16">
        <f>IF(ISNUMBER(J179), $B199 * K179, "")</f>
        <v>625</v>
      </c>
      <c r="M179" s="29">
        <v>1610</v>
      </c>
      <c r="N179" s="14">
        <f>IF(ISNUMBER(M179), (M179 - $B179) / $B179, "")</f>
        <v>6.2500000000000003E-3</v>
      </c>
      <c r="O179" s="16">
        <f>IF(ISNUMBER(M179), $B199 * N179, "")</f>
        <v>625</v>
      </c>
      <c r="Q179" s="245"/>
      <c r="R179" s="245"/>
      <c r="S179" s="245"/>
    </row>
    <row r="180" spans="1:19" ht="17.25" thickBot="1">
      <c r="A180" s="162" t="s">
        <v>112</v>
      </c>
      <c r="B180" s="126">
        <v>164</v>
      </c>
      <c r="C180" s="77">
        <v>0</v>
      </c>
      <c r="D180" s="15">
        <v>174</v>
      </c>
      <c r="E180" s="32">
        <f t="shared" ref="E180:E183" si="94">IF(ISNUMBER(D180), (D180 - $B180) / $B180, "")</f>
        <v>6.097560975609756E-2</v>
      </c>
      <c r="F180" s="18">
        <f>IF(ISNUMBER(D180), $B199 * E180, "")</f>
        <v>6097.5609756097556</v>
      </c>
      <c r="G180" s="31">
        <v>173</v>
      </c>
      <c r="H180" s="32">
        <f t="shared" ref="H180:H183" si="95">IF(ISNUMBER(G180), (G180 - $B180) / $B180, "")</f>
        <v>5.4878048780487805E-2</v>
      </c>
      <c r="I180" s="101">
        <f>IF(ISNUMBER(G180), $B199 * H180, "")</f>
        <v>5487.8048780487807</v>
      </c>
      <c r="J180" s="15">
        <v>193</v>
      </c>
      <c r="K180" s="32">
        <f t="shared" ref="K180:K183" si="96">IF(ISNUMBER(J180), (J180 - $B180) / $B180, "")</f>
        <v>0.17682926829268292</v>
      </c>
      <c r="L180" s="18">
        <f>IF(ISNUMBER(J180), $B199 * K180, "")</f>
        <v>17682.92682926829</v>
      </c>
      <c r="M180" s="31">
        <v>186</v>
      </c>
      <c r="N180" s="32">
        <f t="shared" ref="N180:N183" si="97">IF(ISNUMBER(M180), (M180 - $B180) / $B180, "")</f>
        <v>0.13414634146341464</v>
      </c>
      <c r="O180" s="18">
        <f>IF(ISNUMBER(M180), $B199 * N180, "")</f>
        <v>13414.634146341465</v>
      </c>
      <c r="Q180" s="245"/>
      <c r="R180" s="245"/>
      <c r="S180" s="245"/>
    </row>
    <row r="181" spans="1:19" ht="17.25" thickBot="1">
      <c r="A181" s="162" t="s">
        <v>222</v>
      </c>
      <c r="B181" s="126">
        <v>11.6</v>
      </c>
      <c r="C181" s="77">
        <v>0</v>
      </c>
      <c r="D181" s="15">
        <v>11.8</v>
      </c>
      <c r="E181" s="32">
        <f t="shared" si="94"/>
        <v>1.7241379310344921E-2</v>
      </c>
      <c r="F181" s="18">
        <f>IF(ISNUMBER(D181), $B199 * E181, "")</f>
        <v>1724.1379310344921</v>
      </c>
      <c r="G181" s="31">
        <v>12</v>
      </c>
      <c r="H181" s="32">
        <f t="shared" si="95"/>
        <v>3.4482758620689689E-2</v>
      </c>
      <c r="I181" s="101">
        <f>IF(ISNUMBER(G181), $B199 * H181, "")</f>
        <v>3448.2758620689688</v>
      </c>
      <c r="J181" s="15">
        <v>11.7</v>
      </c>
      <c r="K181" s="32">
        <f t="shared" si="96"/>
        <v>8.6206896551723842E-3</v>
      </c>
      <c r="L181" s="18">
        <f>IF(ISNUMBER(J181), $B199 * K181, "")</f>
        <v>862.06896551723844</v>
      </c>
      <c r="M181" s="31">
        <v>11.9</v>
      </c>
      <c r="N181" s="32">
        <f t="shared" si="97"/>
        <v>2.5862068965517303E-2</v>
      </c>
      <c r="O181" s="18">
        <f>IF(ISNUMBER(M181), $B199 * N181, "")</f>
        <v>2586.2068965517306</v>
      </c>
      <c r="Q181" s="235"/>
      <c r="R181" s="235"/>
      <c r="S181" s="235"/>
    </row>
    <row r="182" spans="1:19" ht="17.25" thickBot="1">
      <c r="A182" s="162" t="s">
        <v>162</v>
      </c>
      <c r="B182" s="126">
        <v>1290</v>
      </c>
      <c r="C182" s="77">
        <v>0</v>
      </c>
      <c r="D182" s="15">
        <v>1295</v>
      </c>
      <c r="E182" s="32">
        <f t="shared" si="94"/>
        <v>3.875968992248062E-3</v>
      </c>
      <c r="F182" s="18">
        <f>IF(ISNUMBER(D182), $B199 * E182, "")</f>
        <v>387.59689922480618</v>
      </c>
      <c r="G182" s="31">
        <v>1315</v>
      </c>
      <c r="H182" s="32">
        <f t="shared" si="95"/>
        <v>1.937984496124031E-2</v>
      </c>
      <c r="I182" s="101">
        <f>IF(ISNUMBER(G182), $B199 * H182, "")</f>
        <v>1937.984496124031</v>
      </c>
      <c r="J182" s="15">
        <v>1295</v>
      </c>
      <c r="K182" s="32">
        <f t="shared" si="96"/>
        <v>3.875968992248062E-3</v>
      </c>
      <c r="L182" s="18">
        <f>IF(ISNUMBER(J182), $B199 * K182, "")</f>
        <v>387.59689922480618</v>
      </c>
      <c r="M182" s="31">
        <v>1295</v>
      </c>
      <c r="N182" s="32">
        <f t="shared" si="97"/>
        <v>3.875968992248062E-3</v>
      </c>
      <c r="O182" s="18">
        <f>IF(ISNUMBER(M182), $B199 * N182, "")</f>
        <v>387.59689922480618</v>
      </c>
      <c r="Q182" s="235"/>
      <c r="R182" s="235"/>
      <c r="S182" s="235"/>
    </row>
    <row r="183" spans="1:19" ht="17.25" thickBot="1">
      <c r="A183" s="163" t="s">
        <v>204</v>
      </c>
      <c r="B183" s="128">
        <v>4000</v>
      </c>
      <c r="C183" s="78">
        <v>0</v>
      </c>
      <c r="D183" s="20">
        <v>4015</v>
      </c>
      <c r="E183" s="21">
        <f t="shared" si="94"/>
        <v>3.7499999999999999E-3</v>
      </c>
      <c r="F183" s="22">
        <f>IF(ISNUMBER(D183), $B199 * E183, "")</f>
        <v>375</v>
      </c>
      <c r="G183" s="30">
        <v>4065</v>
      </c>
      <c r="H183" s="21">
        <f t="shared" si="95"/>
        <v>1.6250000000000001E-2</v>
      </c>
      <c r="I183" s="105">
        <f>IF(ISNUMBER(G183), $B199 * H183, "")</f>
        <v>1625</v>
      </c>
      <c r="J183" s="20">
        <v>4000</v>
      </c>
      <c r="K183" s="21">
        <f t="shared" si="96"/>
        <v>0</v>
      </c>
      <c r="L183" s="22">
        <f>IF(ISNUMBER(J183), $B199 * K183, "")</f>
        <v>0</v>
      </c>
      <c r="M183" s="30">
        <v>4025</v>
      </c>
      <c r="N183" s="21">
        <f t="shared" si="97"/>
        <v>6.2500000000000003E-3</v>
      </c>
      <c r="O183" s="22">
        <f>IF(ISNUMBER(M183), $B199 * N183, "")</f>
        <v>625</v>
      </c>
      <c r="Q183" s="235"/>
      <c r="R183" s="235"/>
      <c r="S183" s="235"/>
    </row>
    <row r="184" spans="1:19" ht="17.25" thickBot="1">
      <c r="A184" s="162" t="s">
        <v>108</v>
      </c>
      <c r="B184" s="129">
        <v>31120</v>
      </c>
      <c r="C184" s="80">
        <v>-3.2123349999999999E-4</v>
      </c>
      <c r="D184" s="106">
        <v>31470</v>
      </c>
      <c r="E184" s="107">
        <f>IF(ISNUMBER(D184), (D184 - $B184) / $B184, "")</f>
        <v>1.1246786632390746E-2</v>
      </c>
      <c r="F184" s="108">
        <f>IF(ISNUMBER(D184), $B199 * E184, "")</f>
        <v>1124.6786632390745</v>
      </c>
      <c r="G184" s="109">
        <v>31880</v>
      </c>
      <c r="H184" s="107">
        <f>IF(ISNUMBER(G184), (G184 - $B184) / $B184, "")</f>
        <v>2.4421593830334189E-2</v>
      </c>
      <c r="I184" s="110">
        <f>IF(ISNUMBER(G184), $B199 * H184, "")</f>
        <v>2442.1593830334191</v>
      </c>
      <c r="J184" s="106">
        <v>31260</v>
      </c>
      <c r="K184" s="107">
        <f>IF(ISNUMBER(J184), (J184 - $B184) / $B184, "")</f>
        <v>4.4987146529562984E-3</v>
      </c>
      <c r="L184" s="108">
        <f>IF(ISNUMBER(J184), $B199 * K184, "")</f>
        <v>449.87146529562983</v>
      </c>
      <c r="M184" s="109">
        <v>31420</v>
      </c>
      <c r="N184" s="107">
        <f>IF(ISNUMBER(M184), (M184 - $B184) / $B184, "")</f>
        <v>9.640102827763496E-3</v>
      </c>
      <c r="O184" s="108">
        <f>IF(ISNUMBER(M184), $B199 * N184, "")</f>
        <v>964.01028277634964</v>
      </c>
      <c r="Q184" s="235"/>
      <c r="R184" s="235"/>
      <c r="S184" s="235"/>
    </row>
    <row r="185" spans="1:19" ht="17.25" thickBot="1">
      <c r="A185" s="162" t="s">
        <v>146</v>
      </c>
      <c r="B185" s="126">
        <v>10830</v>
      </c>
      <c r="C185" s="77">
        <v>-9.2250920000000003E-4</v>
      </c>
      <c r="D185" s="15">
        <v>12000</v>
      </c>
      <c r="E185" s="32">
        <f t="shared" ref="E185:E188" si="98">IF(ISNUMBER(D185), (D185 - $B185) / $B185, "")</f>
        <v>0.10803324099722991</v>
      </c>
      <c r="F185" s="18">
        <f>IF(ISNUMBER(D185), $B199 * E185, "")</f>
        <v>10803.324099722991</v>
      </c>
      <c r="G185" s="31">
        <v>11930</v>
      </c>
      <c r="H185" s="32">
        <f t="shared" ref="H185:H188" si="99">IF(ISNUMBER(G185), (G185 - $B185) / $B185, "")</f>
        <v>0.10156971375807941</v>
      </c>
      <c r="I185" s="101">
        <f>IF(ISNUMBER(G185), $B199 * H185, "")</f>
        <v>10156.971375807942</v>
      </c>
      <c r="J185" s="15">
        <v>11550</v>
      </c>
      <c r="K185" s="32">
        <f t="shared" ref="K185:K188" si="100">IF(ISNUMBER(J185), (J185 - $B185) / $B185, "")</f>
        <v>6.6481994459833799E-2</v>
      </c>
      <c r="L185" s="18">
        <f>IF(ISNUMBER(J185), $B199 * K185, "")</f>
        <v>6648.1994459833795</v>
      </c>
      <c r="M185" s="31">
        <v>11540</v>
      </c>
      <c r="N185" s="32">
        <f t="shared" ref="N185:N188" si="101">IF(ISNUMBER(M185), (M185 - $B185) / $B185, "")</f>
        <v>6.5558633425669435E-2</v>
      </c>
      <c r="O185" s="18">
        <f>IF(ISNUMBER(M185), $B199 * N185, "")</f>
        <v>6555.8633425669432</v>
      </c>
      <c r="Q185" s="235"/>
      <c r="R185" s="235"/>
      <c r="S185" s="235"/>
    </row>
    <row r="186" spans="1:19" ht="17.25" thickBot="1">
      <c r="A186" s="162" t="s">
        <v>266</v>
      </c>
      <c r="B186" s="126">
        <v>58.5</v>
      </c>
      <c r="C186" s="77">
        <v>-1.7064846000000001E-3</v>
      </c>
      <c r="D186" s="15">
        <v>62.1</v>
      </c>
      <c r="E186" s="32">
        <f t="shared" si="98"/>
        <v>6.1538461538461563E-2</v>
      </c>
      <c r="F186" s="18">
        <f>IF(ISNUMBER(D186), $B199 * E186, "")</f>
        <v>6153.8461538461561</v>
      </c>
      <c r="G186" s="31">
        <v>63</v>
      </c>
      <c r="H186" s="32">
        <f t="shared" si="99"/>
        <v>7.6923076923076927E-2</v>
      </c>
      <c r="I186" s="101">
        <f>IF(ISNUMBER(G186), $B199 * H186, "")</f>
        <v>7692.3076923076924</v>
      </c>
      <c r="J186" s="15">
        <v>61.6</v>
      </c>
      <c r="K186" s="32">
        <f t="shared" si="100"/>
        <v>5.2991452991453018E-2</v>
      </c>
      <c r="L186" s="18">
        <f>IF(ISNUMBER(J186), $B199 * K186, "")</f>
        <v>5299.1452991453016</v>
      </c>
      <c r="M186" s="31">
        <v>62.4</v>
      </c>
      <c r="N186" s="32">
        <f t="shared" si="101"/>
        <v>6.6666666666666638E-2</v>
      </c>
      <c r="O186" s="18">
        <f>IF(ISNUMBER(M186), $B199 * N186, "")</f>
        <v>6666.6666666666642</v>
      </c>
      <c r="Q186" s="235"/>
      <c r="R186" s="235"/>
      <c r="S186" s="235"/>
    </row>
    <row r="187" spans="1:19" ht="17.25" thickBot="1">
      <c r="A187" s="162" t="s">
        <v>252</v>
      </c>
      <c r="B187" s="126">
        <v>310</v>
      </c>
      <c r="C187" s="77">
        <v>-3.2154341000000001E-3</v>
      </c>
      <c r="D187" s="15">
        <v>311</v>
      </c>
      <c r="E187" s="32">
        <f t="shared" si="98"/>
        <v>3.2258064516129032E-3</v>
      </c>
      <c r="F187" s="18">
        <f>IF(ISNUMBER(D187), $B199 * E187, "")</f>
        <v>322.58064516129031</v>
      </c>
      <c r="G187" s="31">
        <v>315</v>
      </c>
      <c r="H187" s="32">
        <f t="shared" si="99"/>
        <v>1.6129032258064516E-2</v>
      </c>
      <c r="I187" s="101">
        <f>IF(ISNUMBER(G187), $B199 * H187, "")</f>
        <v>1612.9032258064515</v>
      </c>
      <c r="J187" s="15">
        <v>310</v>
      </c>
      <c r="K187" s="32">
        <f t="shared" si="100"/>
        <v>0</v>
      </c>
      <c r="L187" s="18">
        <f>IF(ISNUMBER(J187), $B199 * K187, "")</f>
        <v>0</v>
      </c>
      <c r="M187" s="31">
        <v>312</v>
      </c>
      <c r="N187" s="32">
        <f t="shared" si="101"/>
        <v>6.4516129032258064E-3</v>
      </c>
      <c r="O187" s="18">
        <f>IF(ISNUMBER(M187), $B199 * N187, "")</f>
        <v>645.16129032258061</v>
      </c>
      <c r="Q187" s="33"/>
      <c r="R187" s="33"/>
    </row>
    <row r="188" spans="1:19" ht="17.25" thickBot="1">
      <c r="A188" s="130" t="s">
        <v>67</v>
      </c>
      <c r="B188" s="131">
        <v>5530</v>
      </c>
      <c r="C188" s="79">
        <v>-4.5004499999999996E-3</v>
      </c>
      <c r="D188" s="24">
        <v>5600</v>
      </c>
      <c r="E188" s="25">
        <f t="shared" si="98"/>
        <v>1.2658227848101266E-2</v>
      </c>
      <c r="F188" s="104">
        <f>IF(ISNUMBER(D188), $B199 * E188, "")</f>
        <v>1265.8227848101264</v>
      </c>
      <c r="G188" s="102">
        <v>5680</v>
      </c>
      <c r="H188" s="25">
        <f t="shared" si="99"/>
        <v>2.7124773960216998E-2</v>
      </c>
      <c r="I188" s="103">
        <f>IF(ISNUMBER(G188), $B199 * H188, "")</f>
        <v>2712.4773960216999</v>
      </c>
      <c r="J188" s="24">
        <v>5595</v>
      </c>
      <c r="K188" s="25">
        <f t="shared" si="100"/>
        <v>1.1754068716094032E-2</v>
      </c>
      <c r="L188" s="104">
        <f>IF(ISNUMBER(J188), $B199 * K188, "")</f>
        <v>1175.4068716094032</v>
      </c>
      <c r="M188" s="102">
        <v>5615</v>
      </c>
      <c r="N188" s="25">
        <f t="shared" si="101"/>
        <v>1.5370705244122965E-2</v>
      </c>
      <c r="O188" s="104">
        <f>IF(ISNUMBER(M188), $B199 * N188, "")</f>
        <v>1537.0705244122964</v>
      </c>
      <c r="Q188" s="236"/>
      <c r="R188" s="237"/>
      <c r="S188" s="238"/>
    </row>
    <row r="189" spans="1:19">
      <c r="A189" s="161" t="s">
        <v>172</v>
      </c>
      <c r="B189" s="124">
        <v>15.5</v>
      </c>
      <c r="C189" s="76">
        <v>-6.4102563999999997E-3</v>
      </c>
      <c r="D189" s="13">
        <v>15.5</v>
      </c>
      <c r="E189" s="14">
        <f>IF(ISNUMBER(D189), (D189 - $B189) / $B189, "")</f>
        <v>0</v>
      </c>
      <c r="F189" s="16">
        <f>IF(ISNUMBER(D189), $B199 * E189, "")</f>
        <v>0</v>
      </c>
      <c r="G189" s="29">
        <v>15.8</v>
      </c>
      <c r="H189" s="14">
        <f>IF(ISNUMBER(G189), (G189 - $B189) / $B189, "")</f>
        <v>1.9354838709677465E-2</v>
      </c>
      <c r="I189" s="100">
        <f>IF(ISNUMBER(G189), $B199 * H189, "")</f>
        <v>1935.4838709677465</v>
      </c>
      <c r="J189" s="13">
        <v>15.5</v>
      </c>
      <c r="K189" s="14">
        <f>IF(ISNUMBER(J189), (J189 - $B189) / $B189, "")</f>
        <v>0</v>
      </c>
      <c r="L189" s="16">
        <f>IF(ISNUMBER(J189), $B199 * K189, "")</f>
        <v>0</v>
      </c>
      <c r="M189" s="29">
        <v>15.7</v>
      </c>
      <c r="N189" s="14">
        <f>IF(ISNUMBER(M189), (M189 - $B189) / $B189, "")</f>
        <v>1.2903225806451568E-2</v>
      </c>
      <c r="O189" s="16">
        <f>IF(ISNUMBER(M189), $B199 * N189, "")</f>
        <v>1290.3225806451567</v>
      </c>
      <c r="Q189" s="239"/>
      <c r="R189" s="240"/>
      <c r="S189" s="241"/>
    </row>
    <row r="190" spans="1:19" ht="17.25" thickBot="1">
      <c r="A190" s="162" t="s">
        <v>226</v>
      </c>
      <c r="B190" s="126">
        <v>304</v>
      </c>
      <c r="C190" s="77">
        <v>-6.5359477000000001E-3</v>
      </c>
      <c r="D190" s="15">
        <v>305</v>
      </c>
      <c r="E190" s="32">
        <f t="shared" ref="E190:E193" si="102">IF(ISNUMBER(D190), (D190 - $B190) / $B190, "")</f>
        <v>3.2894736842105261E-3</v>
      </c>
      <c r="F190" s="18">
        <f>IF(ISNUMBER(D190), $B199 * E190, "")</f>
        <v>328.9473684210526</v>
      </c>
      <c r="G190" s="31">
        <v>308</v>
      </c>
      <c r="H190" s="32">
        <f t="shared" ref="H190:H193" si="103">IF(ISNUMBER(G190), (G190 - $B190) / $B190, "")</f>
        <v>1.3157894736842105E-2</v>
      </c>
      <c r="I190" s="101">
        <f>IF(ISNUMBER(G190), $B199 * H190, "")</f>
        <v>1315.7894736842104</v>
      </c>
      <c r="J190" s="15">
        <v>307</v>
      </c>
      <c r="K190" s="32">
        <f t="shared" ref="K190:K193" si="104">IF(ISNUMBER(J190), (J190 - $B190) / $B190, "")</f>
        <v>9.8684210526315784E-3</v>
      </c>
      <c r="L190" s="18">
        <f>IF(ISNUMBER(J190), $B199 * K190, "")</f>
        <v>986.8421052631578</v>
      </c>
      <c r="M190" s="31">
        <v>309</v>
      </c>
      <c r="N190" s="32">
        <f t="shared" ref="N190:N193" si="105">IF(ISNUMBER(M190), (M190 - $B190) / $B190, "")</f>
        <v>1.6447368421052631E-2</v>
      </c>
      <c r="O190" s="18">
        <f>IF(ISNUMBER(M190), $B199 * N190, "")</f>
        <v>1644.7368421052631</v>
      </c>
      <c r="Q190" s="242"/>
      <c r="R190" s="243"/>
      <c r="S190" s="244"/>
    </row>
    <row r="191" spans="1:19" ht="17.25" thickBot="1">
      <c r="A191" s="162" t="s">
        <v>158</v>
      </c>
      <c r="B191" s="126">
        <v>5485</v>
      </c>
      <c r="C191" s="77">
        <v>-7.2398189999999998E-3</v>
      </c>
      <c r="D191" s="15">
        <v>5440</v>
      </c>
      <c r="E191" s="32">
        <f t="shared" si="102"/>
        <v>-8.2041932543299913E-3</v>
      </c>
      <c r="F191" s="18">
        <f>IF(ISNUMBER(D191), $B199 * E191, "")</f>
        <v>-820.41932543299913</v>
      </c>
      <c r="G191" s="31">
        <v>5540</v>
      </c>
      <c r="H191" s="32">
        <f t="shared" si="103"/>
        <v>1.0027347310847767E-2</v>
      </c>
      <c r="I191" s="101">
        <f>IF(ISNUMBER(G191), $B199 * H191, "")</f>
        <v>1002.7347310847766</v>
      </c>
      <c r="J191" s="15">
        <v>5400</v>
      </c>
      <c r="K191" s="32">
        <f t="shared" si="104"/>
        <v>-1.5496809480401094E-2</v>
      </c>
      <c r="L191" s="18">
        <f>IF(ISNUMBER(J191), $B199 * K191, "")</f>
        <v>-1549.6809480401093</v>
      </c>
      <c r="M191" s="31">
        <v>5420</v>
      </c>
      <c r="N191" s="32">
        <f t="shared" si="105"/>
        <v>-1.1850501367365542E-2</v>
      </c>
      <c r="O191" s="18">
        <f>IF(ISNUMBER(M191), $B199 * N191, "")</f>
        <v>-1185.0501367365541</v>
      </c>
      <c r="Q191" s="235"/>
      <c r="R191" s="235"/>
      <c r="S191" s="235"/>
    </row>
    <row r="192" spans="1:19" ht="17.25" thickBot="1">
      <c r="A192" s="162" t="s">
        <v>186</v>
      </c>
      <c r="B192" s="126">
        <v>13.7</v>
      </c>
      <c r="C192" s="77">
        <v>-7.2463768E-3</v>
      </c>
      <c r="D192" s="15">
        <v>14.3</v>
      </c>
      <c r="E192" s="32">
        <f t="shared" si="102"/>
        <v>4.379562043795631E-2</v>
      </c>
      <c r="F192" s="18">
        <f>IF(ISNUMBER(D192), $B199 * E192, "")</f>
        <v>4379.5620437956313</v>
      </c>
      <c r="G192" s="31">
        <v>14.6</v>
      </c>
      <c r="H192" s="32">
        <f t="shared" si="103"/>
        <v>6.5693430656934337E-2</v>
      </c>
      <c r="I192" s="101">
        <f>IF(ISNUMBER(G192), $B199 * H192, "")</f>
        <v>6569.3430656934333</v>
      </c>
      <c r="J192" s="15">
        <v>14.2</v>
      </c>
      <c r="K192" s="32">
        <f t="shared" si="104"/>
        <v>3.6496350364963508E-2</v>
      </c>
      <c r="L192" s="18">
        <f>IF(ISNUMBER(J192), $B199 * K192, "")</f>
        <v>3649.6350364963509</v>
      </c>
      <c r="M192" s="31">
        <v>14.2</v>
      </c>
      <c r="N192" s="32">
        <f t="shared" si="105"/>
        <v>3.6496350364963508E-2</v>
      </c>
      <c r="O192" s="18">
        <f>IF(ISNUMBER(M192), $B199 * N192, "")</f>
        <v>3649.6350364963509</v>
      </c>
      <c r="Q192" s="245"/>
      <c r="R192" s="245"/>
      <c r="S192" s="245"/>
    </row>
    <row r="193" spans="1:19" ht="17.25" thickBot="1">
      <c r="A193" s="163" t="s">
        <v>148</v>
      </c>
      <c r="B193" s="128">
        <v>126</v>
      </c>
      <c r="C193" s="78">
        <v>-7.8740157000000005E-3</v>
      </c>
      <c r="D193" s="20">
        <v>125</v>
      </c>
      <c r="E193" s="21">
        <f t="shared" si="102"/>
        <v>-7.9365079365079361E-3</v>
      </c>
      <c r="F193" s="22">
        <f>IF(ISNUMBER(D193), $B199 * E193, "")</f>
        <v>-793.65079365079362</v>
      </c>
      <c r="G193" s="30">
        <v>132</v>
      </c>
      <c r="H193" s="21">
        <f t="shared" si="103"/>
        <v>4.7619047619047616E-2</v>
      </c>
      <c r="I193" s="105">
        <f>IF(ISNUMBER(G193), $B199 * H193, "")</f>
        <v>4761.9047619047615</v>
      </c>
      <c r="J193" s="20">
        <v>129</v>
      </c>
      <c r="K193" s="21">
        <f t="shared" si="104"/>
        <v>2.3809523809523808E-2</v>
      </c>
      <c r="L193" s="22">
        <f>IF(ISNUMBER(J193), $B199 * K193, "")</f>
        <v>2380.9523809523807</v>
      </c>
      <c r="M193" s="30">
        <v>129</v>
      </c>
      <c r="N193" s="21">
        <f t="shared" si="105"/>
        <v>2.3809523809523808E-2</v>
      </c>
      <c r="O193" s="22">
        <f>IF(ISNUMBER(M193), $B199 * N193, "")</f>
        <v>2380.9523809523807</v>
      </c>
      <c r="Q193" s="245"/>
      <c r="R193" s="245"/>
      <c r="S193" s="245"/>
    </row>
    <row r="194" spans="1:19" ht="17.25" thickBot="1">
      <c r="A194" s="162" t="s">
        <v>260</v>
      </c>
      <c r="B194" s="129">
        <v>80.8</v>
      </c>
      <c r="C194" s="80">
        <v>-8.5889571000000008E-3</v>
      </c>
      <c r="D194" s="106">
        <v>81.099999999999994</v>
      </c>
      <c r="E194" s="107">
        <f>IF(ISNUMBER(D194), (D194 - $B194) / $B194, "")</f>
        <v>3.712871287128678E-3</v>
      </c>
      <c r="F194" s="108">
        <f>IF(ISNUMBER(D194), $B199 * E194, "")</f>
        <v>371.2871287128678</v>
      </c>
      <c r="G194" s="109">
        <v>82.2</v>
      </c>
      <c r="H194" s="107">
        <f>IF(ISNUMBER(G194), (G194 - $B194) / $B194, "")</f>
        <v>1.7326732673267398E-2</v>
      </c>
      <c r="I194" s="110">
        <f>IF(ISNUMBER(G194), $B199 * H194, "")</f>
        <v>1732.6732673267397</v>
      </c>
      <c r="J194" s="106">
        <v>81.099999999999994</v>
      </c>
      <c r="K194" s="107">
        <f>IF(ISNUMBER(J194), (J194 - $B194) / $B194, "")</f>
        <v>3.712871287128678E-3</v>
      </c>
      <c r="L194" s="108">
        <f>IF(ISNUMBER(J194), $B199 * K194, "")</f>
        <v>371.2871287128678</v>
      </c>
      <c r="M194" s="109">
        <v>81.7</v>
      </c>
      <c r="N194" s="107">
        <f>IF(ISNUMBER(M194), (M194 - $B194) / $B194, "")</f>
        <v>1.1138613861386209E-2</v>
      </c>
      <c r="O194" s="108">
        <f>IF(ISNUMBER(M194), $B199 * N194, "")</f>
        <v>1113.8613861386209</v>
      </c>
      <c r="Q194" s="235"/>
      <c r="R194" s="235"/>
      <c r="S194" s="235"/>
    </row>
    <row r="195" spans="1:19" ht="17.25" thickBot="1">
      <c r="A195" s="162" t="s">
        <v>230</v>
      </c>
      <c r="B195" s="126">
        <v>114</v>
      </c>
      <c r="C195" s="77">
        <v>-8.6956522000000008E-3</v>
      </c>
      <c r="D195" s="15">
        <v>117</v>
      </c>
      <c r="E195" s="32">
        <f t="shared" ref="E195:E198" si="106">IF(ISNUMBER(D195), (D195 - $B195) / $B195, "")</f>
        <v>2.6315789473684209E-2</v>
      </c>
      <c r="F195" s="18">
        <f>IF(ISNUMBER(D195), $B199 * E195, "")</f>
        <v>2631.5789473684208</v>
      </c>
      <c r="G195" s="31">
        <v>118</v>
      </c>
      <c r="H195" s="32">
        <f t="shared" ref="H195:H198" si="107">IF(ISNUMBER(G195), (G195 - $B195) / $B195, "")</f>
        <v>3.5087719298245612E-2</v>
      </c>
      <c r="I195" s="101">
        <f>IF(ISNUMBER(G195), $B199 * H195, "")</f>
        <v>3508.7719298245611</v>
      </c>
      <c r="J195" s="15">
        <v>118</v>
      </c>
      <c r="K195" s="32">
        <f t="shared" ref="K195:K198" si="108">IF(ISNUMBER(J195), (J195 - $B195) / $B195, "")</f>
        <v>3.5087719298245612E-2</v>
      </c>
      <c r="L195" s="18">
        <f>IF(ISNUMBER(J195), $B199 * K195, "")</f>
        <v>3508.7719298245611</v>
      </c>
      <c r="M195" s="31">
        <v>118</v>
      </c>
      <c r="N195" s="32">
        <f t="shared" ref="N195:N198" si="109">IF(ISNUMBER(M195), (M195 - $B195) / $B195, "")</f>
        <v>3.5087719298245612E-2</v>
      </c>
      <c r="O195" s="18">
        <f>IF(ISNUMBER(M195), $B199 * N195, "")</f>
        <v>3508.7719298245611</v>
      </c>
      <c r="Q195" s="235"/>
      <c r="R195" s="235"/>
      <c r="S195" s="235"/>
    </row>
    <row r="196" spans="1:19" ht="17.25" thickBot="1">
      <c r="A196" s="162" t="s">
        <v>246</v>
      </c>
      <c r="B196" s="126">
        <v>310</v>
      </c>
      <c r="C196" s="77">
        <v>-9.5846644999999994E-3</v>
      </c>
      <c r="D196" s="15">
        <v>310</v>
      </c>
      <c r="E196" s="32">
        <f t="shared" si="106"/>
        <v>0</v>
      </c>
      <c r="F196" s="18">
        <f>IF(ISNUMBER(D196), $B199 * E196, "")</f>
        <v>0</v>
      </c>
      <c r="G196" s="31">
        <v>316</v>
      </c>
      <c r="H196" s="32">
        <f t="shared" si="107"/>
        <v>1.935483870967742E-2</v>
      </c>
      <c r="I196" s="101">
        <f>IF(ISNUMBER(G196), $B199 * H196, "")</f>
        <v>1935.483870967742</v>
      </c>
      <c r="J196" s="15">
        <v>311</v>
      </c>
      <c r="K196" s="32">
        <f t="shared" si="108"/>
        <v>3.2258064516129032E-3</v>
      </c>
      <c r="L196" s="18">
        <f>IF(ISNUMBER(J196), $B199 * K196, "")</f>
        <v>322.58064516129031</v>
      </c>
      <c r="M196" s="31">
        <v>313</v>
      </c>
      <c r="N196" s="32">
        <f t="shared" si="109"/>
        <v>9.6774193548387101E-3</v>
      </c>
      <c r="O196" s="18">
        <f>IF(ISNUMBER(M196), $B199 * N196, "")</f>
        <v>967.74193548387098</v>
      </c>
      <c r="Q196" s="235"/>
      <c r="R196" s="235"/>
      <c r="S196" s="235"/>
    </row>
    <row r="197" spans="1:19">
      <c r="A197" s="162" t="s">
        <v>142</v>
      </c>
      <c r="B197" s="126">
        <v>416</v>
      </c>
      <c r="C197" s="77">
        <v>-2.11764706E-2</v>
      </c>
      <c r="D197" s="15">
        <v>419</v>
      </c>
      <c r="E197" s="32">
        <f t="shared" si="106"/>
        <v>7.2115384615384619E-3</v>
      </c>
      <c r="F197" s="18">
        <f>IF(ISNUMBER(D197), $B199 * E197, "")</f>
        <v>721.15384615384619</v>
      </c>
      <c r="G197" s="31">
        <v>451</v>
      </c>
      <c r="H197" s="32">
        <f t="shared" si="107"/>
        <v>8.4134615384615391E-2</v>
      </c>
      <c r="I197" s="101">
        <f>IF(ISNUMBER(G197), $B199 * H197, "")</f>
        <v>8413.461538461539</v>
      </c>
      <c r="J197" s="15">
        <v>437</v>
      </c>
      <c r="K197" s="32">
        <f t="shared" si="108"/>
        <v>5.0480769230769232E-2</v>
      </c>
      <c r="L197" s="18">
        <f>IF(ISNUMBER(J197), $B199 * K197, "")</f>
        <v>5048.0769230769229</v>
      </c>
      <c r="M197" s="31">
        <v>465</v>
      </c>
      <c r="N197" s="32">
        <f t="shared" si="109"/>
        <v>0.11778846153846154</v>
      </c>
      <c r="O197" s="18">
        <f>IF(ISNUMBER(M197), $B199 * N197, "")</f>
        <v>11778.846153846154</v>
      </c>
      <c r="Q197" s="224"/>
      <c r="R197" s="225"/>
      <c r="S197" s="226"/>
    </row>
    <row r="198" spans="1:19" ht="17.25" thickBot="1">
      <c r="A198" s="130" t="s">
        <v>274</v>
      </c>
      <c r="B198" s="131">
        <v>9810</v>
      </c>
      <c r="C198" s="79">
        <v>-2.7750247799999999E-2</v>
      </c>
      <c r="D198" s="24">
        <v>9760</v>
      </c>
      <c r="E198" s="25">
        <f t="shared" si="106"/>
        <v>-5.0968399592252805E-3</v>
      </c>
      <c r="F198" s="104">
        <f>IF(ISNUMBER(D198), $B199 * E198, "")</f>
        <v>-509.68399592252803</v>
      </c>
      <c r="G198" s="102">
        <v>9925</v>
      </c>
      <c r="H198" s="25">
        <f t="shared" si="107"/>
        <v>1.1722731906218144E-2</v>
      </c>
      <c r="I198" s="103">
        <f>IF(ISNUMBER(G198), $B199 * H198, "")</f>
        <v>1172.2731906218144</v>
      </c>
      <c r="J198" s="24">
        <v>9770</v>
      </c>
      <c r="K198" s="25">
        <f t="shared" si="108"/>
        <v>-4.0774719673802246E-3</v>
      </c>
      <c r="L198" s="104">
        <f>IF(ISNUMBER(J198), $B199 * K198, "")</f>
        <v>-407.74719673802247</v>
      </c>
      <c r="M198" s="102">
        <v>9720</v>
      </c>
      <c r="N198" s="25">
        <f t="shared" si="109"/>
        <v>-9.1743119266055051E-3</v>
      </c>
      <c r="O198" s="104">
        <f>IF(ISNUMBER(M198), $B199 * N198, "")</f>
        <v>-917.43119266055055</v>
      </c>
      <c r="Q198" s="227"/>
      <c r="R198" s="228"/>
      <c r="S198" s="229"/>
    </row>
    <row r="199" spans="1:19" ht="17.25" thickBot="1">
      <c r="A199" s="132" t="s">
        <v>300</v>
      </c>
      <c r="B199" s="288">
        <f>$B$37</f>
        <v>100000</v>
      </c>
      <c r="C199" s="289"/>
      <c r="D199" s="26" t="s">
        <v>301</v>
      </c>
      <c r="E199" s="27">
        <f>IF(COUNT(E179:E198), SUM(E179:E198) / COUNT(E179:E198), 0)</f>
        <v>1.7594161686047095E-2</v>
      </c>
      <c r="F199" s="28">
        <f>SUM(F179:F198)</f>
        <v>35188.323372094193</v>
      </c>
      <c r="G199" s="26" t="s">
        <v>301</v>
      </c>
      <c r="H199" s="27">
        <f>IF(COUNT(H179:H198), SUM(H179:H198) / COUNT(H179:H198), 0)</f>
        <v>3.551315200487816E-2</v>
      </c>
      <c r="I199" s="28">
        <f>SUM(I179:I198)</f>
        <v>71026.304009756306</v>
      </c>
      <c r="J199" s="26" t="s">
        <v>301</v>
      </c>
      <c r="K199" s="27">
        <f>IF(COUNT(K179:K198), SUM(K179:K198) / COUNT(K179:K198), 0)</f>
        <v>2.3720466890376723E-2</v>
      </c>
      <c r="L199" s="28">
        <f>SUM(L179:L198)</f>
        <v>47440.933780753447</v>
      </c>
      <c r="M199" s="26" t="s">
        <v>301</v>
      </c>
      <c r="N199" s="27">
        <f>IF(COUNT(N179:N198), SUM(N179:N198) / COUNT(N179:N198), 0)</f>
        <v>2.9119798482479052E-2</v>
      </c>
      <c r="O199" s="28">
        <f>SUM(O179:O198)</f>
        <v>58239.596964958095</v>
      </c>
      <c r="Q199" s="230"/>
      <c r="R199" s="231"/>
      <c r="S199" s="232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4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4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4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4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81" priority="157">
      <formula>AND($N17 &gt; 0, ISNUMBER($N17))</formula>
    </cfRule>
    <cfRule type="expression" dxfId="2480" priority="158">
      <formula>AND($N17 = 0 * ISNUMBER($N17))</formula>
    </cfRule>
    <cfRule type="expression" dxfId="2479" priority="159">
      <formula>AND($N17 &lt; 0, ISNUMBER($N17))</formula>
    </cfRule>
  </conditionalFormatting>
  <conditionalFormatting sqref="A17:F36">
    <cfRule type="expression" dxfId="2478" priority="166">
      <formula>AND($E17 &gt; 0, ISNUMBER($E17))</formula>
    </cfRule>
    <cfRule type="expression" dxfId="2477" priority="167">
      <formula>AND($E17 = 0 * ISNUMBER($E17))</formula>
    </cfRule>
    <cfRule type="expression" dxfId="2476" priority="168">
      <formula>AND($E17 &lt; 0, ISNUMBER($E17))</formula>
    </cfRule>
  </conditionalFormatting>
  <conditionalFormatting sqref="A17:C36 G17:I36">
    <cfRule type="expression" dxfId="2475" priority="163">
      <formula>AND($H17 &gt; 0, ISNUMBER($H17))</formula>
    </cfRule>
    <cfRule type="expression" dxfId="2474" priority="164">
      <formula>AND($H17 = 0 * ISNUMBER($H17))</formula>
    </cfRule>
    <cfRule type="expression" dxfId="2473" priority="165">
      <formula>AND($H17 &lt; 0, ISNUMBER($H17))</formula>
    </cfRule>
  </conditionalFormatting>
  <conditionalFormatting sqref="A17:C36 J17:L36">
    <cfRule type="expression" dxfId="2472" priority="160">
      <formula>AND($K17 &gt; 0, ISNUMBER($K17))</formula>
    </cfRule>
    <cfRule type="expression" dxfId="2471" priority="161">
      <formula>AND($K17 = 0 * ISNUMBER($K17))</formula>
    </cfRule>
    <cfRule type="expression" dxfId="2470" priority="162">
      <formula>AND($K17 &lt; 0, ISNUMBER($K17))</formula>
    </cfRule>
  </conditionalFormatting>
  <conditionalFormatting sqref="D15:F16 E37:F37">
    <cfRule type="expression" dxfId="2469" priority="154">
      <formula>$E$37 &gt; 0</formula>
    </cfRule>
    <cfRule type="expression" dxfId="2468" priority="155">
      <formula>$E$37 = 0</formula>
    </cfRule>
    <cfRule type="expression" dxfId="2467" priority="156">
      <formula>$E$37 &lt; 0</formula>
    </cfRule>
  </conditionalFormatting>
  <conditionalFormatting sqref="G15:I16 H37:I37">
    <cfRule type="expression" dxfId="2466" priority="151">
      <formula>$H$37 &gt; 0</formula>
    </cfRule>
    <cfRule type="expression" dxfId="2465" priority="152">
      <formula>$H$37 = 0</formula>
    </cfRule>
    <cfRule type="expression" dxfId="2464" priority="153">
      <formula>$H$37 &lt; 0</formula>
    </cfRule>
  </conditionalFormatting>
  <conditionalFormatting sqref="J15:L16 K37:L37">
    <cfRule type="expression" dxfId="2463" priority="148">
      <formula>$K$37 &gt; 0</formula>
    </cfRule>
    <cfRule type="expression" dxfId="2462" priority="149">
      <formula>$K$37 = 0</formula>
    </cfRule>
    <cfRule type="expression" dxfId="2461" priority="150">
      <formula>$K$37 &lt; 0</formula>
    </cfRule>
  </conditionalFormatting>
  <conditionalFormatting sqref="M15:O16 N37:O37">
    <cfRule type="expression" dxfId="2460" priority="145">
      <formula>$N$37 &gt; 0</formula>
    </cfRule>
    <cfRule type="expression" dxfId="2459" priority="146">
      <formula>$N$37 = 0</formula>
    </cfRule>
    <cfRule type="expression" dxfId="2458" priority="147">
      <formula>$N$37 &lt; 0</formula>
    </cfRule>
  </conditionalFormatting>
  <conditionalFormatting sqref="A44:C63 M44:O63">
    <cfRule type="expression" dxfId="2457" priority="133">
      <formula>AND($N44 &gt; 0, ISNUMBER($N44))</formula>
    </cfRule>
    <cfRule type="expression" dxfId="2456" priority="134">
      <formula>AND($N44 = 0 * ISNUMBER($N44))</formula>
    </cfRule>
    <cfRule type="expression" dxfId="2455" priority="135">
      <formula>AND($N44 &lt; 0, ISNUMBER($N44))</formula>
    </cfRule>
  </conditionalFormatting>
  <conditionalFormatting sqref="A44:F63">
    <cfRule type="expression" dxfId="2454" priority="142">
      <formula>AND($E44 &gt; 0, ISNUMBER($E44))</formula>
    </cfRule>
    <cfRule type="expression" dxfId="2453" priority="143">
      <formula>AND($E44 = 0 * ISNUMBER($E44))</formula>
    </cfRule>
    <cfRule type="expression" dxfId="2452" priority="144">
      <formula>AND($E44 &lt; 0, ISNUMBER($E44))</formula>
    </cfRule>
  </conditionalFormatting>
  <conditionalFormatting sqref="A44:C63 G44:I63">
    <cfRule type="expression" dxfId="2451" priority="139">
      <formula>AND($H44 &gt; 0, ISNUMBER($H44))</formula>
    </cfRule>
    <cfRule type="expression" dxfId="2450" priority="140">
      <formula>AND($H44 = 0 * ISNUMBER($H44))</formula>
    </cfRule>
    <cfRule type="expression" dxfId="2449" priority="141">
      <formula>AND($H44 &lt; 0, ISNUMBER($H44))</formula>
    </cfRule>
  </conditionalFormatting>
  <conditionalFormatting sqref="A44:C63 J44:L63">
    <cfRule type="expression" dxfId="2448" priority="136">
      <formula>AND($K44 &gt; 0, ISNUMBER($K44))</formula>
    </cfRule>
    <cfRule type="expression" dxfId="2447" priority="137">
      <formula>AND($K44 = 0 * ISNUMBER($K44))</formula>
    </cfRule>
    <cfRule type="expression" dxfId="2446" priority="138">
      <formula>AND($K44 &lt; 0, ISNUMBER($K44))</formula>
    </cfRule>
  </conditionalFormatting>
  <conditionalFormatting sqref="D42:F43 E64:F64">
    <cfRule type="expression" dxfId="2445" priority="130">
      <formula>$E$64 &gt; 0</formula>
    </cfRule>
    <cfRule type="expression" dxfId="2444" priority="131">
      <formula>$E$64 = 0</formula>
    </cfRule>
    <cfRule type="expression" dxfId="2443" priority="132">
      <formula>$E$64 &lt; 0</formula>
    </cfRule>
  </conditionalFormatting>
  <conditionalFormatting sqref="G42:I43 H64:I64">
    <cfRule type="expression" dxfId="2442" priority="127">
      <formula>$H$64 &gt; 0</formula>
    </cfRule>
    <cfRule type="expression" dxfId="2441" priority="128">
      <formula>$H$64 = 0</formula>
    </cfRule>
    <cfRule type="expression" dxfId="2440" priority="129">
      <formula>$H$64 &lt; 0</formula>
    </cfRule>
  </conditionalFormatting>
  <conditionalFormatting sqref="J42:L43 K64:L64">
    <cfRule type="expression" dxfId="2439" priority="124">
      <formula>$K$64 &gt; 0</formula>
    </cfRule>
    <cfRule type="expression" dxfId="2438" priority="125">
      <formula>$K$64 = 0</formula>
    </cfRule>
    <cfRule type="expression" dxfId="2437" priority="126">
      <formula>$K$64 &lt; 0</formula>
    </cfRule>
  </conditionalFormatting>
  <conditionalFormatting sqref="M42:O43 N64:O64">
    <cfRule type="expression" dxfId="2436" priority="121">
      <formula>$N$64 &gt; 0</formula>
    </cfRule>
    <cfRule type="expression" dxfId="2435" priority="122">
      <formula>$N$64 = 0</formula>
    </cfRule>
    <cfRule type="expression" dxfId="2434" priority="123">
      <formula>$N$64 &lt; 0</formula>
    </cfRule>
  </conditionalFormatting>
  <conditionalFormatting sqref="A71:C90 M71:O90">
    <cfRule type="expression" dxfId="2433" priority="109">
      <formula>AND($N71 &gt; 0, ISNUMBER($N71))</formula>
    </cfRule>
    <cfRule type="expression" dxfId="2432" priority="110">
      <formula>AND($N71 = 0 * ISNUMBER($N71))</formula>
    </cfRule>
    <cfRule type="expression" dxfId="2431" priority="111">
      <formula>AND($N71 &lt; 0, ISNUMBER($N71))</formula>
    </cfRule>
  </conditionalFormatting>
  <conditionalFormatting sqref="A71:F90">
    <cfRule type="expression" dxfId="2430" priority="118">
      <formula>AND($E71 &gt; 0, ISNUMBER($E71))</formula>
    </cfRule>
    <cfRule type="expression" dxfId="2429" priority="119">
      <formula>AND($E71 = 0 * ISNUMBER($E71))</formula>
    </cfRule>
    <cfRule type="expression" dxfId="2428" priority="120">
      <formula>AND($E71 &lt; 0, ISNUMBER($E71))</formula>
    </cfRule>
  </conditionalFormatting>
  <conditionalFormatting sqref="A71:C90 G71:I90">
    <cfRule type="expression" dxfId="2427" priority="115">
      <formula>AND($H71 &gt; 0, ISNUMBER($H71))</formula>
    </cfRule>
    <cfRule type="expression" dxfId="2426" priority="116">
      <formula>AND($H71 = 0 * ISNUMBER($H71))</formula>
    </cfRule>
    <cfRule type="expression" dxfId="2425" priority="117">
      <formula>AND($H71 &lt; 0, ISNUMBER($H71))</formula>
    </cfRule>
  </conditionalFormatting>
  <conditionalFormatting sqref="A71:C90 J71:L90">
    <cfRule type="expression" dxfId="2424" priority="112">
      <formula>AND($K71 &gt; 0, ISNUMBER($K71))</formula>
    </cfRule>
    <cfRule type="expression" dxfId="2423" priority="113">
      <formula>AND($K71 = 0 * ISNUMBER($K71))</formula>
    </cfRule>
    <cfRule type="expression" dxfId="2422" priority="114">
      <formula>AND($K71 &lt; 0, ISNUMBER($K71))</formula>
    </cfRule>
  </conditionalFormatting>
  <conditionalFormatting sqref="D69:F70 E91:F91">
    <cfRule type="expression" dxfId="2421" priority="106">
      <formula>$E$91 &gt; 0</formula>
    </cfRule>
    <cfRule type="expression" dxfId="2420" priority="107">
      <formula>$E$91 = 0</formula>
    </cfRule>
    <cfRule type="expression" dxfId="2419" priority="108">
      <formula>$E$91 &lt; 0</formula>
    </cfRule>
  </conditionalFormatting>
  <conditionalFormatting sqref="G69:I70 H91:I91">
    <cfRule type="expression" dxfId="2418" priority="103">
      <formula>$H$91 &gt; 0</formula>
    </cfRule>
    <cfRule type="expression" dxfId="2417" priority="104">
      <formula>$H$91 = 0</formula>
    </cfRule>
    <cfRule type="expression" dxfId="2416" priority="105">
      <formula>$H$91 &lt; 0</formula>
    </cfRule>
  </conditionalFormatting>
  <conditionalFormatting sqref="J69:L70 K91:L91">
    <cfRule type="expression" dxfId="2415" priority="100">
      <formula>$K$91 &gt; 0</formula>
    </cfRule>
    <cfRule type="expression" dxfId="2414" priority="101">
      <formula>$K$91 = 0</formula>
    </cfRule>
    <cfRule type="expression" dxfId="2413" priority="102">
      <formula>$K$91 &lt; 0</formula>
    </cfRule>
  </conditionalFormatting>
  <conditionalFormatting sqref="M69:O70 N91:O91">
    <cfRule type="expression" dxfId="2412" priority="97">
      <formula>$N$91 &gt; 0</formula>
    </cfRule>
    <cfRule type="expression" dxfId="2411" priority="98">
      <formula>$N$91 = 0</formula>
    </cfRule>
    <cfRule type="expression" dxfId="2410" priority="99">
      <formula>$N$91 &lt; 0</formula>
    </cfRule>
  </conditionalFormatting>
  <conditionalFormatting sqref="A98:C117 M98:O117">
    <cfRule type="expression" dxfId="2409" priority="85">
      <formula>AND($N98 &gt; 0, ISNUMBER($N98))</formula>
    </cfRule>
    <cfRule type="expression" dxfId="2408" priority="86">
      <formula>AND($N98 = 0 * ISNUMBER($N98))</formula>
    </cfRule>
    <cfRule type="expression" dxfId="2407" priority="87">
      <formula>AND($N98 &lt; 0, ISNUMBER($N98))</formula>
    </cfRule>
  </conditionalFormatting>
  <conditionalFormatting sqref="A98:F117">
    <cfRule type="expression" dxfId="2406" priority="94">
      <formula>AND($E98 &gt; 0, ISNUMBER($E98))</formula>
    </cfRule>
    <cfRule type="expression" dxfId="2405" priority="95">
      <formula>AND($E98 = 0 * ISNUMBER($E98))</formula>
    </cfRule>
    <cfRule type="expression" dxfId="2404" priority="96">
      <formula>AND($E98 &lt; 0, ISNUMBER($E98))</formula>
    </cfRule>
  </conditionalFormatting>
  <conditionalFormatting sqref="A98:C117 G98:I117">
    <cfRule type="expression" dxfId="2403" priority="91">
      <formula>AND($H98 &gt; 0, ISNUMBER($H98))</formula>
    </cfRule>
    <cfRule type="expression" dxfId="2402" priority="92">
      <formula>AND($H98 = 0 * ISNUMBER($H98))</formula>
    </cfRule>
    <cfRule type="expression" dxfId="2401" priority="93">
      <formula>AND($H98 &lt; 0, ISNUMBER($H98))</formula>
    </cfRule>
  </conditionalFormatting>
  <conditionalFormatting sqref="A98:C117 J98:L117">
    <cfRule type="expression" dxfId="2400" priority="88">
      <formula>AND($K98 &gt; 0, ISNUMBER($K98))</formula>
    </cfRule>
    <cfRule type="expression" dxfId="2399" priority="89">
      <formula>AND($K98 = 0 * ISNUMBER($K98))</formula>
    </cfRule>
    <cfRule type="expression" dxfId="2398" priority="90">
      <formula>AND($K98 &lt; 0, ISNUMBER($K98))</formula>
    </cfRule>
  </conditionalFormatting>
  <conditionalFormatting sqref="D96:F97 E118:F118">
    <cfRule type="expression" dxfId="2397" priority="82">
      <formula>$E$118 &gt; 0</formula>
    </cfRule>
    <cfRule type="expression" dxfId="2396" priority="83">
      <formula>$E$118 = 0</formula>
    </cfRule>
    <cfRule type="expression" dxfId="2395" priority="84">
      <formula>$E$118 &lt; 0</formula>
    </cfRule>
  </conditionalFormatting>
  <conditionalFormatting sqref="G96:I97 H118:I118">
    <cfRule type="expression" dxfId="2394" priority="79">
      <formula>$H$118 &gt; 0</formula>
    </cfRule>
    <cfRule type="expression" dxfId="2393" priority="80">
      <formula>$H$118 = 0</formula>
    </cfRule>
    <cfRule type="expression" dxfId="2392" priority="81">
      <formula>$H$118 &lt; 0</formula>
    </cfRule>
  </conditionalFormatting>
  <conditionalFormatting sqref="J96:L97 K118:L118">
    <cfRule type="expression" dxfId="2391" priority="76">
      <formula>$K$118 &gt; 0</formula>
    </cfRule>
    <cfRule type="expression" dxfId="2390" priority="77">
      <formula>$K$118 = 0</formula>
    </cfRule>
    <cfRule type="expression" dxfId="2389" priority="78">
      <formula>$K$118 &lt; 0</formula>
    </cfRule>
  </conditionalFormatting>
  <conditionalFormatting sqref="M96:O97 N118:O118">
    <cfRule type="expression" dxfId="2388" priority="73">
      <formula>$N$118 &gt; 0</formula>
    </cfRule>
    <cfRule type="expression" dxfId="2387" priority="74">
      <formula>$N$118 = 0</formula>
    </cfRule>
    <cfRule type="expression" dxfId="2386" priority="75">
      <formula>$N$118 &lt; 0</formula>
    </cfRule>
  </conditionalFormatting>
  <conditionalFormatting sqref="A125:C144 M125:O144">
    <cfRule type="expression" dxfId="2385" priority="61">
      <formula>AND($N125 &gt; 0, ISNUMBER($N125))</formula>
    </cfRule>
    <cfRule type="expression" dxfId="2384" priority="62">
      <formula>AND($N125 = 0 * ISNUMBER($N125))</formula>
    </cfRule>
    <cfRule type="expression" dxfId="2383" priority="63">
      <formula>AND($N125 &lt; 0, ISNUMBER($N125))</formula>
    </cfRule>
  </conditionalFormatting>
  <conditionalFormatting sqref="A125:F144">
    <cfRule type="expression" dxfId="2382" priority="70">
      <formula>AND($E125 &gt; 0, ISNUMBER($E125))</formula>
    </cfRule>
    <cfRule type="expression" dxfId="2381" priority="71">
      <formula>AND($E125 = 0 * ISNUMBER($E125))</formula>
    </cfRule>
    <cfRule type="expression" dxfId="2380" priority="72">
      <formula>AND($E125 &lt; 0, ISNUMBER($E125))</formula>
    </cfRule>
  </conditionalFormatting>
  <conditionalFormatting sqref="A125:C144 G125:I144">
    <cfRule type="expression" dxfId="2379" priority="67">
      <formula>AND($H125 &gt; 0, ISNUMBER($H125))</formula>
    </cfRule>
    <cfRule type="expression" dxfId="2378" priority="68">
      <formula>AND($H125 = 0 * ISNUMBER($H125))</formula>
    </cfRule>
    <cfRule type="expression" dxfId="2377" priority="69">
      <formula>AND($H125 &lt; 0, ISNUMBER($H125))</formula>
    </cfRule>
  </conditionalFormatting>
  <conditionalFormatting sqref="A125:C144 J125:L144">
    <cfRule type="expression" dxfId="2376" priority="64">
      <formula>AND($K125 &gt; 0, ISNUMBER($K125))</formula>
    </cfRule>
    <cfRule type="expression" dxfId="2375" priority="65">
      <formula>AND($K125 = 0 * ISNUMBER($K125))</formula>
    </cfRule>
    <cfRule type="expression" dxfId="2374" priority="66">
      <formula>AND($K125 &lt; 0, ISNUMBER($K125))</formula>
    </cfRule>
  </conditionalFormatting>
  <conditionalFormatting sqref="D123:F124 E145:F145">
    <cfRule type="expression" dxfId="2373" priority="58">
      <formula>$E$145 &gt; 0</formula>
    </cfRule>
    <cfRule type="expression" dxfId="2372" priority="59">
      <formula>$E$145 = 0</formula>
    </cfRule>
    <cfRule type="expression" dxfId="2371" priority="60">
      <formula>$E$145 &lt; 0</formula>
    </cfRule>
  </conditionalFormatting>
  <conditionalFormatting sqref="G123:I124 H145:I145">
    <cfRule type="expression" dxfId="2370" priority="55">
      <formula>$H$145 &gt; 0</formula>
    </cfRule>
    <cfRule type="expression" dxfId="2369" priority="56">
      <formula>$H$145 = 0</formula>
    </cfRule>
    <cfRule type="expression" dxfId="2368" priority="57">
      <formula>$H$145 &lt; 0</formula>
    </cfRule>
  </conditionalFormatting>
  <conditionalFormatting sqref="J123:L124 K145:L145">
    <cfRule type="expression" dxfId="2367" priority="52">
      <formula>$K$145 &gt; 0</formula>
    </cfRule>
    <cfRule type="expression" dxfId="2366" priority="53">
      <formula>$K$145 = 0</formula>
    </cfRule>
    <cfRule type="expression" dxfId="2365" priority="54">
      <formula>$K$145 &lt; 0</formula>
    </cfRule>
  </conditionalFormatting>
  <conditionalFormatting sqref="M123:O124 N145:O145">
    <cfRule type="expression" dxfId="2364" priority="49">
      <formula>$N$145 &gt; 0</formula>
    </cfRule>
    <cfRule type="expression" dxfId="2363" priority="50">
      <formula>$N$145 = 0</formula>
    </cfRule>
    <cfRule type="expression" dxfId="2362" priority="51">
      <formula>$N$145 &lt; 0</formula>
    </cfRule>
  </conditionalFormatting>
  <conditionalFormatting sqref="A152:C171 M152:O171">
    <cfRule type="expression" dxfId="2361" priority="37">
      <formula>AND($N152 &gt; 0, ISNUMBER($N152))</formula>
    </cfRule>
    <cfRule type="expression" dxfId="2360" priority="38">
      <formula>AND($N152 = 0 * ISNUMBER($N152))</formula>
    </cfRule>
    <cfRule type="expression" dxfId="2359" priority="39">
      <formula>AND($N152 &lt; 0, ISNUMBER($N152))</formula>
    </cfRule>
  </conditionalFormatting>
  <conditionalFormatting sqref="A152:F171">
    <cfRule type="expression" dxfId="2358" priority="46">
      <formula>AND($E152 &gt; 0, ISNUMBER($E152))</formula>
    </cfRule>
    <cfRule type="expression" dxfId="2357" priority="47">
      <formula>AND($E152 = 0 * ISNUMBER($E152))</formula>
    </cfRule>
    <cfRule type="expression" dxfId="2356" priority="48">
      <formula>AND($E152 &lt; 0, ISNUMBER($E152))</formula>
    </cfRule>
  </conditionalFormatting>
  <conditionalFormatting sqref="A152:C171 G152:I171">
    <cfRule type="expression" dxfId="2355" priority="43">
      <formula>AND($H152 &gt; 0, ISNUMBER($H152))</formula>
    </cfRule>
    <cfRule type="expression" dxfId="2354" priority="44">
      <formula>AND($H152 = 0 * ISNUMBER($H152))</formula>
    </cfRule>
    <cfRule type="expression" dxfId="2353" priority="45">
      <formula>AND($H152 &lt; 0, ISNUMBER($H152))</formula>
    </cfRule>
  </conditionalFormatting>
  <conditionalFormatting sqref="A152:C171 J152:L171">
    <cfRule type="expression" dxfId="2352" priority="40">
      <formula>AND($K152 &gt; 0, ISNUMBER($K152))</formula>
    </cfRule>
    <cfRule type="expression" dxfId="2351" priority="41">
      <formula>AND($K152 = 0 * ISNUMBER($K152))</formula>
    </cfRule>
    <cfRule type="expression" dxfId="2350" priority="42">
      <formula>AND($K152 &lt; 0, ISNUMBER($K152))</formula>
    </cfRule>
  </conditionalFormatting>
  <conditionalFormatting sqref="D150:F151 E172:F172">
    <cfRule type="expression" dxfId="2349" priority="34">
      <formula>$E$172 &gt; 0</formula>
    </cfRule>
    <cfRule type="expression" dxfId="2348" priority="35">
      <formula>$E$172 = 0</formula>
    </cfRule>
    <cfRule type="expression" dxfId="2347" priority="36">
      <formula>$E$172 &lt; 0</formula>
    </cfRule>
  </conditionalFormatting>
  <conditionalFormatting sqref="G150:I151 H172:I172">
    <cfRule type="expression" dxfId="2346" priority="31">
      <formula>$H$172 &gt; 0</formula>
    </cfRule>
    <cfRule type="expression" dxfId="2345" priority="32">
      <formula>$H$172 = 0</formula>
    </cfRule>
    <cfRule type="expression" dxfId="2344" priority="33">
      <formula>$H$172 &lt; 0</formula>
    </cfRule>
  </conditionalFormatting>
  <conditionalFormatting sqref="J150:L151 K172:L172">
    <cfRule type="expression" dxfId="2343" priority="28">
      <formula>$K$172 &gt; 0</formula>
    </cfRule>
    <cfRule type="expression" dxfId="2342" priority="29">
      <formula>$K$172 = 0</formula>
    </cfRule>
    <cfRule type="expression" dxfId="2341" priority="30">
      <formula>$K$172 &lt; 0</formula>
    </cfRule>
  </conditionalFormatting>
  <conditionalFormatting sqref="M150:O151 N172:O172">
    <cfRule type="expression" dxfId="2340" priority="25">
      <formula>$N$172 &gt; 0</formula>
    </cfRule>
    <cfRule type="expression" dxfId="2339" priority="26">
      <formula>$N$172 = 0</formula>
    </cfRule>
    <cfRule type="expression" dxfId="2338" priority="27">
      <formula>$N$172 &lt; 0</formula>
    </cfRule>
  </conditionalFormatting>
  <conditionalFormatting sqref="A179:C198 M179:O198">
    <cfRule type="expression" dxfId="2337" priority="13">
      <formula>AND($N179 &gt; 0, ISNUMBER($N179))</formula>
    </cfRule>
    <cfRule type="expression" dxfId="2336" priority="14">
      <formula>AND($N179 = 0 * ISNUMBER($N179))</formula>
    </cfRule>
    <cfRule type="expression" dxfId="2335" priority="15">
      <formula>AND($N179 &lt; 0, ISNUMBER($N179))</formula>
    </cfRule>
  </conditionalFormatting>
  <conditionalFormatting sqref="A179:F198">
    <cfRule type="expression" dxfId="2334" priority="22">
      <formula>AND($E179 &gt; 0, ISNUMBER($E179))</formula>
    </cfRule>
    <cfRule type="expression" dxfId="2333" priority="23">
      <formula>AND($E179 = 0 * ISNUMBER($E179))</formula>
    </cfRule>
    <cfRule type="expression" dxfId="2332" priority="24">
      <formula>AND($E179 &lt; 0, ISNUMBER($E179))</formula>
    </cfRule>
  </conditionalFormatting>
  <conditionalFormatting sqref="A179:C198 G179:I198">
    <cfRule type="expression" dxfId="2331" priority="19">
      <formula>AND($H179 &gt; 0, ISNUMBER($H179))</formula>
    </cfRule>
    <cfRule type="expression" dxfId="2330" priority="20">
      <formula>AND($H179 = 0 * ISNUMBER($H179))</formula>
    </cfRule>
    <cfRule type="expression" dxfId="2329" priority="21">
      <formula>AND($H179 &lt; 0, ISNUMBER($H179))</formula>
    </cfRule>
  </conditionalFormatting>
  <conditionalFormatting sqref="A179:C198 J179:L198">
    <cfRule type="expression" dxfId="2328" priority="16">
      <formula>AND($K179 &gt; 0, ISNUMBER($K179))</formula>
    </cfRule>
    <cfRule type="expression" dxfId="2327" priority="17">
      <formula>AND($K179 = 0 * ISNUMBER($K179))</formula>
    </cfRule>
    <cfRule type="expression" dxfId="2326" priority="18">
      <formula>AND($K179 &lt; 0, ISNUMBER($K179))</formula>
    </cfRule>
  </conditionalFormatting>
  <conditionalFormatting sqref="D177:F178 E199:F199">
    <cfRule type="expression" dxfId="2325" priority="10">
      <formula>$E$199 &gt; 0</formula>
    </cfRule>
    <cfRule type="expression" dxfId="2324" priority="11">
      <formula>$E$199 = 0</formula>
    </cfRule>
    <cfRule type="expression" dxfId="2323" priority="12">
      <formula>$E$199 &lt; 0</formula>
    </cfRule>
  </conditionalFormatting>
  <conditionalFormatting sqref="G177:I178 H199:I199">
    <cfRule type="expression" dxfId="2322" priority="7">
      <formula>$H$199 &gt; 0</formula>
    </cfRule>
    <cfRule type="expression" dxfId="2321" priority="8">
      <formula>$H$199 = 0</formula>
    </cfRule>
    <cfRule type="expression" dxfId="2320" priority="9">
      <formula>$H$199 &lt; 0</formula>
    </cfRule>
  </conditionalFormatting>
  <conditionalFormatting sqref="J177:L178 K199:L199">
    <cfRule type="expression" dxfId="2319" priority="4">
      <formula>$K$199 &gt; 0</formula>
    </cfRule>
    <cfRule type="expression" dxfId="2318" priority="5">
      <formula>$K$199 = 0</formula>
    </cfRule>
    <cfRule type="expression" dxfId="2317" priority="6">
      <formula>$K$199 &lt; 0</formula>
    </cfRule>
  </conditionalFormatting>
  <conditionalFormatting sqref="M177:O178 N199:O199">
    <cfRule type="expression" dxfId="2316" priority="1">
      <formula>$N$199 &gt; 0</formula>
    </cfRule>
    <cfRule type="expression" dxfId="2315" priority="2">
      <formula>$N$199 = 0</formula>
    </cfRule>
    <cfRule type="expression" dxfId="23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00246-D301-4458-8968-509B8A834BEE}">
  <sheetPr codeName="Sheet10"/>
  <dimension ref="A1:S199"/>
  <sheetViews>
    <sheetView topLeftCell="A3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6" t="s">
        <v>0</v>
      </c>
      <c r="B1" s="247"/>
      <c r="C1" s="247"/>
      <c r="D1" s="247"/>
      <c r="E1" s="247"/>
      <c r="F1" s="248"/>
      <c r="G1" s="277">
        <v>44351</v>
      </c>
      <c r="H1" s="278"/>
      <c r="I1" s="279"/>
      <c r="J1" s="246" t="s">
        <v>1</v>
      </c>
      <c r="K1" s="247"/>
      <c r="L1" s="247"/>
      <c r="M1" s="247"/>
      <c r="N1" s="247"/>
      <c r="O1" s="248"/>
      <c r="Q1" s="246" t="s">
        <v>2</v>
      </c>
      <c r="R1" s="248"/>
    </row>
    <row r="2" spans="1:19" ht="17.25" customHeight="1">
      <c r="A2" s="117" t="s">
        <v>3</v>
      </c>
      <c r="B2" s="280" t="s">
        <v>8</v>
      </c>
      <c r="C2" s="281"/>
      <c r="D2" s="281"/>
      <c r="E2" s="281"/>
      <c r="F2" s="282"/>
      <c r="G2" s="274" t="s">
        <v>46</v>
      </c>
      <c r="H2" s="275"/>
      <c r="I2" s="276"/>
      <c r="J2" s="1" t="s">
        <v>3</v>
      </c>
      <c r="K2" s="280" t="s">
        <v>350</v>
      </c>
      <c r="L2" s="281"/>
      <c r="M2" s="281"/>
      <c r="N2" s="281"/>
      <c r="O2" s="282"/>
      <c r="Q2" s="2" t="s">
        <v>6</v>
      </c>
      <c r="R2" s="3">
        <v>0.375</v>
      </c>
    </row>
    <row r="3" spans="1:19" ht="17.25" customHeight="1" thickBot="1">
      <c r="A3" s="118" t="s">
        <v>7</v>
      </c>
      <c r="B3" s="271" t="s">
        <v>358</v>
      </c>
      <c r="C3" s="272"/>
      <c r="D3" s="272"/>
      <c r="E3" s="272"/>
      <c r="F3" s="273"/>
      <c r="G3" s="26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-102,426 KRW (-5.12%)</v>
      </c>
      <c r="H3" s="268"/>
      <c r="I3" s="269"/>
      <c r="J3" s="4" t="s">
        <v>7</v>
      </c>
      <c r="K3" s="271" t="s">
        <v>351</v>
      </c>
      <c r="L3" s="272"/>
      <c r="M3" s="272"/>
      <c r="N3" s="272"/>
      <c r="O3" s="27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1" t="s">
        <v>16</v>
      </c>
      <c r="C4" s="272"/>
      <c r="D4" s="272"/>
      <c r="E4" s="272"/>
      <c r="F4" s="273"/>
      <c r="G4" s="274" t="s">
        <v>44</v>
      </c>
      <c r="H4" s="275"/>
      <c r="I4" s="276"/>
      <c r="J4" s="4" t="s">
        <v>11</v>
      </c>
      <c r="K4" s="271" t="s">
        <v>352</v>
      </c>
      <c r="L4" s="272"/>
      <c r="M4" s="272"/>
      <c r="N4" s="272"/>
      <c r="O4" s="27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1" t="s">
        <v>349</v>
      </c>
      <c r="C5" s="272"/>
      <c r="D5" s="272"/>
      <c r="E5" s="272"/>
      <c r="F5" s="273"/>
      <c r="G5" s="26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-63,594 KRW (-3.18%)</v>
      </c>
      <c r="H5" s="268"/>
      <c r="I5" s="269"/>
      <c r="J5" s="4" t="s">
        <v>15</v>
      </c>
      <c r="K5" s="271" t="s">
        <v>353</v>
      </c>
      <c r="L5" s="272"/>
      <c r="M5" s="272"/>
      <c r="N5" s="272"/>
      <c r="O5" s="273"/>
    </row>
    <row r="6" spans="1:19">
      <c r="A6" s="118" t="s">
        <v>18</v>
      </c>
      <c r="B6" s="271"/>
      <c r="C6" s="272"/>
      <c r="D6" s="272"/>
      <c r="E6" s="272"/>
      <c r="F6" s="273"/>
      <c r="G6" s="274" t="s">
        <v>45</v>
      </c>
      <c r="H6" s="275"/>
      <c r="I6" s="276"/>
      <c r="J6" s="4" t="s">
        <v>18</v>
      </c>
      <c r="K6" s="271" t="s">
        <v>354</v>
      </c>
      <c r="L6" s="272"/>
      <c r="M6" s="272"/>
      <c r="N6" s="272"/>
      <c r="O6" s="273"/>
    </row>
    <row r="7" spans="1:19" ht="17.25" thickBot="1">
      <c r="A7" s="118" t="s">
        <v>21</v>
      </c>
      <c r="B7" s="271"/>
      <c r="C7" s="272"/>
      <c r="D7" s="272"/>
      <c r="E7" s="272"/>
      <c r="F7" s="273"/>
      <c r="G7" s="26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-79,213 KRW (-3.96%)</v>
      </c>
      <c r="H7" s="268"/>
      <c r="I7" s="269"/>
      <c r="J7" s="4" t="s">
        <v>21</v>
      </c>
      <c r="K7" s="271" t="s">
        <v>355</v>
      </c>
      <c r="L7" s="272"/>
      <c r="M7" s="272"/>
      <c r="N7" s="272"/>
      <c r="O7" s="273"/>
    </row>
    <row r="8" spans="1:19" ht="17.25" thickBot="1">
      <c r="A8" s="118" t="s">
        <v>24</v>
      </c>
      <c r="B8" s="271"/>
      <c r="C8" s="272"/>
      <c r="D8" s="272"/>
      <c r="E8" s="272"/>
      <c r="F8" s="273"/>
      <c r="G8" s="274" t="s">
        <v>285</v>
      </c>
      <c r="H8" s="275"/>
      <c r="I8" s="276"/>
      <c r="J8" s="4" t="s">
        <v>24</v>
      </c>
      <c r="K8" s="271"/>
      <c r="L8" s="272"/>
      <c r="M8" s="272"/>
      <c r="N8" s="272"/>
      <c r="O8" s="273"/>
      <c r="Q8" s="246" t="s">
        <v>27</v>
      </c>
      <c r="R8" s="248"/>
    </row>
    <row r="9" spans="1:19" ht="17.25" thickBot="1">
      <c r="A9" s="118" t="s">
        <v>28</v>
      </c>
      <c r="B9" s="271"/>
      <c r="C9" s="272"/>
      <c r="D9" s="272"/>
      <c r="E9" s="272"/>
      <c r="F9" s="273"/>
      <c r="G9" s="26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-87,659 KRW (-4.38%)</v>
      </c>
      <c r="H9" s="268"/>
      <c r="I9" s="269"/>
      <c r="J9" s="4" t="s">
        <v>28</v>
      </c>
      <c r="K9" s="271"/>
      <c r="L9" s="272"/>
      <c r="M9" s="272"/>
      <c r="N9" s="272"/>
      <c r="O9" s="273"/>
      <c r="Q9" s="2" t="s">
        <v>29</v>
      </c>
      <c r="R9" s="6">
        <v>10</v>
      </c>
    </row>
    <row r="10" spans="1:19">
      <c r="A10" s="118" t="s">
        <v>30</v>
      </c>
      <c r="B10" s="271"/>
      <c r="C10" s="272"/>
      <c r="D10" s="272"/>
      <c r="E10" s="272"/>
      <c r="F10" s="273"/>
      <c r="G10" s="274" t="s">
        <v>47</v>
      </c>
      <c r="H10" s="275"/>
      <c r="I10" s="276"/>
      <c r="J10" s="4" t="s">
        <v>30</v>
      </c>
      <c r="K10" s="271" t="s">
        <v>356</v>
      </c>
      <c r="L10" s="272"/>
      <c r="M10" s="272"/>
      <c r="N10" s="272"/>
      <c r="O10" s="273"/>
      <c r="Q10" s="2" t="s">
        <v>31</v>
      </c>
      <c r="R10" s="6">
        <v>100</v>
      </c>
    </row>
    <row r="11" spans="1:19" ht="17.25" thickBot="1">
      <c r="A11" s="119" t="s">
        <v>32</v>
      </c>
      <c r="B11" s="264" t="s">
        <v>357</v>
      </c>
      <c r="C11" s="265"/>
      <c r="D11" s="265"/>
      <c r="E11" s="265"/>
      <c r="F11" s="266"/>
      <c r="G11" s="26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-14,284 KRW (-2.86%)</v>
      </c>
      <c r="H11" s="268"/>
      <c r="I11" s="269"/>
      <c r="J11" s="7" t="s">
        <v>32</v>
      </c>
      <c r="K11" s="264" t="s">
        <v>348</v>
      </c>
      <c r="L11" s="265"/>
      <c r="M11" s="265"/>
      <c r="N11" s="265"/>
      <c r="O11" s="266"/>
      <c r="Q11" s="65" t="s">
        <v>33</v>
      </c>
      <c r="R11" s="8">
        <v>1000</v>
      </c>
    </row>
    <row r="12" spans="1:19" ht="17.25" thickBot="1"/>
    <row r="13" spans="1:19" ht="17.25" customHeight="1" thickBot="1">
      <c r="A13" s="246" t="s">
        <v>34</v>
      </c>
      <c r="B13" s="247"/>
      <c r="C13" s="247"/>
      <c r="D13" s="247"/>
      <c r="E13" s="247"/>
      <c r="F13" s="247"/>
      <c r="G13" s="247"/>
      <c r="H13" s="247"/>
      <c r="I13" s="247"/>
      <c r="J13" s="247"/>
      <c r="K13" s="247"/>
      <c r="L13" s="247"/>
      <c r="M13" s="247"/>
      <c r="N13" s="247"/>
      <c r="O13" s="248"/>
      <c r="Q13" s="245"/>
      <c r="R13" s="245"/>
      <c r="S13" s="245"/>
    </row>
    <row r="14" spans="1:19" ht="17.25" customHeight="1" thickBot="1">
      <c r="A14" s="172" t="s">
        <v>35</v>
      </c>
      <c r="B14" s="246" t="s">
        <v>36</v>
      </c>
      <c r="C14" s="248"/>
      <c r="D14" s="246" t="s">
        <v>37</v>
      </c>
      <c r="E14" s="247"/>
      <c r="F14" s="248"/>
      <c r="G14" s="249">
        <f>_xlfn.IFNA(VLOOKUP(B14, 현재가테이블!$B$2:$D$200, 2, FALSE), "-")</f>
        <v>45335000</v>
      </c>
      <c r="H14" s="250"/>
      <c r="I14" s="251"/>
      <c r="J14" s="246" t="s">
        <v>38</v>
      </c>
      <c r="K14" s="247"/>
      <c r="L14" s="248"/>
      <c r="M14" s="252">
        <f>_xlfn.IFNA(VLOOKUP(B14, 현재가테이블!$B$2:$D$200, 3, FALSE), "-")</f>
        <v>-2.27209037E-2</v>
      </c>
      <c r="N14" s="253"/>
      <c r="O14" s="254"/>
      <c r="Q14" s="245"/>
      <c r="R14" s="245"/>
      <c r="S14" s="245"/>
    </row>
    <row r="15" spans="1:19" ht="17.25" customHeight="1" thickBot="1">
      <c r="A15" s="283" t="s">
        <v>39</v>
      </c>
      <c r="B15" s="284" t="str">
        <f>TEXT($G$1, "[$-ko-KR]yyyy-mm-dd(ddd) ") &amp; "오전 00:00"</f>
        <v>2021-06-04(금) 오전 00:00</v>
      </c>
      <c r="C15" s="285"/>
      <c r="D15" s="259" t="str">
        <f>TEXT($G$1, "[$-ko-KR]yyyy-mm-dd(ddd) ") &amp; "오후 14:00"</f>
        <v>2021-06-04(금) 오후 14:00</v>
      </c>
      <c r="E15" s="260"/>
      <c r="F15" s="261"/>
      <c r="G15" s="259" t="str">
        <f>TEXT($G$1, "[$-ko-KR]yyyy-mm-dd(ddd) ") &amp; "오후 19:00"</f>
        <v>2021-06-04(금) 오후 19:00</v>
      </c>
      <c r="H15" s="260"/>
      <c r="I15" s="261"/>
      <c r="J15" s="259" t="str">
        <f>TEXT($G$1, "[$-ko-KR]yyyy-mm-dd(ddd) ") &amp; "오후 21:00"</f>
        <v>2021-06-04(금) 오후 21:00</v>
      </c>
      <c r="K15" s="260"/>
      <c r="L15" s="261"/>
      <c r="M15" s="259" t="str">
        <f>TEXT($G$1+1, "[$-ko-KR]yyyy-mm-dd(ddd) ") &amp; "오전 00:00"</f>
        <v>2021-06-05(토) 오전 00:00</v>
      </c>
      <c r="N15" s="260"/>
      <c r="O15" s="261"/>
      <c r="Q15" s="245"/>
      <c r="R15" s="245"/>
      <c r="S15" s="245"/>
    </row>
    <row r="16" spans="1:19" ht="17.25" customHeight="1" thickBot="1">
      <c r="A16" s="28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3" t="s">
        <v>37</v>
      </c>
      <c r="H16" s="174" t="s">
        <v>40</v>
      </c>
      <c r="I16" s="17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5"/>
      <c r="R16" s="235"/>
      <c r="S16" s="235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97.6</v>
      </c>
      <c r="C17" s="76">
        <f>IF(NOT(ISBLANK(_xlfn.IFNA(VLOOKUP($A17, $A$40:$O$199, 3, FALSE), ))), _xlfn.IFNA(VLOOKUP($A17, $A$40:$O$199, 3, FALSE), ), "")</f>
        <v>1.7726798700000001E-2</v>
      </c>
      <c r="D17" s="13">
        <f>IF(NOT(ISBLANK(_xlfn.IFNA(VLOOKUP($A17, $A$40:$O$199, 4, FALSE), ))), _xlfn.IFNA(VLOOKUP($A17, $A$40:$O$199, 4, FALSE), ), "")</f>
        <v>97</v>
      </c>
      <c r="E17" s="14">
        <f>IF(NOT(ISBLANK(_xlfn.IFNA(VLOOKUP($A17, $A$40:$O$199, 5, FALSE), ))), _xlfn.IFNA(VLOOKUP($A17, $A$40:$O$199, 5, FALSE), ), "")</f>
        <v>-6.1475409836064992E-3</v>
      </c>
      <c r="F17" s="16">
        <f>IF(NOT(ISBLANK(_xlfn.IFNA(VLOOKUP($A17, $A$40:$O$199, 6, FALSE), ))), _xlfn.IFNA(VLOOKUP($A17, $A$40:$O$199, 6, FALSE), ), "")</f>
        <v>-614.75409836064989</v>
      </c>
      <c r="G17" s="29">
        <f>IF(NOT(ISBLANK(_xlfn.IFNA(VLOOKUP($A17, $A$40:$O$199, 7, FALSE), ))), _xlfn.IFNA(VLOOKUP($A17, $A$40:$O$199, 7, FALSE), ), "")</f>
        <v>93.5</v>
      </c>
      <c r="H17" s="14">
        <f>IF(NOT(ISBLANK(_xlfn.IFNA(VLOOKUP($A17, $A$40:$O$199, 8, FALSE), ))), _xlfn.IFNA(VLOOKUP($A17, $A$40:$O$199, 8, FALSE), ), "")</f>
        <v>-4.2008196721311418E-2</v>
      </c>
      <c r="I17" s="100">
        <f>IF(NOT(ISBLANK(_xlfn.IFNA(VLOOKUP($A17, $A$40:$O$199, 9, FALSE), ))), _xlfn.IFNA(VLOOKUP($A17, $A$40:$O$199, 9, FALSE), ), "")</f>
        <v>-4200.8196721311415</v>
      </c>
      <c r="J17" s="13">
        <f>IF(NOT(ISBLANK(_xlfn.IFNA(VLOOKUP($A17, $A$40:$O$199, 10, FALSE), ))), _xlfn.IFNA(VLOOKUP($A17, $A$40:$O$199, 10, FALSE), ), "")</f>
        <v>92.4</v>
      </c>
      <c r="K17" s="14">
        <f>IF(NOT(ISBLANK(_xlfn.IFNA(VLOOKUP($A17, $A$40:$O$199, 11, FALSE), ))), _xlfn.IFNA(VLOOKUP($A17, $A$40:$O$199, 11, FALSE), ), "")</f>
        <v>-5.327868852459005E-2</v>
      </c>
      <c r="L17" s="16">
        <f>IF(NOT(ISBLANK(_xlfn.IFNA(VLOOKUP($A17, $A$40:$O$199, 12, FALSE), ))), _xlfn.IFNA(VLOOKUP($A17, $A$40:$O$199, 12, FALSE), ), "")</f>
        <v>-5327.8688524590052</v>
      </c>
      <c r="M17" s="29">
        <f>IF(NOT(ISBLANK(_xlfn.IFNA(VLOOKUP($A17, $A$40:$O$199, 13, FALSE), ))), _xlfn.IFNA(VLOOKUP($A17, $A$40:$O$199, 13, FALSE), ), "")</f>
        <v>93.2</v>
      </c>
      <c r="N17" s="14">
        <f>IF(NOT(ISBLANK(_xlfn.IFNA(VLOOKUP($A17, $A$40:$O$199, 14, FALSE), ))), _xlfn.IFNA(VLOOKUP($A17, $A$40:$O$199, 14, FALSE), ), "")</f>
        <v>-4.5081967213114672E-2</v>
      </c>
      <c r="O17" s="16">
        <f>IF(NOT(ISBLANK(_xlfn.IFNA(VLOOKUP($A17, $A$40:$O$199, 15, FALSE), ))), _xlfn.IFNA(VLOOKUP($A17, $A$40:$O$199, 15, FALSE), ), "")</f>
        <v>-4508.1967213114676</v>
      </c>
      <c r="Q17" s="245"/>
      <c r="R17" s="245"/>
      <c r="S17" s="245"/>
    </row>
    <row r="18" spans="1:19" ht="17.25" customHeight="1" thickBot="1">
      <c r="A18" s="162" t="s">
        <v>364</v>
      </c>
      <c r="B18" s="126">
        <f t="shared" ref="B18:B36" si="0">IF(NOT(ISBLANK(_xlfn.IFNA(VLOOKUP($A18, $A$40:$O$199, 2, FALSE), ))), _xlfn.IFNA(VLOOKUP($A18, $A$40:$O$199, 2, FALSE), ), "")</f>
        <v>80.5</v>
      </c>
      <c r="C18" s="77">
        <f t="shared" ref="C18:C36" si="1">IF(NOT(ISBLANK(_xlfn.IFNA(VLOOKUP($A18, $A$40:$O$199, 3, FALSE), ))), _xlfn.IFNA(VLOOKUP($A18, $A$40:$O$199, 3, FALSE), ), "")</f>
        <v>4.9937578E-3</v>
      </c>
      <c r="D18" s="15">
        <f t="shared" ref="D18:D36" si="2">IF(NOT(ISBLANK(_xlfn.IFNA(VLOOKUP($A18, $A$40:$O$199, 4, FALSE), ))), _xlfn.IFNA(VLOOKUP($A18, $A$40:$O$199, 4, FALSE), ), "")</f>
        <v>86.1</v>
      </c>
      <c r="E18" s="32">
        <f t="shared" ref="E18:E36" si="3">IF(NOT(ISBLANK(_xlfn.IFNA(VLOOKUP($A18, $A$40:$O$199, 5, FALSE), ))), _xlfn.IFNA(VLOOKUP($A18, $A$40:$O$199, 5, FALSE), ), "")</f>
        <v>6.9565217391304279E-2</v>
      </c>
      <c r="F18" s="18">
        <f t="shared" ref="F18:F36" si="4">IF(NOT(ISBLANK(_xlfn.IFNA(VLOOKUP($A18, $A$40:$O$199, 6, FALSE), ))), _xlfn.IFNA(VLOOKUP($A18, $A$40:$O$199, 6, FALSE), ), "")</f>
        <v>6956.5217391304277</v>
      </c>
      <c r="G18" s="31">
        <f t="shared" ref="G18:G36" si="5">IF(NOT(ISBLANK(_xlfn.IFNA(VLOOKUP($A18, $A$40:$O$199, 7, FALSE), ))), _xlfn.IFNA(VLOOKUP($A18, $A$40:$O$199, 7, FALSE), ), "")</f>
        <v>82</v>
      </c>
      <c r="H18" s="32">
        <f t="shared" ref="H18:H36" si="6">IF(NOT(ISBLANK(_xlfn.IFNA(VLOOKUP($A18, $A$40:$O$199, 8, FALSE), ))), _xlfn.IFNA(VLOOKUP($A18, $A$40:$O$199, 8, FALSE), ), "")</f>
        <v>1.8633540372670808E-2</v>
      </c>
      <c r="I18" s="101">
        <f t="shared" ref="I18:I36" si="7">IF(NOT(ISBLANK(_xlfn.IFNA(VLOOKUP($A18, $A$40:$O$199, 9, FALSE), ))), _xlfn.IFNA(VLOOKUP($A18, $A$40:$O$199, 9, FALSE), ), "")</f>
        <v>1863.3540372670807</v>
      </c>
      <c r="J18" s="15">
        <f t="shared" ref="J18:J36" si="8">IF(NOT(ISBLANK(_xlfn.IFNA(VLOOKUP($A18, $A$40:$O$199, 10, FALSE), ))), _xlfn.IFNA(VLOOKUP($A18, $A$40:$O$199, 10, FALSE), ), "")</f>
        <v>78.3</v>
      </c>
      <c r="K18" s="32">
        <f t="shared" ref="K18:K36" si="9">IF(NOT(ISBLANK(_xlfn.IFNA(VLOOKUP($A18, $A$40:$O$199, 11, FALSE), ))), _xlfn.IFNA(VLOOKUP($A18, $A$40:$O$199, 11, FALSE), ), "")</f>
        <v>-2.7329192546583888E-2</v>
      </c>
      <c r="L18" s="18">
        <f t="shared" ref="L18:L36" si="10">IF(NOT(ISBLANK(_xlfn.IFNA(VLOOKUP($A18, $A$40:$O$199, 12, FALSE), ))), _xlfn.IFNA(VLOOKUP($A18, $A$40:$O$199, 12, FALSE), ), "")</f>
        <v>-2732.9192546583886</v>
      </c>
      <c r="M18" s="31">
        <f t="shared" ref="M18:M36" si="11">IF(NOT(ISBLANK(_xlfn.IFNA(VLOOKUP($A18, $A$40:$O$199, 13, FALSE), ))), _xlfn.IFNA(VLOOKUP($A18, $A$40:$O$199, 13, FALSE), ), "")</f>
        <v>81.099999999999994</v>
      </c>
      <c r="N18" s="32">
        <f t="shared" ref="N18:N36" si="12">IF(NOT(ISBLANK(_xlfn.IFNA(VLOOKUP($A18, $A$40:$O$199, 14, FALSE), ))), _xlfn.IFNA(VLOOKUP($A18, $A$40:$O$199, 14, FALSE), ), "")</f>
        <v>7.4534161490682526E-3</v>
      </c>
      <c r="O18" s="18">
        <f t="shared" ref="O18:O36" si="13">IF(NOT(ISBLANK(_xlfn.IFNA(VLOOKUP($A18, $A$40:$O$199, 15, FALSE), ))), _xlfn.IFNA(VLOOKUP($A18, $A$40:$O$199, 15, FALSE), ), "")</f>
        <v>745.34161490682527</v>
      </c>
      <c r="Q18" s="245"/>
      <c r="R18" s="245"/>
      <c r="S18" s="245"/>
    </row>
    <row r="19" spans="1:19" ht="17.25" customHeight="1" thickBot="1">
      <c r="A19" s="162" t="s">
        <v>363</v>
      </c>
      <c r="B19" s="126">
        <f t="shared" si="0"/>
        <v>128</v>
      </c>
      <c r="C19" s="77">
        <f t="shared" si="1"/>
        <v>2.4E-2</v>
      </c>
      <c r="D19" s="15">
        <f t="shared" si="2"/>
        <v>131</v>
      </c>
      <c r="E19" s="32">
        <f t="shared" si="3"/>
        <v>2.34375E-2</v>
      </c>
      <c r="F19" s="18">
        <f t="shared" si="4"/>
        <v>2343.75</v>
      </c>
      <c r="G19" s="31">
        <f t="shared" si="5"/>
        <v>126</v>
      </c>
      <c r="H19" s="32">
        <f t="shared" si="6"/>
        <v>-1.5625E-2</v>
      </c>
      <c r="I19" s="101">
        <f t="shared" si="7"/>
        <v>-1562.5</v>
      </c>
      <c r="J19" s="15">
        <f t="shared" si="8"/>
        <v>121</v>
      </c>
      <c r="K19" s="32">
        <f t="shared" si="9"/>
        <v>-5.46875E-2</v>
      </c>
      <c r="L19" s="18">
        <f t="shared" si="10"/>
        <v>-5468.75</v>
      </c>
      <c r="M19" s="31">
        <f t="shared" si="11"/>
        <v>123</v>
      </c>
      <c r="N19" s="32">
        <f t="shared" si="12"/>
        <v>-3.90625E-2</v>
      </c>
      <c r="O19" s="18">
        <f t="shared" si="13"/>
        <v>-3906.25</v>
      </c>
      <c r="Q19" s="235"/>
      <c r="R19" s="235"/>
      <c r="S19" s="235"/>
    </row>
    <row r="20" spans="1:19" ht="17.25" customHeight="1" thickBot="1">
      <c r="A20" s="162" t="s">
        <v>120</v>
      </c>
      <c r="B20" s="126">
        <f t="shared" si="0"/>
        <v>149</v>
      </c>
      <c r="C20" s="77">
        <f t="shared" si="1"/>
        <v>1.36054422E-2</v>
      </c>
      <c r="D20" s="15">
        <f t="shared" si="2"/>
        <v>146</v>
      </c>
      <c r="E20" s="32">
        <f t="shared" si="3"/>
        <v>-2.0134228187919462E-2</v>
      </c>
      <c r="F20" s="18">
        <f t="shared" si="4"/>
        <v>-2013.4228187919462</v>
      </c>
      <c r="G20" s="31">
        <f t="shared" si="5"/>
        <v>143</v>
      </c>
      <c r="H20" s="32">
        <f t="shared" si="6"/>
        <v>-4.0268456375838924E-2</v>
      </c>
      <c r="I20" s="101">
        <f t="shared" si="7"/>
        <v>-4026.8456375838923</v>
      </c>
      <c r="J20" s="15">
        <f t="shared" si="8"/>
        <v>140</v>
      </c>
      <c r="K20" s="32">
        <f t="shared" si="9"/>
        <v>-6.0402684563758392E-2</v>
      </c>
      <c r="L20" s="18">
        <f t="shared" si="10"/>
        <v>-6040.2684563758394</v>
      </c>
      <c r="M20" s="31">
        <f t="shared" si="11"/>
        <v>142</v>
      </c>
      <c r="N20" s="32">
        <f t="shared" si="12"/>
        <v>-4.6979865771812082E-2</v>
      </c>
      <c r="O20" s="18">
        <f t="shared" si="13"/>
        <v>-4697.9865771812083</v>
      </c>
      <c r="Q20" s="235"/>
      <c r="R20" s="235"/>
      <c r="S20" s="235"/>
    </row>
    <row r="21" spans="1:19" ht="17.25" customHeight="1" thickBot="1">
      <c r="A21" s="163" t="s">
        <v>361</v>
      </c>
      <c r="B21" s="128">
        <f t="shared" si="0"/>
        <v>313</v>
      </c>
      <c r="C21" s="78">
        <f t="shared" si="1"/>
        <v>-9.4936709000000008E-3</v>
      </c>
      <c r="D21" s="20">
        <f t="shared" si="2"/>
        <v>309</v>
      </c>
      <c r="E21" s="21">
        <f t="shared" si="3"/>
        <v>-1.2779552715654952E-2</v>
      </c>
      <c r="F21" s="22">
        <f t="shared" si="4"/>
        <v>-1277.9552715654952</v>
      </c>
      <c r="G21" s="30">
        <f t="shared" si="5"/>
        <v>304</v>
      </c>
      <c r="H21" s="21">
        <f t="shared" si="6"/>
        <v>-2.8753993610223641E-2</v>
      </c>
      <c r="I21" s="105">
        <f t="shared" si="7"/>
        <v>-2875.3993610223642</v>
      </c>
      <c r="J21" s="20">
        <f t="shared" si="8"/>
        <v>303</v>
      </c>
      <c r="K21" s="21">
        <f t="shared" si="9"/>
        <v>-3.1948881789137379E-2</v>
      </c>
      <c r="L21" s="22">
        <f t="shared" si="10"/>
        <v>-3194.8881789137381</v>
      </c>
      <c r="M21" s="30">
        <f t="shared" si="11"/>
        <v>307</v>
      </c>
      <c r="N21" s="21">
        <f t="shared" si="12"/>
        <v>-1.9169329073482427E-2</v>
      </c>
      <c r="O21" s="22">
        <f t="shared" si="13"/>
        <v>-1916.9329073482427</v>
      </c>
      <c r="Q21" s="235"/>
      <c r="R21" s="235"/>
      <c r="S21" s="235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5"/>
      <c r="R22" s="235"/>
      <c r="S22" s="235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5"/>
      <c r="R23" s="235"/>
      <c r="S23" s="235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5"/>
      <c r="R24" s="235"/>
      <c r="S24" s="235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6"/>
      <c r="R26" s="237"/>
      <c r="S26" s="238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9"/>
      <c r="R27" s="240"/>
      <c r="S27" s="241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2"/>
      <c r="R28" s="243"/>
      <c r="S28" s="244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5"/>
      <c r="R29" s="235"/>
      <c r="S29" s="235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5"/>
      <c r="R30" s="245"/>
      <c r="S30" s="245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5"/>
      <c r="R31" s="245"/>
      <c r="S31" s="24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5"/>
      <c r="R32" s="235"/>
      <c r="S32" s="235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5"/>
      <c r="R33" s="235"/>
      <c r="S33" s="235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5"/>
      <c r="R34" s="235"/>
      <c r="S34" s="235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4"/>
      <c r="R35" s="225"/>
      <c r="S35" s="22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7"/>
      <c r="R36" s="228"/>
      <c r="S36" s="229"/>
    </row>
    <row r="37" spans="1:19" ht="17.25" customHeight="1" thickBot="1">
      <c r="A37" s="132" t="s">
        <v>42</v>
      </c>
      <c r="B37" s="288">
        <v>100000</v>
      </c>
      <c r="C37" s="289"/>
      <c r="D37" s="26" t="s">
        <v>43</v>
      </c>
      <c r="E37" s="27">
        <f>IF(COUNT(E17:E36), SUM(E17:E36) / COUNT(E17:E36), 0)</f>
        <v>1.0788279100824675E-2</v>
      </c>
      <c r="F37" s="28">
        <f>SUM(F17:F36)</f>
        <v>5394.1395504123366</v>
      </c>
      <c r="G37" s="26" t="s">
        <v>43</v>
      </c>
      <c r="H37" s="27">
        <f>IF(COUNT(H17:H36), SUM(H17:H36) / COUNT(H17:H36), 0)</f>
        <v>-2.1604421266940635E-2</v>
      </c>
      <c r="I37" s="28">
        <f>SUM(I17:I36)</f>
        <v>-10802.210633470317</v>
      </c>
      <c r="J37" s="26" t="s">
        <v>43</v>
      </c>
      <c r="K37" s="27">
        <f>IF(COUNT(K17:K36), SUM(K17:K36) / COUNT(K17:K36), 0)</f>
        <v>-4.5529389484813942E-2</v>
      </c>
      <c r="L37" s="28">
        <f>SUM(L17:L36)</f>
        <v>-22764.694742406973</v>
      </c>
      <c r="M37" s="26" t="s">
        <v>43</v>
      </c>
      <c r="N37" s="27">
        <f>IF(COUNT(N17:N36), SUM(N17:N36) / COUNT(N17:N36), 0)</f>
        <v>-2.8568049181868182E-2</v>
      </c>
      <c r="O37" s="28">
        <f>SUM(O17:O36)</f>
        <v>-14284.024590934094</v>
      </c>
      <c r="Q37" s="230"/>
      <c r="R37" s="231"/>
      <c r="S37" s="232"/>
    </row>
    <row r="38" spans="1:19" ht="17.25" customHeight="1"/>
    <row r="39" spans="1:19" ht="17.25" customHeight="1" thickBot="1"/>
    <row r="40" spans="1:19" ht="17.25" customHeight="1" thickBot="1">
      <c r="A40" s="246" t="s">
        <v>44</v>
      </c>
      <c r="B40" s="247"/>
      <c r="C40" s="247"/>
      <c r="D40" s="247"/>
      <c r="E40" s="247"/>
      <c r="F40" s="247"/>
      <c r="G40" s="247"/>
      <c r="H40" s="247"/>
      <c r="I40" s="247"/>
      <c r="J40" s="247"/>
      <c r="K40" s="247"/>
      <c r="L40" s="247"/>
      <c r="M40" s="247"/>
      <c r="N40" s="247"/>
      <c r="O40" s="248"/>
      <c r="Q40" s="245"/>
      <c r="R40" s="245"/>
      <c r="S40" s="245"/>
    </row>
    <row r="41" spans="1:19" ht="17.25" customHeight="1" thickBot="1">
      <c r="A41" s="172" t="s">
        <v>297</v>
      </c>
      <c r="B41" s="246" t="s">
        <v>49</v>
      </c>
      <c r="C41" s="248"/>
      <c r="D41" s="246" t="s">
        <v>58</v>
      </c>
      <c r="E41" s="247"/>
      <c r="F41" s="248"/>
      <c r="G41" s="249">
        <f>_xlfn.IFNA(VLOOKUP(B41, 현재가테이블!$B$2:$D$200, 2, FALSE), "-")</f>
        <v>45335000</v>
      </c>
      <c r="H41" s="250"/>
      <c r="I41" s="251"/>
      <c r="J41" s="246" t="s">
        <v>59</v>
      </c>
      <c r="K41" s="247"/>
      <c r="L41" s="248"/>
      <c r="M41" s="252">
        <f>_xlfn.IFNA(VLOOKUP(B41, 현재가테이블!$B$2:$D$200, 3, FALSE), "-")</f>
        <v>-2.27209037E-2</v>
      </c>
      <c r="N41" s="253"/>
      <c r="O41" s="254"/>
      <c r="Q41" s="245"/>
      <c r="R41" s="245"/>
      <c r="S41" s="245"/>
    </row>
    <row r="42" spans="1:19" ht="17.25" customHeight="1" thickBot="1">
      <c r="A42" s="290" t="s">
        <v>55</v>
      </c>
      <c r="B42" s="286" t="str">
        <f>TEXT($G$1, "[$-ko-KR]yyyy-mm-dd(ddd) ") &amp; "오전 00:00"</f>
        <v>2021-06-04(금) 오전 00:00</v>
      </c>
      <c r="C42" s="287"/>
      <c r="D42" s="259" t="str">
        <f>TEXT($G$1, "[$-ko-KR]yyyy-mm-dd(ddd) ") &amp; "오후 14:00"</f>
        <v>2021-06-04(금) 오후 14:00</v>
      </c>
      <c r="E42" s="260"/>
      <c r="F42" s="261"/>
      <c r="G42" s="259" t="str">
        <f>TEXT($G$1, "[$-ko-KR]yyyy-mm-dd(ddd) ") &amp; "오후 19:00"</f>
        <v>2021-06-04(금) 오후 19:00</v>
      </c>
      <c r="H42" s="260"/>
      <c r="I42" s="261"/>
      <c r="J42" s="259" t="str">
        <f>TEXT($G$1, "[$-ko-KR]yyyy-mm-dd(ddd) ") &amp; "오후 21:00"</f>
        <v>2021-06-04(금) 오후 21:00</v>
      </c>
      <c r="K42" s="260"/>
      <c r="L42" s="261"/>
      <c r="M42" s="259" t="str">
        <f>TEXT($G$1+1, "[$-ko-KR]yyyy-mm-dd(ddd) ") &amp; "오전 00:00"</f>
        <v>2021-06-05(토) 오전 00:00</v>
      </c>
      <c r="N42" s="260"/>
      <c r="O42" s="261"/>
      <c r="Q42" s="245"/>
      <c r="R42" s="245"/>
      <c r="S42" s="245"/>
    </row>
    <row r="43" spans="1:19" ht="17.25" customHeight="1" thickBot="1">
      <c r="A43" s="291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73" t="s">
        <v>58</v>
      </c>
      <c r="H43" s="174" t="s">
        <v>298</v>
      </c>
      <c r="I43" s="175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5"/>
      <c r="R43" s="235"/>
      <c r="S43" s="235"/>
    </row>
    <row r="44" spans="1:19" ht="17.25" customHeight="1" thickBot="1">
      <c r="A44" s="161" t="s">
        <v>100</v>
      </c>
      <c r="B44" s="124">
        <v>4.5999999999999996</v>
      </c>
      <c r="C44" s="76">
        <v>3.13901345E-2</v>
      </c>
      <c r="D44" s="13">
        <v>4.97</v>
      </c>
      <c r="E44" s="14">
        <f>IF(ISNUMBER(D44), (D44 - $B44) / $B44, "")</f>
        <v>8.0434782608695687E-2</v>
      </c>
      <c r="F44" s="16">
        <f>IF(ISNUMBER(D44), $B64 * E44, "")</f>
        <v>8043.4782608695687</v>
      </c>
      <c r="G44" s="29">
        <v>4.7300000000000004</v>
      </c>
      <c r="H44" s="14">
        <f>IF(ISNUMBER(G44), (G44 - $B44) / $B44, "")</f>
        <v>2.8260869565217565E-2</v>
      </c>
      <c r="I44" s="100">
        <f>IF(ISNUMBER(G44), $B64 * H44, "")</f>
        <v>2826.0869565217563</v>
      </c>
      <c r="J44" s="13">
        <v>4.54</v>
      </c>
      <c r="K44" s="14">
        <f>IF(ISNUMBER(J44), (J44 - $B44) / $B44, "")</f>
        <v>-1.3043478260869481E-2</v>
      </c>
      <c r="L44" s="16">
        <f>IF(ISNUMBER(J44), $B64 * K44, "")</f>
        <v>-1304.3478260869481</v>
      </c>
      <c r="M44" s="29">
        <v>4.74</v>
      </c>
      <c r="N44" s="14">
        <f>IF(ISNUMBER(M44), (M44 - $B44) / $B44, "")</f>
        <v>3.0434782608695778E-2</v>
      </c>
      <c r="O44" s="16">
        <f>IF(ISNUMBER(M44), $B64 * N44, "")</f>
        <v>3043.4782608695778</v>
      </c>
      <c r="Q44" s="245"/>
      <c r="R44" s="245"/>
      <c r="S44" s="245"/>
    </row>
    <row r="45" spans="1:19" ht="17.25" customHeight="1" thickBot="1">
      <c r="A45" s="162" t="s">
        <v>218</v>
      </c>
      <c r="B45" s="126">
        <v>17.600000000000001</v>
      </c>
      <c r="C45" s="77">
        <v>2.9239766100000002E-2</v>
      </c>
      <c r="D45" s="15">
        <v>17.5</v>
      </c>
      <c r="E45" s="32">
        <f t="shared" ref="E45:E48" si="14">IF(ISNUMBER(D45), (D45 - $B45) / $B45, "")</f>
        <v>-5.6818181818182618E-3</v>
      </c>
      <c r="F45" s="18">
        <f>IF(ISNUMBER(D45), $B64 * E45, "")</f>
        <v>-568.1818181818262</v>
      </c>
      <c r="G45" s="31">
        <v>16.7</v>
      </c>
      <c r="H45" s="32">
        <f t="shared" ref="H45:H48" si="15">IF(ISNUMBER(G45), (G45 - $B45) / $B45, "")</f>
        <v>-5.1136363636363751E-2</v>
      </c>
      <c r="I45" s="101">
        <f>IF(ISNUMBER(G45), $B64 * H45, "")</f>
        <v>-5113.6363636363749</v>
      </c>
      <c r="J45" s="15">
        <v>16.399999999999999</v>
      </c>
      <c r="K45" s="32">
        <f t="shared" ref="K45:K48" si="16">IF(ISNUMBER(J45), (J45 - $B45) / $B45, "")</f>
        <v>-6.8181818181818343E-2</v>
      </c>
      <c r="L45" s="18">
        <f>IF(ISNUMBER(J45), $B64 * K45, "")</f>
        <v>-6818.1818181818344</v>
      </c>
      <c r="M45" s="31">
        <v>16.7</v>
      </c>
      <c r="N45" s="32">
        <f t="shared" ref="N45:N48" si="17">IF(ISNUMBER(M45), (M45 - $B45) / $B45, "")</f>
        <v>-5.1136363636363751E-2</v>
      </c>
      <c r="O45" s="18">
        <f>IF(ISNUMBER(M45), $B64 * N45, "")</f>
        <v>-5113.6363636363749</v>
      </c>
      <c r="Q45" s="245"/>
      <c r="R45" s="245"/>
      <c r="S45" s="245"/>
    </row>
    <row r="46" spans="1:19" ht="17.25" customHeight="1" thickBot="1">
      <c r="A46" s="162" t="s">
        <v>266</v>
      </c>
      <c r="B46" s="126">
        <v>62.4</v>
      </c>
      <c r="C46" s="77">
        <v>2.46305419E-2</v>
      </c>
      <c r="D46" s="15">
        <v>60</v>
      </c>
      <c r="E46" s="32">
        <f t="shared" si="14"/>
        <v>-3.8461538461538443E-2</v>
      </c>
      <c r="F46" s="18">
        <f>IF(ISNUMBER(D46), $B64 * E46, "")</f>
        <v>-3846.1538461538444</v>
      </c>
      <c r="G46" s="31">
        <v>58.5</v>
      </c>
      <c r="H46" s="32">
        <f t="shared" si="15"/>
        <v>-6.2499999999999979E-2</v>
      </c>
      <c r="I46" s="101">
        <f>IF(ISNUMBER(G46), $B64 * H46, "")</f>
        <v>-6249.9999999999982</v>
      </c>
      <c r="J46" s="15">
        <v>57.4</v>
      </c>
      <c r="K46" s="32">
        <f t="shared" si="16"/>
        <v>-8.0128205128205135E-2</v>
      </c>
      <c r="L46" s="18">
        <f>IF(ISNUMBER(J46), $B64 * K46, "")</f>
        <v>-8012.8205128205136</v>
      </c>
      <c r="M46" s="31">
        <v>58</v>
      </c>
      <c r="N46" s="32">
        <f t="shared" si="17"/>
        <v>-7.0512820512820498E-2</v>
      </c>
      <c r="O46" s="18">
        <f>IF(ISNUMBER(M46), $B64 * N46, "")</f>
        <v>-7051.2820512820499</v>
      </c>
      <c r="Q46" s="235"/>
      <c r="R46" s="235"/>
      <c r="S46" s="235"/>
    </row>
    <row r="47" spans="1:19" ht="17.25" customHeight="1" thickBot="1">
      <c r="A47" s="162" t="s">
        <v>156</v>
      </c>
      <c r="B47" s="126">
        <v>93</v>
      </c>
      <c r="C47" s="77">
        <v>2.31023102E-2</v>
      </c>
      <c r="D47" s="15">
        <v>92.4</v>
      </c>
      <c r="E47" s="32">
        <f t="shared" si="14"/>
        <v>-6.4516129032257457E-3</v>
      </c>
      <c r="F47" s="18">
        <f>IF(ISNUMBER(D47), $B64 * E47, "")</f>
        <v>-645.16129032257459</v>
      </c>
      <c r="G47" s="31">
        <v>89.4</v>
      </c>
      <c r="H47" s="32">
        <f t="shared" si="15"/>
        <v>-3.8709677419354778E-2</v>
      </c>
      <c r="I47" s="101">
        <f>IF(ISNUMBER(G47), $B64 * H47, "")</f>
        <v>-3870.967741935478</v>
      </c>
      <c r="J47" s="15">
        <v>88</v>
      </c>
      <c r="K47" s="32">
        <f t="shared" si="16"/>
        <v>-5.3763440860215055E-2</v>
      </c>
      <c r="L47" s="18">
        <f>IF(ISNUMBER(J47), $B64 * K47, "")</f>
        <v>-5376.3440860215051</v>
      </c>
      <c r="M47" s="31">
        <v>89.8</v>
      </c>
      <c r="N47" s="32">
        <f t="shared" si="17"/>
        <v>-3.4408602150537662E-2</v>
      </c>
      <c r="O47" s="18">
        <f>IF(ISNUMBER(M47), $B64 * N47, "")</f>
        <v>-3440.8602150537663</v>
      </c>
      <c r="Q47" s="235"/>
      <c r="R47" s="235"/>
      <c r="S47" s="235"/>
    </row>
    <row r="48" spans="1:19" ht="17.25" customHeight="1" thickBot="1">
      <c r="A48" s="163" t="s">
        <v>254</v>
      </c>
      <c r="B48" s="128">
        <v>54.2</v>
      </c>
      <c r="C48" s="78">
        <v>2.07156309E-2</v>
      </c>
      <c r="D48" s="20">
        <v>53.1</v>
      </c>
      <c r="E48" s="21">
        <f t="shared" si="14"/>
        <v>-2.0295202952029544E-2</v>
      </c>
      <c r="F48" s="22">
        <f>IF(ISNUMBER(D48), $B64 * E48, "")</f>
        <v>-2029.5202952029545</v>
      </c>
      <c r="G48" s="30">
        <v>52.8</v>
      </c>
      <c r="H48" s="21">
        <f t="shared" si="15"/>
        <v>-2.583025830258313E-2</v>
      </c>
      <c r="I48" s="105">
        <f>IF(ISNUMBER(G48), $B64 * H48, "")</f>
        <v>-2583.0258302583129</v>
      </c>
      <c r="J48" s="20">
        <v>51.9</v>
      </c>
      <c r="K48" s="21">
        <f t="shared" si="16"/>
        <v>-4.243542435424362E-2</v>
      </c>
      <c r="L48" s="22">
        <f>IF(ISNUMBER(J48), $B64 * K48, "")</f>
        <v>-4243.5424354243623</v>
      </c>
      <c r="M48" s="30">
        <v>52.2</v>
      </c>
      <c r="N48" s="21">
        <f t="shared" si="17"/>
        <v>-3.6900369003690037E-2</v>
      </c>
      <c r="O48" s="22">
        <f>IF(ISNUMBER(M48), $B64 * N48, "")</f>
        <v>-3690.0369003690039</v>
      </c>
      <c r="Q48" s="235"/>
      <c r="R48" s="235"/>
      <c r="S48" s="235"/>
    </row>
    <row r="49" spans="1:19" ht="17.25" customHeight="1" thickBot="1">
      <c r="A49" s="162" t="s">
        <v>278</v>
      </c>
      <c r="B49" s="129">
        <v>83.7</v>
      </c>
      <c r="C49" s="80">
        <v>1.8248175200000001E-2</v>
      </c>
      <c r="D49" s="106">
        <v>83.8</v>
      </c>
      <c r="E49" s="107">
        <f>IF(ISNUMBER(D49), (D49 - $B49) / $B49, "")</f>
        <v>1.1947431302269333E-3</v>
      </c>
      <c r="F49" s="108">
        <f>IF(ISNUMBER(D49), $B64 * E49, "")</f>
        <v>119.47431302269332</v>
      </c>
      <c r="G49" s="109">
        <v>81</v>
      </c>
      <c r="H49" s="107">
        <f>IF(ISNUMBER(G49), (G49 - $B49) / $B49, "")</f>
        <v>-3.2258064516129066E-2</v>
      </c>
      <c r="I49" s="110">
        <f>IF(ISNUMBER(G49), $B64 * H49, "")</f>
        <v>-3225.8064516129066</v>
      </c>
      <c r="J49" s="106">
        <v>79.599999999999994</v>
      </c>
      <c r="K49" s="107">
        <f>IF(ISNUMBER(J49), (J49 - $B49) / $B49, "")</f>
        <v>-4.8984468339307148E-2</v>
      </c>
      <c r="L49" s="108">
        <f>IF(ISNUMBER(J49), $B64 * K49, "")</f>
        <v>-4898.446833930715</v>
      </c>
      <c r="M49" s="109">
        <v>81.400000000000006</v>
      </c>
      <c r="N49" s="107">
        <f>IF(ISNUMBER(M49), (M49 - $B49) / $B49, "")</f>
        <v>-2.7479091995220993E-2</v>
      </c>
      <c r="O49" s="108">
        <f>IF(ISNUMBER(M49), $B64 * N49, "")</f>
        <v>-2747.9091995220992</v>
      </c>
      <c r="Q49" s="235"/>
      <c r="R49" s="235"/>
      <c r="S49" s="235"/>
    </row>
    <row r="50" spans="1:19" ht="17.25" customHeight="1" thickBot="1">
      <c r="A50" s="162" t="s">
        <v>134</v>
      </c>
      <c r="B50" s="126">
        <v>97.6</v>
      </c>
      <c r="C50" s="77">
        <v>1.7726798700000001E-2</v>
      </c>
      <c r="D50" s="15">
        <v>97</v>
      </c>
      <c r="E50" s="32">
        <f t="shared" ref="E50:E53" si="18">IF(ISNUMBER(D50), (D50 - $B50) / $B50, "")</f>
        <v>-6.1475409836064992E-3</v>
      </c>
      <c r="F50" s="18">
        <f>IF(ISNUMBER(D50), $B64 * E50, "")</f>
        <v>-614.75409836064989</v>
      </c>
      <c r="G50" s="31">
        <v>93.5</v>
      </c>
      <c r="H50" s="32">
        <f t="shared" ref="H50:H53" si="19">IF(ISNUMBER(G50), (G50 - $B50) / $B50, "")</f>
        <v>-4.2008196721311418E-2</v>
      </c>
      <c r="I50" s="101">
        <f>IF(ISNUMBER(G50), $B64 * H50, "")</f>
        <v>-4200.8196721311415</v>
      </c>
      <c r="J50" s="15">
        <v>92.4</v>
      </c>
      <c r="K50" s="32">
        <f t="shared" ref="K50:K53" si="20">IF(ISNUMBER(J50), (J50 - $B50) / $B50, "")</f>
        <v>-5.327868852459005E-2</v>
      </c>
      <c r="L50" s="18">
        <f>IF(ISNUMBER(J50), $B64 * K50, "")</f>
        <v>-5327.8688524590052</v>
      </c>
      <c r="M50" s="31">
        <v>93.2</v>
      </c>
      <c r="N50" s="32">
        <f t="shared" ref="N50:N53" si="21">IF(ISNUMBER(M50), (M50 - $B50) / $B50, "")</f>
        <v>-4.5081967213114672E-2</v>
      </c>
      <c r="O50" s="18">
        <f>IF(ISNUMBER(M50), $B64 * N50, "")</f>
        <v>-4508.1967213114676</v>
      </c>
      <c r="Q50" s="235"/>
      <c r="R50" s="235"/>
      <c r="S50" s="235"/>
    </row>
    <row r="51" spans="1:19" ht="17.25" customHeight="1" thickBot="1">
      <c r="A51" s="162" t="s">
        <v>154</v>
      </c>
      <c r="B51" s="126">
        <v>11.5</v>
      </c>
      <c r="C51" s="77">
        <v>1.7699115000000001E-2</v>
      </c>
      <c r="D51" s="15">
        <v>11.3</v>
      </c>
      <c r="E51" s="32">
        <f t="shared" si="18"/>
        <v>-1.7391304347826025E-2</v>
      </c>
      <c r="F51" s="18">
        <f>IF(ISNUMBER(D51), $B64 * E51, "")</f>
        <v>-1739.1304347826024</v>
      </c>
      <c r="G51" s="31">
        <v>10.9</v>
      </c>
      <c r="H51" s="32">
        <f t="shared" si="19"/>
        <v>-5.217391304347823E-2</v>
      </c>
      <c r="I51" s="101">
        <f>IF(ISNUMBER(G51), $B64 * H51, "")</f>
        <v>-5217.3913043478233</v>
      </c>
      <c r="J51" s="15">
        <v>10.8</v>
      </c>
      <c r="K51" s="32">
        <f t="shared" si="20"/>
        <v>-6.0869565217391244E-2</v>
      </c>
      <c r="L51" s="18">
        <f>IF(ISNUMBER(J51), $B64 * K51, "")</f>
        <v>-6086.9565217391246</v>
      </c>
      <c r="M51" s="31">
        <v>10.9</v>
      </c>
      <c r="N51" s="32">
        <f t="shared" si="21"/>
        <v>-5.217391304347823E-2</v>
      </c>
      <c r="O51" s="18">
        <f>IF(ISNUMBER(M51), $B64 * N51, "")</f>
        <v>-5217.3913043478233</v>
      </c>
      <c r="Q51" s="235"/>
      <c r="R51" s="235"/>
      <c r="S51" s="235"/>
    </row>
    <row r="52" spans="1:19" ht="17.25" customHeight="1" thickBot="1">
      <c r="A52" s="162" t="s">
        <v>220</v>
      </c>
      <c r="B52" s="126">
        <v>11.6</v>
      </c>
      <c r="C52" s="77">
        <v>1.75438596E-2</v>
      </c>
      <c r="D52" s="15">
        <v>11.3</v>
      </c>
      <c r="E52" s="32">
        <f t="shared" si="18"/>
        <v>-2.5862068965517151E-2</v>
      </c>
      <c r="F52" s="18">
        <f>IF(ISNUMBER(D52), $B64 * E52, "")</f>
        <v>-2586.2068965517151</v>
      </c>
      <c r="G52" s="31">
        <v>10.8</v>
      </c>
      <c r="H52" s="32">
        <f t="shared" si="19"/>
        <v>-6.8965517241379226E-2</v>
      </c>
      <c r="I52" s="101">
        <f>IF(ISNUMBER(G52), $B64 * H52, "")</f>
        <v>-6896.551724137923</v>
      </c>
      <c r="J52" s="15">
        <v>10.6</v>
      </c>
      <c r="K52" s="32">
        <f t="shared" si="20"/>
        <v>-8.6206896551724144E-2</v>
      </c>
      <c r="L52" s="18">
        <f>IF(ISNUMBER(J52), $B64 * K52, "")</f>
        <v>-8620.6896551724149</v>
      </c>
      <c r="M52" s="31">
        <v>10.8</v>
      </c>
      <c r="N52" s="32">
        <f t="shared" si="21"/>
        <v>-6.8965517241379226E-2</v>
      </c>
      <c r="O52" s="18">
        <f>IF(ISNUMBER(M52), $B64 * N52, "")</f>
        <v>-6896.551724137923</v>
      </c>
      <c r="Q52" s="33"/>
      <c r="R52" s="33"/>
    </row>
    <row r="53" spans="1:19" ht="17.25" customHeight="1" thickBot="1">
      <c r="A53" s="130" t="s">
        <v>236</v>
      </c>
      <c r="B53" s="131">
        <v>54.7</v>
      </c>
      <c r="C53" s="79">
        <v>1.48423006E-2</v>
      </c>
      <c r="D53" s="24">
        <v>54.2</v>
      </c>
      <c r="E53" s="25">
        <f t="shared" si="18"/>
        <v>-9.140767824497258E-3</v>
      </c>
      <c r="F53" s="104">
        <f>IF(ISNUMBER(D53), $B64 * E53, "")</f>
        <v>-914.07678244972578</v>
      </c>
      <c r="G53" s="102">
        <v>52.2</v>
      </c>
      <c r="H53" s="25">
        <f t="shared" si="19"/>
        <v>-4.5703839122486288E-2</v>
      </c>
      <c r="I53" s="103">
        <f>IF(ISNUMBER(G53), $B64 * H53, "")</f>
        <v>-4570.3839122486288</v>
      </c>
      <c r="J53" s="24">
        <v>50.9</v>
      </c>
      <c r="K53" s="25">
        <f t="shared" si="20"/>
        <v>-6.9469835466179228E-2</v>
      </c>
      <c r="L53" s="104">
        <f>IF(ISNUMBER(J53), $B64 * K53, "")</f>
        <v>-6946.9835466179229</v>
      </c>
      <c r="M53" s="102">
        <v>51.8</v>
      </c>
      <c r="N53" s="25">
        <f t="shared" si="21"/>
        <v>-5.3016453382084196E-2</v>
      </c>
      <c r="O53" s="104">
        <f>IF(ISNUMBER(M53), $B64 * N53, "")</f>
        <v>-5301.6453382084192</v>
      </c>
      <c r="Q53" s="236"/>
      <c r="R53" s="237"/>
      <c r="S53" s="238"/>
    </row>
    <row r="54" spans="1:19" ht="17.25" customHeight="1">
      <c r="A54" s="161" t="s">
        <v>72</v>
      </c>
      <c r="B54" s="124">
        <v>22.4</v>
      </c>
      <c r="C54" s="76">
        <v>1.35746606E-2</v>
      </c>
      <c r="D54" s="13">
        <v>22</v>
      </c>
      <c r="E54" s="14">
        <f>IF(ISNUMBER(D54), (D54 - $B54) / $B54, "")</f>
        <v>-1.7857142857142794E-2</v>
      </c>
      <c r="F54" s="16">
        <f>IF(ISNUMBER(D54), $B64 * E54, "")</f>
        <v>-1785.7142857142794</v>
      </c>
      <c r="G54" s="29">
        <v>21.2</v>
      </c>
      <c r="H54" s="14">
        <f>IF(ISNUMBER(G54), (G54 - $B54) / $B54, "")</f>
        <v>-5.3571428571428541E-2</v>
      </c>
      <c r="I54" s="100">
        <f>IF(ISNUMBER(G54), $B64 * H54, "")</f>
        <v>-5357.1428571428542</v>
      </c>
      <c r="J54" s="13">
        <v>20.8</v>
      </c>
      <c r="K54" s="14">
        <f>IF(ISNUMBER(J54), (J54 - $B54) / $B54, "")</f>
        <v>-7.1428571428571341E-2</v>
      </c>
      <c r="L54" s="16">
        <f>IF(ISNUMBER(J54), $B64 * K54, "")</f>
        <v>-7142.857142857134</v>
      </c>
      <c r="M54" s="29">
        <v>21.1</v>
      </c>
      <c r="N54" s="14">
        <f>IF(ISNUMBER(M54), (M54 - $B54) / $B54, "")</f>
        <v>-5.8035714285714163E-2</v>
      </c>
      <c r="O54" s="16">
        <f>IF(ISNUMBER(M54), $B64 * N54, "")</f>
        <v>-5803.5714285714166</v>
      </c>
      <c r="Q54" s="239"/>
      <c r="R54" s="240"/>
      <c r="S54" s="241"/>
    </row>
    <row r="55" spans="1:19" ht="17.25" customHeight="1" thickBot="1">
      <c r="A55" s="162" t="s">
        <v>122</v>
      </c>
      <c r="B55" s="126">
        <v>71</v>
      </c>
      <c r="C55" s="77">
        <v>1.1396011399999999E-2</v>
      </c>
      <c r="D55" s="15">
        <v>70.3</v>
      </c>
      <c r="E55" s="32">
        <f t="shared" ref="E55:E58" si="22">IF(ISNUMBER(D55), (D55 - $B55) / $B55, "")</f>
        <v>-9.8591549295775054E-3</v>
      </c>
      <c r="F55" s="18">
        <f>IF(ISNUMBER(D55), $B64 * E55, "")</f>
        <v>-985.91549295775053</v>
      </c>
      <c r="G55" s="31">
        <v>67.5</v>
      </c>
      <c r="H55" s="32">
        <f t="shared" ref="H55:H58" si="23">IF(ISNUMBER(G55), (G55 - $B55) / $B55, "")</f>
        <v>-4.9295774647887321E-2</v>
      </c>
      <c r="I55" s="101">
        <f>IF(ISNUMBER(G55), $B64 * H55, "")</f>
        <v>-4929.577464788732</v>
      </c>
      <c r="J55" s="15">
        <v>66.900000000000006</v>
      </c>
      <c r="K55" s="32">
        <f t="shared" ref="K55:K58" si="24">IF(ISNUMBER(J55), (J55 - $B55) / $B55, "")</f>
        <v>-5.774647887323936E-2</v>
      </c>
      <c r="L55" s="18">
        <f>IF(ISNUMBER(J55), $B64 * K55, "")</f>
        <v>-5774.6478873239357</v>
      </c>
      <c r="M55" s="31">
        <v>67.599999999999994</v>
      </c>
      <c r="N55" s="32">
        <f t="shared" ref="N55:N58" si="25">IF(ISNUMBER(M55), (M55 - $B55) / $B55, "")</f>
        <v>-4.7887323943662054E-2</v>
      </c>
      <c r="O55" s="18">
        <f>IF(ISNUMBER(M55), $B64 * N55, "")</f>
        <v>-4788.732394366205</v>
      </c>
      <c r="Q55" s="242"/>
      <c r="R55" s="243"/>
      <c r="S55" s="244"/>
    </row>
    <row r="56" spans="1:19" ht="17.25" customHeight="1" thickBot="1">
      <c r="A56" s="162" t="s">
        <v>268</v>
      </c>
      <c r="B56" s="126">
        <v>54.6</v>
      </c>
      <c r="C56" s="77">
        <v>1.11111111E-2</v>
      </c>
      <c r="D56" s="15">
        <v>54.2</v>
      </c>
      <c r="E56" s="32">
        <f t="shared" si="22"/>
        <v>-7.3260073260073E-3</v>
      </c>
      <c r="F56" s="18">
        <f>IF(ISNUMBER(D56), $B64 * E56, "")</f>
        <v>-732.60073260073</v>
      </c>
      <c r="G56" s="31">
        <v>52.5</v>
      </c>
      <c r="H56" s="32">
        <f t="shared" si="23"/>
        <v>-3.8461538461538484E-2</v>
      </c>
      <c r="I56" s="101">
        <f>IF(ISNUMBER(G56), $B64 * H56, "")</f>
        <v>-3846.1538461538485</v>
      </c>
      <c r="J56" s="15">
        <v>51.6</v>
      </c>
      <c r="K56" s="32">
        <f t="shared" si="24"/>
        <v>-5.4945054945054944E-2</v>
      </c>
      <c r="L56" s="18">
        <f>IF(ISNUMBER(J56), $B64 * K56, "")</f>
        <v>-5494.5054945054944</v>
      </c>
      <c r="M56" s="31">
        <v>52.3</v>
      </c>
      <c r="N56" s="32">
        <f t="shared" si="25"/>
        <v>-4.2124542124542204E-2</v>
      </c>
      <c r="O56" s="18">
        <f>IF(ISNUMBER(M56), $B64 * N56, "")</f>
        <v>-4212.4542124542204</v>
      </c>
      <c r="Q56" s="235"/>
      <c r="R56" s="235"/>
      <c r="S56" s="235"/>
    </row>
    <row r="57" spans="1:19" ht="17.25" customHeight="1" thickBot="1">
      <c r="A57" s="162" t="s">
        <v>264</v>
      </c>
      <c r="B57" s="126">
        <v>93.4</v>
      </c>
      <c r="C57" s="77">
        <v>8.6393088999999999E-3</v>
      </c>
      <c r="D57" s="15">
        <v>91.6</v>
      </c>
      <c r="E57" s="32">
        <f t="shared" si="22"/>
        <v>-1.9271948608137166E-2</v>
      </c>
      <c r="F57" s="18">
        <f>IF(ISNUMBER(D57), $B64 * E57, "")</f>
        <v>-1927.1948608137166</v>
      </c>
      <c r="G57" s="31">
        <v>88.1</v>
      </c>
      <c r="H57" s="32">
        <f t="shared" si="23"/>
        <v>-5.6745182012848082E-2</v>
      </c>
      <c r="I57" s="101">
        <f>IF(ISNUMBER(G57), $B64 * H57, "")</f>
        <v>-5674.5182012848081</v>
      </c>
      <c r="J57" s="15">
        <v>86</v>
      </c>
      <c r="K57" s="32">
        <f t="shared" si="24"/>
        <v>-7.9229122055674575E-2</v>
      </c>
      <c r="L57" s="18">
        <f>IF(ISNUMBER(J57), $B64 * K57, "")</f>
        <v>-7922.9122055674579</v>
      </c>
      <c r="M57" s="31">
        <v>87.9</v>
      </c>
      <c r="N57" s="32">
        <f t="shared" si="25"/>
        <v>-5.8886509635974298E-2</v>
      </c>
      <c r="O57" s="18">
        <f>IF(ISNUMBER(M57), $B64 * N57, "")</f>
        <v>-5888.6509635974298</v>
      </c>
      <c r="Q57" s="245"/>
      <c r="R57" s="245"/>
      <c r="S57" s="245"/>
    </row>
    <row r="58" spans="1:19" ht="17.25" customHeight="1" thickBot="1">
      <c r="A58" s="163" t="s">
        <v>196</v>
      </c>
      <c r="B58" s="128">
        <v>12.1</v>
      </c>
      <c r="C58" s="78">
        <v>8.3333333000000006E-3</v>
      </c>
      <c r="D58" s="20">
        <v>12.1</v>
      </c>
      <c r="E58" s="21">
        <f t="shared" si="22"/>
        <v>0</v>
      </c>
      <c r="F58" s="22">
        <f>IF(ISNUMBER(D58), $B64 * E58, "")</f>
        <v>0</v>
      </c>
      <c r="G58" s="30">
        <v>11.6</v>
      </c>
      <c r="H58" s="21">
        <f t="shared" si="23"/>
        <v>-4.1322314049586778E-2</v>
      </c>
      <c r="I58" s="105">
        <f>IF(ISNUMBER(G58), $B64 * H58, "")</f>
        <v>-4132.2314049586776</v>
      </c>
      <c r="J58" s="20">
        <v>11.5</v>
      </c>
      <c r="K58" s="21">
        <f t="shared" si="24"/>
        <v>-4.9586776859504106E-2</v>
      </c>
      <c r="L58" s="22">
        <f>IF(ISNUMBER(J58), $B64 * K58, "")</f>
        <v>-4958.6776859504107</v>
      </c>
      <c r="M58" s="30">
        <v>11.6</v>
      </c>
      <c r="N58" s="21">
        <f t="shared" si="25"/>
        <v>-4.1322314049586778E-2</v>
      </c>
      <c r="O58" s="22">
        <f>IF(ISNUMBER(M58), $B64 * N58, "")</f>
        <v>-4132.2314049586776</v>
      </c>
      <c r="Q58" s="245"/>
      <c r="R58" s="245"/>
      <c r="S58" s="245"/>
    </row>
    <row r="59" spans="1:19" ht="17.25" customHeight="1" thickBot="1">
      <c r="A59" s="162" t="s">
        <v>186</v>
      </c>
      <c r="B59" s="129">
        <v>14.2</v>
      </c>
      <c r="C59" s="80">
        <v>7.0921986000000003E-3</v>
      </c>
      <c r="D59" s="106">
        <v>15</v>
      </c>
      <c r="E59" s="107">
        <f>IF(ISNUMBER(D59), (D59 - $B59) / $B59, "")</f>
        <v>5.6338028169014134E-2</v>
      </c>
      <c r="F59" s="108">
        <f>IF(ISNUMBER(D59), $B64 * E59, "")</f>
        <v>5633.8028169014133</v>
      </c>
      <c r="G59" s="109">
        <v>15.1</v>
      </c>
      <c r="H59" s="107">
        <f>IF(ISNUMBER(G59), (G59 - $B59) / $B59, "")</f>
        <v>6.3380281690140872E-2</v>
      </c>
      <c r="I59" s="110">
        <f>IF(ISNUMBER(G59), $B64 * H59, "")</f>
        <v>6338.0281690140873</v>
      </c>
      <c r="J59" s="106">
        <v>15.7</v>
      </c>
      <c r="K59" s="107">
        <f>IF(ISNUMBER(J59), (J59 - $B59) / $B59, "")</f>
        <v>0.10563380281690142</v>
      </c>
      <c r="L59" s="108">
        <f>IF(ISNUMBER(J59), $B64 * K59, "")</f>
        <v>10563.380281690143</v>
      </c>
      <c r="M59" s="109">
        <v>16.399999999999999</v>
      </c>
      <c r="N59" s="107">
        <f>IF(ISNUMBER(M59), (M59 - $B59) / $B59, "")</f>
        <v>0.15492957746478869</v>
      </c>
      <c r="O59" s="108">
        <f>IF(ISNUMBER(M59), $B64 * N59, "")</f>
        <v>15492.957746478869</v>
      </c>
      <c r="Q59" s="235"/>
      <c r="R59" s="235"/>
      <c r="S59" s="235"/>
    </row>
    <row r="60" spans="1:19" ht="17.25" customHeight="1" thickBot="1">
      <c r="A60" s="162" t="s">
        <v>214</v>
      </c>
      <c r="B60" s="126">
        <v>14.6</v>
      </c>
      <c r="C60" s="77">
        <v>6.8965516999999997E-3</v>
      </c>
      <c r="D60" s="15">
        <v>14.4</v>
      </c>
      <c r="E60" s="32">
        <f t="shared" ref="E60:E63" si="26">IF(ISNUMBER(D60), (D60 - $B60) / $B60, "")</f>
        <v>-1.3698630136986254E-2</v>
      </c>
      <c r="F60" s="18">
        <f>IF(ISNUMBER(D60), $B64 * E60, "")</f>
        <v>-1369.8630136986253</v>
      </c>
      <c r="G60" s="31">
        <v>13.8</v>
      </c>
      <c r="H60" s="32">
        <f t="shared" ref="H60:H63" si="27">IF(ISNUMBER(G60), (G60 - $B60) / $B60, "")</f>
        <v>-5.4794520547945133E-2</v>
      </c>
      <c r="I60" s="101">
        <f>IF(ISNUMBER(G60), $B64 * H60, "")</f>
        <v>-5479.4520547945131</v>
      </c>
      <c r="J60" s="15">
        <v>13.5</v>
      </c>
      <c r="K60" s="32">
        <f t="shared" ref="K60:K63" si="28">IF(ISNUMBER(J60), (J60 - $B60) / $B60, "")</f>
        <v>-7.5342465753424639E-2</v>
      </c>
      <c r="L60" s="18">
        <f>IF(ISNUMBER(J60), $B64 * K60, "")</f>
        <v>-7534.246575342464</v>
      </c>
      <c r="M60" s="31">
        <v>13.8</v>
      </c>
      <c r="N60" s="32">
        <f t="shared" ref="N60:N63" si="29">IF(ISNUMBER(M60), (M60 - $B60) / $B60, "")</f>
        <v>-5.4794520547945133E-2</v>
      </c>
      <c r="O60" s="18">
        <f>IF(ISNUMBER(M60), $B64 * N60, "")</f>
        <v>-5479.4520547945131</v>
      </c>
      <c r="Q60" s="235"/>
      <c r="R60" s="235"/>
      <c r="S60" s="235"/>
    </row>
    <row r="61" spans="1:19" ht="17.25" customHeight="1" thickBot="1">
      <c r="A61" s="162" t="s">
        <v>212</v>
      </c>
      <c r="B61" s="126">
        <v>80.5</v>
      </c>
      <c r="C61" s="77">
        <v>4.9937578E-3</v>
      </c>
      <c r="D61" s="15">
        <v>86.1</v>
      </c>
      <c r="E61" s="32">
        <f t="shared" si="26"/>
        <v>6.9565217391304279E-2</v>
      </c>
      <c r="F61" s="18">
        <f>IF(ISNUMBER(D61), $B64 * E61, "")</f>
        <v>6956.5217391304277</v>
      </c>
      <c r="G61" s="31">
        <v>82</v>
      </c>
      <c r="H61" s="32">
        <f t="shared" si="27"/>
        <v>1.8633540372670808E-2</v>
      </c>
      <c r="I61" s="101">
        <f>IF(ISNUMBER(G61), $B64 * H61, "")</f>
        <v>1863.3540372670807</v>
      </c>
      <c r="J61" s="15">
        <v>78.3</v>
      </c>
      <c r="K61" s="32">
        <f t="shared" si="28"/>
        <v>-2.7329192546583888E-2</v>
      </c>
      <c r="L61" s="18">
        <f>IF(ISNUMBER(J61), $B64 * K61, "")</f>
        <v>-2732.9192546583886</v>
      </c>
      <c r="M61" s="31">
        <v>81.099999999999994</v>
      </c>
      <c r="N61" s="32">
        <f t="shared" si="29"/>
        <v>7.4534161490682526E-3</v>
      </c>
      <c r="O61" s="18">
        <f>IF(ISNUMBER(M61), $B64 * N61, "")</f>
        <v>745.34161490682527</v>
      </c>
      <c r="Q61" s="235"/>
      <c r="R61" s="235"/>
      <c r="S61" s="235"/>
    </row>
    <row r="62" spans="1:19" ht="17.25" customHeight="1">
      <c r="A62" s="162" t="s">
        <v>152</v>
      </c>
      <c r="B62" s="126">
        <v>20.7</v>
      </c>
      <c r="C62" s="77">
        <v>4.8543689000000003E-3</v>
      </c>
      <c r="D62" s="15">
        <v>21.1</v>
      </c>
      <c r="E62" s="32">
        <f t="shared" si="26"/>
        <v>1.9323671497584644E-2</v>
      </c>
      <c r="F62" s="18">
        <f>IF(ISNUMBER(D62), $B64 * E62, "")</f>
        <v>1932.3671497584644</v>
      </c>
      <c r="G62" s="31">
        <v>20.2</v>
      </c>
      <c r="H62" s="32">
        <f t="shared" si="27"/>
        <v>-2.4154589371980676E-2</v>
      </c>
      <c r="I62" s="101">
        <f>IF(ISNUMBER(G62), $B64 * H62, "")</f>
        <v>-2415.4589371980678</v>
      </c>
      <c r="J62" s="15">
        <v>19.7</v>
      </c>
      <c r="K62" s="32">
        <f t="shared" si="28"/>
        <v>-4.8309178743961352E-2</v>
      </c>
      <c r="L62" s="18">
        <f>IF(ISNUMBER(J62), $B64 * K62, "")</f>
        <v>-4830.9178743961356</v>
      </c>
      <c r="M62" s="31">
        <v>20.2</v>
      </c>
      <c r="N62" s="32">
        <f t="shared" si="29"/>
        <v>-2.4154589371980676E-2</v>
      </c>
      <c r="O62" s="18">
        <f>IF(ISNUMBER(M62), $B64 * N62, "")</f>
        <v>-2415.4589371980678</v>
      </c>
      <c r="Q62" s="224"/>
      <c r="R62" s="225"/>
      <c r="S62" s="226"/>
    </row>
    <row r="63" spans="1:19" ht="17.25" customHeight="1" thickBot="1">
      <c r="A63" s="130" t="s">
        <v>65</v>
      </c>
      <c r="B63" s="131">
        <v>40.4</v>
      </c>
      <c r="C63" s="79">
        <v>2.4813895999999998E-3</v>
      </c>
      <c r="D63" s="24">
        <v>39</v>
      </c>
      <c r="E63" s="25">
        <f t="shared" si="26"/>
        <v>-3.4653465346534622E-2</v>
      </c>
      <c r="F63" s="104">
        <f>IF(ISNUMBER(D63), $B64 * E63, "")</f>
        <v>-3465.3465346534622</v>
      </c>
      <c r="G63" s="102">
        <v>37.9</v>
      </c>
      <c r="H63" s="25">
        <f t="shared" si="27"/>
        <v>-6.1881188118811881E-2</v>
      </c>
      <c r="I63" s="103">
        <f>IF(ISNUMBER(G63), $B64 * H63, "")</f>
        <v>-6188.1188118811879</v>
      </c>
      <c r="J63" s="24">
        <v>36.5</v>
      </c>
      <c r="K63" s="25">
        <f t="shared" si="28"/>
        <v>-9.6534653465346509E-2</v>
      </c>
      <c r="L63" s="104">
        <f>IF(ISNUMBER(J63), $B64 * K63, "")</f>
        <v>-9653.465346534651</v>
      </c>
      <c r="M63" s="102">
        <v>37.9</v>
      </c>
      <c r="N63" s="25">
        <f t="shared" si="29"/>
        <v>-6.1881188118811881E-2</v>
      </c>
      <c r="O63" s="104">
        <f>IF(ISNUMBER(M63), $B64 * N63, "")</f>
        <v>-6188.1188118811879</v>
      </c>
      <c r="Q63" s="227"/>
      <c r="R63" s="228"/>
      <c r="S63" s="229"/>
    </row>
    <row r="64" spans="1:19" ht="17.25" customHeight="1" thickBot="1">
      <c r="A64" s="132" t="s">
        <v>300</v>
      </c>
      <c r="B64" s="288">
        <f>$B$37</f>
        <v>100000</v>
      </c>
      <c r="C64" s="289"/>
      <c r="D64" s="26" t="s">
        <v>301</v>
      </c>
      <c r="E64" s="27">
        <f>IF(COUNT(E44:E63), SUM(E44:E63) / COUNT(E44:E63), 0)</f>
        <v>-2.6208805138094437E-4</v>
      </c>
      <c r="F64" s="28">
        <f>SUM(F44:F63)</f>
        <v>-524.17610276188952</v>
      </c>
      <c r="G64" s="26" t="s">
        <v>301</v>
      </c>
      <c r="H64" s="27">
        <f>IF(COUNT(H44:H63), SUM(H44:H63) / COUNT(H44:H63), 0)</f>
        <v>-3.446188370785417E-2</v>
      </c>
      <c r="I64" s="28">
        <f>SUM(I44:I63)</f>
        <v>-68923.767415708353</v>
      </c>
      <c r="J64" s="26" t="s">
        <v>301</v>
      </c>
      <c r="K64" s="27">
        <f>IF(COUNT(K44:K63), SUM(K44:K63) / COUNT(K44:K63), 0)</f>
        <v>-5.1558975636950131E-2</v>
      </c>
      <c r="L64" s="28">
        <f>SUM(L44:L63)</f>
        <v>-103117.95127390028</v>
      </c>
      <c r="M64" s="26" t="s">
        <v>301</v>
      </c>
      <c r="N64" s="27">
        <f>IF(COUNT(N44:N63), SUM(N44:N63) / COUNT(N44:N63), 0)</f>
        <v>-3.1797201201717681E-2</v>
      </c>
      <c r="O64" s="28">
        <f>SUM(O44:O63)</f>
        <v>-63594.402403435364</v>
      </c>
      <c r="Q64" s="230"/>
      <c r="R64" s="231"/>
      <c r="S64" s="232"/>
    </row>
    <row r="65" spans="1:19" ht="17.25" customHeight="1"/>
    <row r="66" spans="1:19" ht="17.25" customHeight="1" thickBot="1"/>
    <row r="67" spans="1:19" ht="17.25" thickBot="1">
      <c r="A67" s="246" t="s">
        <v>45</v>
      </c>
      <c r="B67" s="247"/>
      <c r="C67" s="247"/>
      <c r="D67" s="247"/>
      <c r="E67" s="247"/>
      <c r="F67" s="247"/>
      <c r="G67" s="247"/>
      <c r="H67" s="247"/>
      <c r="I67" s="247"/>
      <c r="J67" s="247"/>
      <c r="K67" s="247"/>
      <c r="L67" s="247"/>
      <c r="M67" s="247"/>
      <c r="N67" s="247"/>
      <c r="O67" s="248"/>
      <c r="Q67" s="245"/>
      <c r="R67" s="245"/>
      <c r="S67" s="245"/>
    </row>
    <row r="68" spans="1:19" ht="17.25" thickBot="1">
      <c r="A68" s="172" t="s">
        <v>297</v>
      </c>
      <c r="B68" s="246" t="s">
        <v>49</v>
      </c>
      <c r="C68" s="248"/>
      <c r="D68" s="246" t="s">
        <v>58</v>
      </c>
      <c r="E68" s="247"/>
      <c r="F68" s="248"/>
      <c r="G68" s="249">
        <f>_xlfn.IFNA(VLOOKUP(B68, 현재가테이블!$B$2:$D$200, 2, FALSE), "-")</f>
        <v>45335000</v>
      </c>
      <c r="H68" s="250"/>
      <c r="I68" s="251"/>
      <c r="J68" s="246" t="s">
        <v>59</v>
      </c>
      <c r="K68" s="247"/>
      <c r="L68" s="248"/>
      <c r="M68" s="252">
        <f>_xlfn.IFNA(VLOOKUP(B68, 현재가테이블!$B$2:$D$200, 3, FALSE), "-")</f>
        <v>-2.27209037E-2</v>
      </c>
      <c r="N68" s="253"/>
      <c r="O68" s="254"/>
      <c r="Q68" s="245"/>
      <c r="R68" s="245"/>
      <c r="S68" s="245"/>
    </row>
    <row r="69" spans="1:19" ht="17.25" thickBot="1">
      <c r="A69" s="290" t="s">
        <v>55</v>
      </c>
      <c r="B69" s="286" t="str">
        <f>TEXT($G$1, "[$-ko-KR]yyyy-mm-dd(ddd) ") &amp; "오전 00:00"</f>
        <v>2021-06-04(금) 오전 00:00</v>
      </c>
      <c r="C69" s="287"/>
      <c r="D69" s="259" t="str">
        <f>TEXT($G$1, "[$-ko-KR]yyyy-mm-dd(ddd) ") &amp; "오후 14:00"</f>
        <v>2021-06-04(금) 오후 14:00</v>
      </c>
      <c r="E69" s="260"/>
      <c r="F69" s="261"/>
      <c r="G69" s="259" t="str">
        <f>TEXT($G$1, "[$-ko-KR]yyyy-mm-dd(ddd) ") &amp; "오후 19:00"</f>
        <v>2021-06-04(금) 오후 19:00</v>
      </c>
      <c r="H69" s="260"/>
      <c r="I69" s="261"/>
      <c r="J69" s="259" t="str">
        <f>TEXT($G$1, "[$-ko-KR]yyyy-mm-dd(ddd) ") &amp; "오후 21:00"</f>
        <v>2021-06-04(금) 오후 21:00</v>
      </c>
      <c r="K69" s="260"/>
      <c r="L69" s="261"/>
      <c r="M69" s="259" t="str">
        <f>TEXT($G$1+1, "[$-ko-KR]yyyy-mm-dd(ddd) ") &amp; "오전 00:00"</f>
        <v>2021-06-05(토) 오전 00:00</v>
      </c>
      <c r="N69" s="260"/>
      <c r="O69" s="261"/>
      <c r="Q69" s="245"/>
      <c r="R69" s="245"/>
      <c r="S69" s="245"/>
    </row>
    <row r="70" spans="1:19" ht="17.25" thickBot="1">
      <c r="A70" s="291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73" t="s">
        <v>58</v>
      </c>
      <c r="H70" s="174" t="s">
        <v>298</v>
      </c>
      <c r="I70" s="175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5"/>
      <c r="R70" s="235"/>
      <c r="S70" s="235"/>
    </row>
    <row r="71" spans="1:19" ht="17.25" thickBot="1">
      <c r="A71" s="161" t="s">
        <v>136</v>
      </c>
      <c r="B71" s="124">
        <v>164</v>
      </c>
      <c r="C71" s="76">
        <v>0.14685314690000001</v>
      </c>
      <c r="D71" s="13">
        <v>155</v>
      </c>
      <c r="E71" s="14">
        <f>IF(ISNUMBER(D71), (D71 - $B71) / $B71, "")</f>
        <v>-5.4878048780487805E-2</v>
      </c>
      <c r="F71" s="16">
        <f>IF(ISNUMBER(D71), $B91 * E71, "")</f>
        <v>-5487.8048780487807</v>
      </c>
      <c r="G71" s="29">
        <v>149</v>
      </c>
      <c r="H71" s="14">
        <f>IF(ISNUMBER(G71), (G71 - $B71) / $B71, "")</f>
        <v>-9.1463414634146339E-2</v>
      </c>
      <c r="I71" s="100">
        <f>IF(ISNUMBER(G71), $B91 * H71, "")</f>
        <v>-9146.3414634146338</v>
      </c>
      <c r="J71" s="13">
        <v>143</v>
      </c>
      <c r="K71" s="14">
        <f>IF(ISNUMBER(J71), (J71 - $B71) / $B71, "")</f>
        <v>-0.12804878048780488</v>
      </c>
      <c r="L71" s="16">
        <f>IF(ISNUMBER(J71), $B91 * K71, "")</f>
        <v>-12804.878048780489</v>
      </c>
      <c r="M71" s="29">
        <v>148</v>
      </c>
      <c r="N71" s="14">
        <f>IF(ISNUMBER(M71), (M71 - $B71) / $B71, "")</f>
        <v>-9.7560975609756101E-2</v>
      </c>
      <c r="O71" s="16">
        <f>IF(ISNUMBER(M71), $B91 * N71, "")</f>
        <v>-9756.0975609756097</v>
      </c>
      <c r="Q71" s="245"/>
      <c r="R71" s="245"/>
      <c r="S71" s="245"/>
    </row>
    <row r="72" spans="1:19" ht="17.25" thickBot="1">
      <c r="A72" s="162" t="s">
        <v>112</v>
      </c>
      <c r="B72" s="126">
        <v>186</v>
      </c>
      <c r="C72" s="77">
        <v>0.1272727273</v>
      </c>
      <c r="D72" s="15">
        <v>206</v>
      </c>
      <c r="E72" s="32">
        <f t="shared" ref="E72:E75" si="30">IF(ISNUMBER(D72), (D72 - $B72) / $B72, "")</f>
        <v>0.10752688172043011</v>
      </c>
      <c r="F72" s="18">
        <f>IF(ISNUMBER(D72), $B91 * E72, "")</f>
        <v>10752.68817204301</v>
      </c>
      <c r="G72" s="31">
        <v>204</v>
      </c>
      <c r="H72" s="32">
        <f t="shared" ref="H72:H75" si="31">IF(ISNUMBER(G72), (G72 - $B72) / $B72, "")</f>
        <v>9.6774193548387094E-2</v>
      </c>
      <c r="I72" s="101">
        <f>IF(ISNUMBER(G72), $B91 * H72, "")</f>
        <v>9677.4193548387102</v>
      </c>
      <c r="J72" s="15">
        <v>195</v>
      </c>
      <c r="K72" s="32">
        <f t="shared" ref="K72:K75" si="32">IF(ISNUMBER(J72), (J72 - $B72) / $B72, "")</f>
        <v>4.8387096774193547E-2</v>
      </c>
      <c r="L72" s="18">
        <f>IF(ISNUMBER(J72), $B91 * K72, "")</f>
        <v>4838.7096774193551</v>
      </c>
      <c r="M72" s="31">
        <v>196</v>
      </c>
      <c r="N72" s="32">
        <f t="shared" ref="N72:N75" si="33">IF(ISNUMBER(M72), (M72 - $B72) / $B72, "")</f>
        <v>5.3763440860215055E-2</v>
      </c>
      <c r="O72" s="18">
        <f>IF(ISNUMBER(M72), $B91 * N72, "")</f>
        <v>5376.3440860215051</v>
      </c>
      <c r="Q72" s="245"/>
      <c r="R72" s="245"/>
      <c r="S72" s="245"/>
    </row>
    <row r="73" spans="1:19" ht="17.25" thickBot="1">
      <c r="A73" s="162" t="s">
        <v>142</v>
      </c>
      <c r="B73" s="126">
        <v>465</v>
      </c>
      <c r="C73" s="77">
        <v>9.6698113200000005E-2</v>
      </c>
      <c r="D73" s="15">
        <v>479</v>
      </c>
      <c r="E73" s="32">
        <f t="shared" si="30"/>
        <v>3.0107526881720432E-2</v>
      </c>
      <c r="F73" s="18">
        <f>IF(ISNUMBER(D73), $B91 * E73, "")</f>
        <v>3010.7526881720432</v>
      </c>
      <c r="G73" s="31">
        <v>446</v>
      </c>
      <c r="H73" s="32">
        <f t="shared" si="31"/>
        <v>-4.0860215053763443E-2</v>
      </c>
      <c r="I73" s="101">
        <f>IF(ISNUMBER(G73), $B91 * H73, "")</f>
        <v>-4086.0215053763445</v>
      </c>
      <c r="J73" s="15">
        <v>421</v>
      </c>
      <c r="K73" s="32">
        <f t="shared" si="32"/>
        <v>-9.4623655913978491E-2</v>
      </c>
      <c r="L73" s="18">
        <f>IF(ISNUMBER(J73), $B91 * K73, "")</f>
        <v>-9462.3655913978491</v>
      </c>
      <c r="M73" s="31">
        <v>488</v>
      </c>
      <c r="N73" s="32">
        <f t="shared" si="33"/>
        <v>4.9462365591397849E-2</v>
      </c>
      <c r="O73" s="18">
        <f>IF(ISNUMBER(M73), $B91 * N73, "")</f>
        <v>4946.2365591397847</v>
      </c>
      <c r="Q73" s="235"/>
      <c r="R73" s="235"/>
      <c r="S73" s="235"/>
    </row>
    <row r="74" spans="1:19" ht="17.25" thickBot="1">
      <c r="A74" s="162" t="s">
        <v>54</v>
      </c>
      <c r="B74" s="126">
        <v>290</v>
      </c>
      <c r="C74" s="77">
        <v>7.4074074099999998E-2</v>
      </c>
      <c r="D74" s="15">
        <v>284</v>
      </c>
      <c r="E74" s="32">
        <f t="shared" si="30"/>
        <v>-2.0689655172413793E-2</v>
      </c>
      <c r="F74" s="18">
        <f>IF(ISNUMBER(D74), $B91 * E74, "")</f>
        <v>-2068.9655172413791</v>
      </c>
      <c r="G74" s="31">
        <v>273</v>
      </c>
      <c r="H74" s="32">
        <f t="shared" si="31"/>
        <v>-5.8620689655172413E-2</v>
      </c>
      <c r="I74" s="101">
        <f>IF(ISNUMBER(G74), $B91 * H74, "")</f>
        <v>-5862.0689655172409</v>
      </c>
      <c r="J74" s="15">
        <v>263</v>
      </c>
      <c r="K74" s="32">
        <f t="shared" si="32"/>
        <v>-9.3103448275862075E-2</v>
      </c>
      <c r="L74" s="18">
        <f>IF(ISNUMBER(J74), $B91 * K74, "")</f>
        <v>-9310.3448275862083</v>
      </c>
      <c r="M74" s="31">
        <v>273</v>
      </c>
      <c r="N74" s="32">
        <f t="shared" si="33"/>
        <v>-5.8620689655172413E-2</v>
      </c>
      <c r="O74" s="18">
        <f>IF(ISNUMBER(M74), $B91 * N74, "")</f>
        <v>-5862.0689655172409</v>
      </c>
      <c r="Q74" s="235"/>
      <c r="R74" s="235"/>
      <c r="S74" s="235"/>
    </row>
    <row r="75" spans="1:19" ht="17.25" thickBot="1">
      <c r="A75" s="163" t="s">
        <v>132</v>
      </c>
      <c r="B75" s="128">
        <v>157</v>
      </c>
      <c r="C75" s="78">
        <v>6.8027210899999996E-2</v>
      </c>
      <c r="D75" s="20">
        <v>167</v>
      </c>
      <c r="E75" s="21">
        <f t="shared" si="30"/>
        <v>6.3694267515923567E-2</v>
      </c>
      <c r="F75" s="22">
        <f>IF(ISNUMBER(D75), $B91 * E75, "")</f>
        <v>6369.4267515923566</v>
      </c>
      <c r="G75" s="30">
        <v>159</v>
      </c>
      <c r="H75" s="21">
        <f t="shared" si="31"/>
        <v>1.2738853503184714E-2</v>
      </c>
      <c r="I75" s="105">
        <f>IF(ISNUMBER(G75), $B91 * H75, "")</f>
        <v>1273.8853503184714</v>
      </c>
      <c r="J75" s="20">
        <v>150</v>
      </c>
      <c r="K75" s="21">
        <f t="shared" si="32"/>
        <v>-4.4585987261146494E-2</v>
      </c>
      <c r="L75" s="22">
        <f>IF(ISNUMBER(J75), $B91 * K75, "")</f>
        <v>-4458.5987261146493</v>
      </c>
      <c r="M75" s="30">
        <v>157</v>
      </c>
      <c r="N75" s="21">
        <f t="shared" si="33"/>
        <v>0</v>
      </c>
      <c r="O75" s="22">
        <f>IF(ISNUMBER(M75), $B91 * N75, "")</f>
        <v>0</v>
      </c>
      <c r="Q75" s="235"/>
      <c r="R75" s="235"/>
      <c r="S75" s="235"/>
    </row>
    <row r="76" spans="1:19" ht="17.25" thickBot="1">
      <c r="A76" s="162" t="s">
        <v>128</v>
      </c>
      <c r="B76" s="129">
        <v>417</v>
      </c>
      <c r="C76" s="80">
        <v>6.3775510199999996E-2</v>
      </c>
      <c r="D76" s="106">
        <v>393</v>
      </c>
      <c r="E76" s="107">
        <f>IF(ISNUMBER(D76), (D76 - $B76) / $B76, "")</f>
        <v>-5.7553956834532377E-2</v>
      </c>
      <c r="F76" s="108">
        <f>IF(ISNUMBER(D76), $B91 * E76, "")</f>
        <v>-5755.3956834532373</v>
      </c>
      <c r="G76" s="109">
        <v>377</v>
      </c>
      <c r="H76" s="107">
        <f>IF(ISNUMBER(G76), (G76 - $B76) / $B76, "")</f>
        <v>-9.5923261390887291E-2</v>
      </c>
      <c r="I76" s="110">
        <f>IF(ISNUMBER(G76), $B91 * H76, "")</f>
        <v>-9592.3261390887292</v>
      </c>
      <c r="J76" s="106">
        <v>368</v>
      </c>
      <c r="K76" s="107">
        <f>IF(ISNUMBER(J76), (J76 - $B76) / $B76, "")</f>
        <v>-0.11750599520383694</v>
      </c>
      <c r="L76" s="108">
        <f>IF(ISNUMBER(J76), $B91 * K76, "")</f>
        <v>-11750.599520383694</v>
      </c>
      <c r="M76" s="109">
        <v>378</v>
      </c>
      <c r="N76" s="107">
        <f>IF(ISNUMBER(M76), (M76 - $B76) / $B76, "")</f>
        <v>-9.3525179856115109E-2</v>
      </c>
      <c r="O76" s="108">
        <f>IF(ISNUMBER(M76), $B91 * N76, "")</f>
        <v>-9352.5179856115101</v>
      </c>
      <c r="Q76" s="235"/>
      <c r="R76" s="235"/>
      <c r="S76" s="235"/>
    </row>
    <row r="77" spans="1:19" ht="17.25" thickBot="1">
      <c r="A77" s="162" t="s">
        <v>240</v>
      </c>
      <c r="B77" s="126">
        <v>137</v>
      </c>
      <c r="C77" s="77">
        <v>6.2015503899999998E-2</v>
      </c>
      <c r="D77" s="15">
        <v>134</v>
      </c>
      <c r="E77" s="32">
        <f t="shared" ref="E77:E80" si="34">IF(ISNUMBER(D77), (D77 - $B77) / $B77, "")</f>
        <v>-2.1897810218978103E-2</v>
      </c>
      <c r="F77" s="18">
        <f>IF(ISNUMBER(D77), $B91 * E77, "")</f>
        <v>-2189.7810218978102</v>
      </c>
      <c r="G77" s="31">
        <v>127</v>
      </c>
      <c r="H77" s="32">
        <f t="shared" ref="H77:H80" si="35">IF(ISNUMBER(G77), (G77 - $B77) / $B77, "")</f>
        <v>-7.2992700729927001E-2</v>
      </c>
      <c r="I77" s="101">
        <f>IF(ISNUMBER(G77), $B91 * H77, "")</f>
        <v>-7299.2700729927001</v>
      </c>
      <c r="J77" s="15">
        <v>126</v>
      </c>
      <c r="K77" s="32">
        <f t="shared" ref="K77:K80" si="36">IF(ISNUMBER(J77), (J77 - $B77) / $B77, "")</f>
        <v>-8.0291970802919707E-2</v>
      </c>
      <c r="L77" s="18">
        <f>IF(ISNUMBER(J77), $B91 * K77, "")</f>
        <v>-8029.1970802919705</v>
      </c>
      <c r="M77" s="31">
        <v>128</v>
      </c>
      <c r="N77" s="32">
        <f t="shared" ref="N77:N80" si="37">IF(ISNUMBER(M77), (M77 - $B77) / $B77, "")</f>
        <v>-6.569343065693431E-2</v>
      </c>
      <c r="O77" s="18">
        <f>IF(ISNUMBER(M77), $B91 * N77, "")</f>
        <v>-6569.3430656934306</v>
      </c>
      <c r="Q77" s="235"/>
      <c r="R77" s="235"/>
      <c r="S77" s="235"/>
    </row>
    <row r="78" spans="1:19" ht="17.25" thickBot="1">
      <c r="A78" s="162" t="s">
        <v>88</v>
      </c>
      <c r="B78" s="126">
        <v>337</v>
      </c>
      <c r="C78" s="77">
        <v>4.33436533E-2</v>
      </c>
      <c r="D78" s="15">
        <v>327</v>
      </c>
      <c r="E78" s="32">
        <f t="shared" si="34"/>
        <v>-2.967359050445104E-2</v>
      </c>
      <c r="F78" s="18">
        <f>IF(ISNUMBER(D78), $B91 * E78, "")</f>
        <v>-2967.359050445104</v>
      </c>
      <c r="G78" s="31">
        <v>314</v>
      </c>
      <c r="H78" s="32">
        <f t="shared" si="35"/>
        <v>-6.8249258160237386E-2</v>
      </c>
      <c r="I78" s="101">
        <f>IF(ISNUMBER(G78), $B91 * H78, "")</f>
        <v>-6824.9258160237387</v>
      </c>
      <c r="J78" s="15">
        <v>306</v>
      </c>
      <c r="K78" s="32">
        <f t="shared" si="36"/>
        <v>-9.1988130563798218E-2</v>
      </c>
      <c r="L78" s="18">
        <f>IF(ISNUMBER(J78), $B91 * K78, "")</f>
        <v>-9198.8130563798222</v>
      </c>
      <c r="M78" s="31">
        <v>315</v>
      </c>
      <c r="N78" s="32">
        <f t="shared" si="37"/>
        <v>-6.5281899109792291E-2</v>
      </c>
      <c r="O78" s="18">
        <f>IF(ISNUMBER(M78), $B91 * N78, "")</f>
        <v>-6528.1899109792294</v>
      </c>
      <c r="Q78" s="235"/>
      <c r="R78" s="235"/>
      <c r="S78" s="235"/>
    </row>
    <row r="79" spans="1:19" ht="17.25" thickBot="1">
      <c r="A79" s="162" t="s">
        <v>116</v>
      </c>
      <c r="B79" s="126">
        <v>398</v>
      </c>
      <c r="C79" s="77">
        <v>3.1088082900000001E-2</v>
      </c>
      <c r="D79" s="15">
        <v>406</v>
      </c>
      <c r="E79" s="32">
        <f t="shared" si="34"/>
        <v>2.0100502512562814E-2</v>
      </c>
      <c r="F79" s="18">
        <f>IF(ISNUMBER(D79), $B91 * E79, "")</f>
        <v>2010.0502512562814</v>
      </c>
      <c r="G79" s="31">
        <v>385</v>
      </c>
      <c r="H79" s="32">
        <f t="shared" si="35"/>
        <v>-3.2663316582914576E-2</v>
      </c>
      <c r="I79" s="101">
        <f>IF(ISNUMBER(G79), $B91 * H79, "")</f>
        <v>-3266.3316582914576</v>
      </c>
      <c r="J79" s="15">
        <v>368</v>
      </c>
      <c r="K79" s="32">
        <f t="shared" si="36"/>
        <v>-7.5376884422110546E-2</v>
      </c>
      <c r="L79" s="18">
        <f>IF(ISNUMBER(J79), $B91 * K79, "")</f>
        <v>-7537.6884422110543</v>
      </c>
      <c r="M79" s="31">
        <v>384</v>
      </c>
      <c r="N79" s="32">
        <f t="shared" si="37"/>
        <v>-3.5175879396984924E-2</v>
      </c>
      <c r="O79" s="18">
        <f>IF(ISNUMBER(M79), $B91 * N79, "")</f>
        <v>-3517.5879396984924</v>
      </c>
      <c r="Q79" s="33"/>
      <c r="R79" s="33"/>
    </row>
    <row r="80" spans="1:19" ht="17.25" thickBot="1">
      <c r="A80" s="130" t="s">
        <v>202</v>
      </c>
      <c r="B80" s="131">
        <v>128</v>
      </c>
      <c r="C80" s="79">
        <v>2.4E-2</v>
      </c>
      <c r="D80" s="24">
        <v>131</v>
      </c>
      <c r="E80" s="25">
        <f t="shared" si="34"/>
        <v>2.34375E-2</v>
      </c>
      <c r="F80" s="104">
        <f>IF(ISNUMBER(D80), $B91 * E80, "")</f>
        <v>2343.75</v>
      </c>
      <c r="G80" s="102">
        <v>126</v>
      </c>
      <c r="H80" s="25">
        <f t="shared" si="35"/>
        <v>-1.5625E-2</v>
      </c>
      <c r="I80" s="103">
        <f>IF(ISNUMBER(G80), $B91 * H80, "")</f>
        <v>-1562.5</v>
      </c>
      <c r="J80" s="24">
        <v>121</v>
      </c>
      <c r="K80" s="25">
        <f t="shared" si="36"/>
        <v>-5.46875E-2</v>
      </c>
      <c r="L80" s="104">
        <f>IF(ISNUMBER(J80), $B91 * K80, "")</f>
        <v>-5468.75</v>
      </c>
      <c r="M80" s="102">
        <v>123</v>
      </c>
      <c r="N80" s="25">
        <f t="shared" si="37"/>
        <v>-3.90625E-2</v>
      </c>
      <c r="O80" s="104">
        <f>IF(ISNUMBER(M80), $B91 * N80, "")</f>
        <v>-3906.25</v>
      </c>
      <c r="Q80" s="236"/>
      <c r="R80" s="237"/>
      <c r="S80" s="238"/>
    </row>
    <row r="81" spans="1:19">
      <c r="A81" s="161" t="s">
        <v>148</v>
      </c>
      <c r="B81" s="124">
        <v>129</v>
      </c>
      <c r="C81" s="76">
        <v>2.3809523799999999E-2</v>
      </c>
      <c r="D81" s="13">
        <v>123</v>
      </c>
      <c r="E81" s="14">
        <f>IF(ISNUMBER(D81), (D81 - $B81) / $B81, "")</f>
        <v>-4.6511627906976744E-2</v>
      </c>
      <c r="F81" s="16">
        <f>IF(ISNUMBER(D81), $B91 * E81, "")</f>
        <v>-4651.1627906976746</v>
      </c>
      <c r="G81" s="29">
        <v>118</v>
      </c>
      <c r="H81" s="14">
        <f>IF(ISNUMBER(G81), (G81 - $B81) / $B81, "")</f>
        <v>-8.5271317829457363E-2</v>
      </c>
      <c r="I81" s="100">
        <f>IF(ISNUMBER(G81), $B91 * H81, "")</f>
        <v>-8527.1317829457366</v>
      </c>
      <c r="J81" s="13">
        <v>117</v>
      </c>
      <c r="K81" s="14">
        <f>IF(ISNUMBER(J81), (J81 - $B81) / $B81, "")</f>
        <v>-9.3023255813953487E-2</v>
      </c>
      <c r="L81" s="16">
        <f>IF(ISNUMBER(J81), $B91 * K81, "")</f>
        <v>-9302.3255813953492</v>
      </c>
      <c r="M81" s="29">
        <v>120</v>
      </c>
      <c r="N81" s="14">
        <f>IF(ISNUMBER(M81), (M81 - $B81) / $B81, "")</f>
        <v>-6.9767441860465115E-2</v>
      </c>
      <c r="O81" s="16">
        <f>IF(ISNUMBER(M81), $B91 * N81, "")</f>
        <v>-6976.7441860465115</v>
      </c>
      <c r="Q81" s="239"/>
      <c r="R81" s="240"/>
      <c r="S81" s="241"/>
    </row>
    <row r="82" spans="1:19" ht="17.25" thickBot="1">
      <c r="A82" s="162" t="s">
        <v>200</v>
      </c>
      <c r="B82" s="126">
        <v>220</v>
      </c>
      <c r="C82" s="77">
        <v>2.3255814E-2</v>
      </c>
      <c r="D82" s="15">
        <v>217</v>
      </c>
      <c r="E82" s="32">
        <f t="shared" ref="E82:E85" si="38">IF(ISNUMBER(D82), (D82 - $B82) / $B82, "")</f>
        <v>-1.3636363636363636E-2</v>
      </c>
      <c r="F82" s="18">
        <f>IF(ISNUMBER(D82), $B91 * E82, "")</f>
        <v>-1363.6363636363635</v>
      </c>
      <c r="G82" s="31">
        <v>208</v>
      </c>
      <c r="H82" s="32">
        <f t="shared" ref="H82:H85" si="39">IF(ISNUMBER(G82), (G82 - $B82) / $B82, "")</f>
        <v>-5.4545454545454543E-2</v>
      </c>
      <c r="I82" s="101">
        <f>IF(ISNUMBER(G82), $B91 * H82, "")</f>
        <v>-5454.545454545454</v>
      </c>
      <c r="J82" s="15">
        <v>207</v>
      </c>
      <c r="K82" s="32">
        <f t="shared" ref="K82:K85" si="40">IF(ISNUMBER(J82), (J82 - $B82) / $B82, "")</f>
        <v>-5.909090909090909E-2</v>
      </c>
      <c r="L82" s="18">
        <f>IF(ISNUMBER(J82), $B91 * K82, "")</f>
        <v>-5909.090909090909</v>
      </c>
      <c r="M82" s="31">
        <v>225</v>
      </c>
      <c r="N82" s="32">
        <f t="shared" ref="N82:N85" si="41">IF(ISNUMBER(M82), (M82 - $B82) / $B82, "")</f>
        <v>2.2727272727272728E-2</v>
      </c>
      <c r="O82" s="18">
        <f>IF(ISNUMBER(M82), $B91 * N82, "")</f>
        <v>2272.727272727273</v>
      </c>
      <c r="Q82" s="242"/>
      <c r="R82" s="243"/>
      <c r="S82" s="244"/>
    </row>
    <row r="83" spans="1:19" ht="17.25" thickBot="1">
      <c r="A83" s="162" t="s">
        <v>57</v>
      </c>
      <c r="B83" s="126">
        <v>232</v>
      </c>
      <c r="C83" s="77">
        <v>2.2026431700000002E-2</v>
      </c>
      <c r="D83" s="15">
        <v>229</v>
      </c>
      <c r="E83" s="32">
        <f t="shared" si="38"/>
        <v>-1.2931034482758621E-2</v>
      </c>
      <c r="F83" s="18">
        <f>IF(ISNUMBER(D83), $B91 * E83, "")</f>
        <v>-1293.1034482758621</v>
      </c>
      <c r="G83" s="31">
        <v>219</v>
      </c>
      <c r="H83" s="32">
        <f t="shared" si="39"/>
        <v>-5.6034482758620691E-2</v>
      </c>
      <c r="I83" s="101">
        <f>IF(ISNUMBER(G83), $B91 * H83, "")</f>
        <v>-5603.4482758620688</v>
      </c>
      <c r="J83" s="15">
        <v>213</v>
      </c>
      <c r="K83" s="32">
        <f t="shared" si="40"/>
        <v>-8.1896551724137928E-2</v>
      </c>
      <c r="L83" s="18">
        <f>IF(ISNUMBER(J83), $B91 * K83, "")</f>
        <v>-8189.6551724137926</v>
      </c>
      <c r="M83" s="31">
        <v>220</v>
      </c>
      <c r="N83" s="32">
        <f t="shared" si="41"/>
        <v>-5.1724137931034482E-2</v>
      </c>
      <c r="O83" s="18">
        <f>IF(ISNUMBER(M83), $B91 * N83, "")</f>
        <v>-5172.4137931034484</v>
      </c>
      <c r="Q83" s="235"/>
      <c r="R83" s="235"/>
      <c r="S83" s="235"/>
    </row>
    <row r="84" spans="1:19" ht="17.25" thickBot="1">
      <c r="A84" s="162" t="s">
        <v>80</v>
      </c>
      <c r="B84" s="126">
        <v>945</v>
      </c>
      <c r="C84" s="77">
        <v>1.9417475699999999E-2</v>
      </c>
      <c r="D84" s="15">
        <v>921</v>
      </c>
      <c r="E84" s="32">
        <f t="shared" si="38"/>
        <v>-2.5396825396825397E-2</v>
      </c>
      <c r="F84" s="18">
        <f>IF(ISNUMBER(D84), $B91 * E84, "")</f>
        <v>-2539.6825396825398</v>
      </c>
      <c r="G84" s="31">
        <v>880</v>
      </c>
      <c r="H84" s="32">
        <f t="shared" si="39"/>
        <v>-6.8783068783068779E-2</v>
      </c>
      <c r="I84" s="101">
        <f>IF(ISNUMBER(G84), $B91 * H84, "")</f>
        <v>-6878.3068783068775</v>
      </c>
      <c r="J84" s="15">
        <v>867</v>
      </c>
      <c r="K84" s="32">
        <f t="shared" si="40"/>
        <v>-8.2539682539682538E-2</v>
      </c>
      <c r="L84" s="18">
        <f>IF(ISNUMBER(J84), $B91 * K84, "")</f>
        <v>-8253.9682539682544</v>
      </c>
      <c r="M84" s="31">
        <v>898</v>
      </c>
      <c r="N84" s="32">
        <f t="shared" si="41"/>
        <v>-4.9735449735449737E-2</v>
      </c>
      <c r="O84" s="18">
        <f>IF(ISNUMBER(M84), $B91 * N84, "")</f>
        <v>-4973.5449735449738</v>
      </c>
      <c r="Q84" s="245"/>
      <c r="R84" s="245"/>
      <c r="S84" s="245"/>
    </row>
    <row r="85" spans="1:19" ht="17.25" thickBot="1">
      <c r="A85" s="163" t="s">
        <v>230</v>
      </c>
      <c r="B85" s="128">
        <v>118</v>
      </c>
      <c r="C85" s="78">
        <v>1.7241379300000002E-2</v>
      </c>
      <c r="D85" s="20">
        <v>115</v>
      </c>
      <c r="E85" s="21">
        <f t="shared" si="38"/>
        <v>-2.5423728813559324E-2</v>
      </c>
      <c r="F85" s="22">
        <f>IF(ISNUMBER(D85), $B91 * E85, "")</f>
        <v>-2542.3728813559323</v>
      </c>
      <c r="G85" s="30">
        <v>113</v>
      </c>
      <c r="H85" s="21">
        <f t="shared" si="39"/>
        <v>-4.2372881355932202E-2</v>
      </c>
      <c r="I85" s="105">
        <f>IF(ISNUMBER(G85), $B91 * H85, "")</f>
        <v>-4237.2881355932204</v>
      </c>
      <c r="J85" s="20">
        <v>111</v>
      </c>
      <c r="K85" s="21">
        <f t="shared" si="40"/>
        <v>-5.9322033898305086E-2</v>
      </c>
      <c r="L85" s="22">
        <f>IF(ISNUMBER(J85), $B91 * K85, "")</f>
        <v>-5932.203389830509</v>
      </c>
      <c r="M85" s="30">
        <v>112</v>
      </c>
      <c r="N85" s="21">
        <f t="shared" si="41"/>
        <v>-5.0847457627118647E-2</v>
      </c>
      <c r="O85" s="22">
        <f>IF(ISNUMBER(M85), $B91 * N85, "")</f>
        <v>-5084.7457627118647</v>
      </c>
      <c r="Q85" s="245"/>
      <c r="R85" s="245"/>
      <c r="S85" s="245"/>
    </row>
    <row r="86" spans="1:19" ht="17.25" thickBot="1">
      <c r="A86" s="162" t="s">
        <v>262</v>
      </c>
      <c r="B86" s="129">
        <v>664</v>
      </c>
      <c r="C86" s="80">
        <v>1.5290519900000001E-2</v>
      </c>
      <c r="D86" s="106">
        <v>655</v>
      </c>
      <c r="E86" s="107">
        <f>IF(ISNUMBER(D86), (D86 - $B86) / $B86, "")</f>
        <v>-1.355421686746988E-2</v>
      </c>
      <c r="F86" s="108">
        <f>IF(ISNUMBER(D86), $B91 * E86, "")</f>
        <v>-1355.4216867469879</v>
      </c>
      <c r="G86" s="109">
        <v>627</v>
      </c>
      <c r="H86" s="107">
        <f>IF(ISNUMBER(G86), (G86 - $B86) / $B86, "")</f>
        <v>-5.5722891566265059E-2</v>
      </c>
      <c r="I86" s="110">
        <f>IF(ISNUMBER(G86), $B91 * H86, "")</f>
        <v>-5572.2891566265062</v>
      </c>
      <c r="J86" s="106">
        <v>611</v>
      </c>
      <c r="K86" s="107">
        <f>IF(ISNUMBER(J86), (J86 - $B86) / $B86, "")</f>
        <v>-7.9819277108433728E-2</v>
      </c>
      <c r="L86" s="108">
        <f>IF(ISNUMBER(J86), $B91 * K86, "")</f>
        <v>-7981.9277108433726</v>
      </c>
      <c r="M86" s="109">
        <v>624</v>
      </c>
      <c r="N86" s="107">
        <f>IF(ISNUMBER(M86), (M86 - $B86) / $B86, "")</f>
        <v>-6.0240963855421686E-2</v>
      </c>
      <c r="O86" s="108">
        <f>IF(ISNUMBER(M86), $B91 * N86, "")</f>
        <v>-6024.0963855421687</v>
      </c>
      <c r="Q86" s="235"/>
      <c r="R86" s="235"/>
      <c r="S86" s="235"/>
    </row>
    <row r="87" spans="1:19" ht="17.25" thickBot="1">
      <c r="A87" s="162" t="s">
        <v>120</v>
      </c>
      <c r="B87" s="126">
        <v>149</v>
      </c>
      <c r="C87" s="77">
        <v>1.36054422E-2</v>
      </c>
      <c r="D87" s="15">
        <v>146</v>
      </c>
      <c r="E87" s="32">
        <f t="shared" ref="E87:E90" si="42">IF(ISNUMBER(D87), (D87 - $B87) / $B87, "")</f>
        <v>-2.0134228187919462E-2</v>
      </c>
      <c r="F87" s="18">
        <f>IF(ISNUMBER(D87), $B91 * E87, "")</f>
        <v>-2013.4228187919462</v>
      </c>
      <c r="G87" s="31">
        <v>143</v>
      </c>
      <c r="H87" s="32">
        <f t="shared" ref="H87:H90" si="43">IF(ISNUMBER(G87), (G87 - $B87) / $B87, "")</f>
        <v>-4.0268456375838924E-2</v>
      </c>
      <c r="I87" s="101">
        <f>IF(ISNUMBER(G87), $B91 * H87, "")</f>
        <v>-4026.8456375838923</v>
      </c>
      <c r="J87" s="15">
        <v>140</v>
      </c>
      <c r="K87" s="32">
        <f t="shared" ref="K87:K90" si="44">IF(ISNUMBER(J87), (J87 - $B87) / $B87, "")</f>
        <v>-6.0402684563758392E-2</v>
      </c>
      <c r="L87" s="18">
        <f>IF(ISNUMBER(J87), $B91 * K87, "")</f>
        <v>-6040.2684563758394</v>
      </c>
      <c r="M87" s="31">
        <v>142</v>
      </c>
      <c r="N87" s="32">
        <f t="shared" ref="N87:N90" si="45">IF(ISNUMBER(M87), (M87 - $B87) / $B87, "")</f>
        <v>-4.6979865771812082E-2</v>
      </c>
      <c r="O87" s="18">
        <f>IF(ISNUMBER(M87), $B91 * N87, "")</f>
        <v>-4697.9865771812083</v>
      </c>
      <c r="Q87" s="235"/>
      <c r="R87" s="235"/>
      <c r="S87" s="235"/>
    </row>
    <row r="88" spans="1:19" ht="17.25" thickBot="1">
      <c r="A88" s="162" t="s">
        <v>270</v>
      </c>
      <c r="B88" s="126">
        <v>381</v>
      </c>
      <c r="C88" s="77">
        <v>1.0610079600000001E-2</v>
      </c>
      <c r="D88" s="15">
        <v>378</v>
      </c>
      <c r="E88" s="32">
        <f t="shared" si="42"/>
        <v>-7.874015748031496E-3</v>
      </c>
      <c r="F88" s="18">
        <f>IF(ISNUMBER(D88), $B91 * E88, "")</f>
        <v>-787.40157480314963</v>
      </c>
      <c r="G88" s="31">
        <v>363</v>
      </c>
      <c r="H88" s="32">
        <f t="shared" si="43"/>
        <v>-4.7244094488188976E-2</v>
      </c>
      <c r="I88" s="101">
        <f>IF(ISNUMBER(G88), $B91 * H88, "")</f>
        <v>-4724.4094488188975</v>
      </c>
      <c r="J88" s="15">
        <v>358</v>
      </c>
      <c r="K88" s="32">
        <f t="shared" si="44"/>
        <v>-6.0367454068241469E-2</v>
      </c>
      <c r="L88" s="18">
        <f>IF(ISNUMBER(J88), $B91 * K88, "")</f>
        <v>-6036.7454068241468</v>
      </c>
      <c r="M88" s="31">
        <v>366</v>
      </c>
      <c r="N88" s="32">
        <f t="shared" si="45"/>
        <v>-3.937007874015748E-2</v>
      </c>
      <c r="O88" s="18">
        <f>IF(ISNUMBER(M88), $B91 * N88, "")</f>
        <v>-3937.0078740157478</v>
      </c>
      <c r="Q88" s="235"/>
      <c r="R88" s="235"/>
      <c r="S88" s="235"/>
    </row>
    <row r="89" spans="1:19">
      <c r="A89" s="162" t="s">
        <v>282</v>
      </c>
      <c r="B89" s="126">
        <v>114</v>
      </c>
      <c r="C89" s="77">
        <v>8.8495575000000007E-3</v>
      </c>
      <c r="D89" s="15">
        <v>112</v>
      </c>
      <c r="E89" s="32">
        <f t="shared" si="42"/>
        <v>-1.7543859649122806E-2</v>
      </c>
      <c r="F89" s="18">
        <f>IF(ISNUMBER(D89), $B91 * E89, "")</f>
        <v>-1754.3859649122805</v>
      </c>
      <c r="G89" s="31">
        <v>110</v>
      </c>
      <c r="H89" s="32">
        <f t="shared" si="43"/>
        <v>-3.5087719298245612E-2</v>
      </c>
      <c r="I89" s="101">
        <f>IF(ISNUMBER(G89), $B91 * H89, "")</f>
        <v>-3508.7719298245611</v>
      </c>
      <c r="J89" s="15">
        <v>107</v>
      </c>
      <c r="K89" s="32">
        <f t="shared" si="44"/>
        <v>-6.1403508771929821E-2</v>
      </c>
      <c r="L89" s="18">
        <f>IF(ISNUMBER(J89), $B91 * K89, "")</f>
        <v>-6140.3508771929819</v>
      </c>
      <c r="M89" s="31">
        <v>109</v>
      </c>
      <c r="N89" s="32">
        <f t="shared" si="45"/>
        <v>-4.3859649122807015E-2</v>
      </c>
      <c r="O89" s="18">
        <f>IF(ISNUMBER(M89), $B91 * N89, "")</f>
        <v>-4385.9649122807014</v>
      </c>
      <c r="Q89" s="224"/>
      <c r="R89" s="225"/>
      <c r="S89" s="226"/>
    </row>
    <row r="90" spans="1:19" ht="17.25" thickBot="1">
      <c r="A90" s="130" t="s">
        <v>234</v>
      </c>
      <c r="B90" s="131">
        <v>869</v>
      </c>
      <c r="C90" s="79">
        <v>8.1206496999999996E-3</v>
      </c>
      <c r="D90" s="24">
        <v>861</v>
      </c>
      <c r="E90" s="25">
        <f t="shared" si="42"/>
        <v>-9.2059838895281933E-3</v>
      </c>
      <c r="F90" s="104">
        <f>IF(ISNUMBER(D90), $B91 * E90, "")</f>
        <v>-920.59838895281928</v>
      </c>
      <c r="G90" s="102">
        <v>825</v>
      </c>
      <c r="H90" s="25">
        <f t="shared" si="43"/>
        <v>-5.0632911392405063E-2</v>
      </c>
      <c r="I90" s="103">
        <f>IF(ISNUMBER(G90), $B91 * H90, "")</f>
        <v>-5063.2911392405058</v>
      </c>
      <c r="J90" s="24">
        <v>810</v>
      </c>
      <c r="K90" s="25">
        <f t="shared" si="44"/>
        <v>-6.789413118527042E-2</v>
      </c>
      <c r="L90" s="104">
        <f>IF(ISNUMBER(J90), $B91 * K90, "")</f>
        <v>-6789.4131185270417</v>
      </c>
      <c r="M90" s="102">
        <v>825</v>
      </c>
      <c r="N90" s="25">
        <f t="shared" si="45"/>
        <v>-5.0632911392405063E-2</v>
      </c>
      <c r="O90" s="104">
        <f>IF(ISNUMBER(M90), $B91 * N90, "")</f>
        <v>-5063.2911392405058</v>
      </c>
      <c r="Q90" s="227"/>
      <c r="R90" s="228"/>
      <c r="S90" s="229"/>
    </row>
    <row r="91" spans="1:19" ht="17.25" thickBot="1">
      <c r="A91" s="132" t="s">
        <v>300</v>
      </c>
      <c r="B91" s="288">
        <f>$B$37</f>
        <v>100000</v>
      </c>
      <c r="C91" s="289"/>
      <c r="D91" s="26" t="s">
        <v>301</v>
      </c>
      <c r="E91" s="27">
        <f>IF(COUNT(E71:E90), SUM(E71:E90) / COUNT(E71:E90), 0)</f>
        <v>-6.6019133729390876E-3</v>
      </c>
      <c r="F91" s="28">
        <f>SUM(F71:F90)</f>
        <v>-13203.826745878174</v>
      </c>
      <c r="G91" s="26" t="s">
        <v>301</v>
      </c>
      <c r="H91" s="27">
        <f>IF(COUNT(H71:H90), SUM(H71:H90) / COUNT(H71:H90), 0)</f>
        <v>-4.5142404377447695E-2</v>
      </c>
      <c r="I91" s="28">
        <f>SUM(I71:I90)</f>
        <v>-90284.808754895377</v>
      </c>
      <c r="J91" s="26" t="s">
        <v>301</v>
      </c>
      <c r="K91" s="27">
        <f>IF(COUNT(K71:K90), SUM(K71:K90) / COUNT(K71:K90), 0)</f>
        <v>-7.1879237246094269E-2</v>
      </c>
      <c r="L91" s="28">
        <f>SUM(L71:L90)</f>
        <v>-143758.47449218857</v>
      </c>
      <c r="M91" s="26" t="s">
        <v>301</v>
      </c>
      <c r="N91" s="27">
        <f>IF(COUNT(N71:N90), SUM(N71:N90) / COUNT(N71:N90), 0)</f>
        <v>-3.9606271557127044E-2</v>
      </c>
      <c r="O91" s="28">
        <f>SUM(O71:O90)</f>
        <v>-79212.543114254076</v>
      </c>
      <c r="Q91" s="230"/>
      <c r="R91" s="231"/>
      <c r="S91" s="232"/>
    </row>
    <row r="93" spans="1:19" ht="17.25" thickBot="1"/>
    <row r="94" spans="1:19" ht="17.25" thickBot="1">
      <c r="A94" s="246" t="s">
        <v>46</v>
      </c>
      <c r="B94" s="247"/>
      <c r="C94" s="247"/>
      <c r="D94" s="247"/>
      <c r="E94" s="247"/>
      <c r="F94" s="247"/>
      <c r="G94" s="247"/>
      <c r="H94" s="247"/>
      <c r="I94" s="247"/>
      <c r="J94" s="247"/>
      <c r="K94" s="247"/>
      <c r="L94" s="247"/>
      <c r="M94" s="247"/>
      <c r="N94" s="247"/>
      <c r="O94" s="248"/>
      <c r="Q94" s="245"/>
      <c r="R94" s="245"/>
      <c r="S94" s="245"/>
    </row>
    <row r="95" spans="1:19" ht="17.25" thickBot="1">
      <c r="A95" s="172" t="s">
        <v>297</v>
      </c>
      <c r="B95" s="246" t="s">
        <v>49</v>
      </c>
      <c r="C95" s="248"/>
      <c r="D95" s="246" t="s">
        <v>58</v>
      </c>
      <c r="E95" s="247"/>
      <c r="F95" s="248"/>
      <c r="G95" s="249">
        <f>_xlfn.IFNA(VLOOKUP(B95, 현재가테이블!$B$2:$D$200, 2, FALSE), "-")</f>
        <v>45335000</v>
      </c>
      <c r="H95" s="250"/>
      <c r="I95" s="251"/>
      <c r="J95" s="246" t="s">
        <v>59</v>
      </c>
      <c r="K95" s="247"/>
      <c r="L95" s="248"/>
      <c r="M95" s="252">
        <f>_xlfn.IFNA(VLOOKUP(B95, 현재가테이블!$B$2:$D$200, 3, FALSE), "-")</f>
        <v>-2.27209037E-2</v>
      </c>
      <c r="N95" s="253"/>
      <c r="O95" s="254"/>
      <c r="Q95" s="245"/>
      <c r="R95" s="245"/>
      <c r="S95" s="245"/>
    </row>
    <row r="96" spans="1:19" ht="17.25" thickBot="1">
      <c r="A96" s="290" t="s">
        <v>55</v>
      </c>
      <c r="B96" s="286" t="str">
        <f>TEXT($G$1, "[$-ko-KR]yyyy-mm-dd(ddd) ") &amp; "오전 00:00"</f>
        <v>2021-06-04(금) 오전 00:00</v>
      </c>
      <c r="C96" s="287"/>
      <c r="D96" s="259" t="str">
        <f>TEXT($G$1, "[$-ko-KR]yyyy-mm-dd(ddd) ") &amp; "오후 14:00"</f>
        <v>2021-06-04(금) 오후 14:00</v>
      </c>
      <c r="E96" s="260"/>
      <c r="F96" s="261"/>
      <c r="G96" s="259" t="str">
        <f>TEXT($G$1, "[$-ko-KR]yyyy-mm-dd(ddd) ") &amp; "오후 19:00"</f>
        <v>2021-06-04(금) 오후 19:00</v>
      </c>
      <c r="H96" s="260"/>
      <c r="I96" s="261"/>
      <c r="J96" s="259" t="str">
        <f>TEXT($G$1, "[$-ko-KR]yyyy-mm-dd(ddd) ") &amp; "오후 21:00"</f>
        <v>2021-06-04(금) 오후 21:00</v>
      </c>
      <c r="K96" s="260"/>
      <c r="L96" s="261"/>
      <c r="M96" s="259" t="str">
        <f>TEXT($G$1+1, "[$-ko-KR]yyyy-mm-dd(ddd) ") &amp; "오전 00:00"</f>
        <v>2021-06-05(토) 오전 00:00</v>
      </c>
      <c r="N96" s="260"/>
      <c r="O96" s="261"/>
      <c r="Q96" s="245"/>
      <c r="R96" s="245"/>
      <c r="S96" s="245"/>
    </row>
    <row r="97" spans="1:19" ht="17.25" thickBot="1">
      <c r="A97" s="291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73" t="s">
        <v>58</v>
      </c>
      <c r="H97" s="174" t="s">
        <v>298</v>
      </c>
      <c r="I97" s="175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5"/>
      <c r="R97" s="235"/>
      <c r="S97" s="235"/>
    </row>
    <row r="98" spans="1:19" ht="17.25" thickBot="1">
      <c r="A98" s="161" t="s">
        <v>136</v>
      </c>
      <c r="B98" s="124">
        <v>164</v>
      </c>
      <c r="C98" s="76">
        <v>0.14685314690000001</v>
      </c>
      <c r="D98" s="13">
        <v>155</v>
      </c>
      <c r="E98" s="14">
        <f>IF(ISNUMBER(D98), (D98 - $B98) / $B98, "")</f>
        <v>-5.4878048780487805E-2</v>
      </c>
      <c r="F98" s="16">
        <f>IF(ISNUMBER(D98), $B118 * E98, "")</f>
        <v>-5487.8048780487807</v>
      </c>
      <c r="G98" s="29">
        <v>149</v>
      </c>
      <c r="H98" s="14">
        <f>IF(ISNUMBER(G98), (G98 - $B98) / $B98, "")</f>
        <v>-9.1463414634146339E-2</v>
      </c>
      <c r="I98" s="100">
        <f>IF(ISNUMBER(G98), $B118 * H98, "")</f>
        <v>-9146.3414634146338</v>
      </c>
      <c r="J98" s="13">
        <v>143</v>
      </c>
      <c r="K98" s="14">
        <f>IF(ISNUMBER(J98), (J98 - $B98) / $B98, "")</f>
        <v>-0.12804878048780488</v>
      </c>
      <c r="L98" s="16">
        <f>IF(ISNUMBER(J98), $B118 * K98, "")</f>
        <v>-12804.878048780489</v>
      </c>
      <c r="M98" s="29">
        <v>148</v>
      </c>
      <c r="N98" s="14">
        <f>IF(ISNUMBER(M98), (M98 - $B98) / $B98, "")</f>
        <v>-9.7560975609756101E-2</v>
      </c>
      <c r="O98" s="16">
        <f>IF(ISNUMBER(M98), $B118 * N98, "")</f>
        <v>-9756.0975609756097</v>
      </c>
      <c r="Q98" s="245"/>
      <c r="R98" s="245"/>
      <c r="S98" s="245"/>
    </row>
    <row r="99" spans="1:19" ht="17.25" thickBot="1">
      <c r="A99" s="162" t="s">
        <v>114</v>
      </c>
      <c r="B99" s="126">
        <v>10440</v>
      </c>
      <c r="C99" s="77">
        <v>0.1347826087</v>
      </c>
      <c r="D99" s="15">
        <v>11130</v>
      </c>
      <c r="E99" s="32">
        <f t="shared" ref="E99:E102" si="46">IF(ISNUMBER(D99), (D99 - $B99) / $B99, "")</f>
        <v>6.6091954022988508E-2</v>
      </c>
      <c r="F99" s="18">
        <f>IF(ISNUMBER(D99), $B118 * E99, "")</f>
        <v>6609.1954022988511</v>
      </c>
      <c r="G99" s="31">
        <v>10190</v>
      </c>
      <c r="H99" s="32">
        <f t="shared" ref="H99:H102" si="47">IF(ISNUMBER(G99), (G99 - $B99) / $B99, "")</f>
        <v>-2.3946360153256706E-2</v>
      </c>
      <c r="I99" s="101">
        <f>IF(ISNUMBER(G99), $B118 * H99, "")</f>
        <v>-2394.6360153256705</v>
      </c>
      <c r="J99" s="15">
        <v>9750</v>
      </c>
      <c r="K99" s="32">
        <f t="shared" ref="K99:K102" si="48">IF(ISNUMBER(J99), (J99 - $B99) / $B99, "")</f>
        <v>-6.6091954022988508E-2</v>
      </c>
      <c r="L99" s="18">
        <f>IF(ISNUMBER(J99), $B118 * K99, "")</f>
        <v>-6609.1954022988511</v>
      </c>
      <c r="M99" s="31">
        <v>11440</v>
      </c>
      <c r="N99" s="32">
        <f t="shared" ref="N99:N102" si="49">IF(ISNUMBER(M99), (M99 - $B99) / $B99, "")</f>
        <v>9.5785440613026823E-2</v>
      </c>
      <c r="O99" s="18">
        <f>IF(ISNUMBER(M99), $B118 * N99, "")</f>
        <v>9578.5440613026822</v>
      </c>
      <c r="Q99" s="245"/>
      <c r="R99" s="245"/>
      <c r="S99" s="245"/>
    </row>
    <row r="100" spans="1:19" ht="17.25" thickBot="1">
      <c r="A100" s="162" t="s">
        <v>112</v>
      </c>
      <c r="B100" s="126">
        <v>186</v>
      </c>
      <c r="C100" s="77">
        <v>0.1272727273</v>
      </c>
      <c r="D100" s="15">
        <v>206</v>
      </c>
      <c r="E100" s="32">
        <f t="shared" si="46"/>
        <v>0.10752688172043011</v>
      </c>
      <c r="F100" s="18">
        <f>IF(ISNUMBER(D100), $B118 * E100, "")</f>
        <v>10752.68817204301</v>
      </c>
      <c r="G100" s="31">
        <v>204</v>
      </c>
      <c r="H100" s="32">
        <f t="shared" si="47"/>
        <v>9.6774193548387094E-2</v>
      </c>
      <c r="I100" s="101">
        <f>IF(ISNUMBER(G100), $B118 * H100, "")</f>
        <v>9677.4193548387102</v>
      </c>
      <c r="J100" s="15">
        <v>195</v>
      </c>
      <c r="K100" s="32">
        <f t="shared" si="48"/>
        <v>4.8387096774193547E-2</v>
      </c>
      <c r="L100" s="18">
        <f>IF(ISNUMBER(J100), $B118 * K100, "")</f>
        <v>4838.7096774193551</v>
      </c>
      <c r="M100" s="31">
        <v>196</v>
      </c>
      <c r="N100" s="32">
        <f t="shared" si="49"/>
        <v>5.3763440860215055E-2</v>
      </c>
      <c r="O100" s="18">
        <f>IF(ISNUMBER(M100), $B118 * N100, "")</f>
        <v>5376.3440860215051</v>
      </c>
      <c r="Q100" s="235"/>
      <c r="R100" s="235"/>
      <c r="S100" s="235"/>
    </row>
    <row r="101" spans="1:19" ht="17.25" thickBot="1">
      <c r="A101" s="162" t="s">
        <v>184</v>
      </c>
      <c r="B101" s="126">
        <v>1715</v>
      </c>
      <c r="C101" s="77">
        <v>0.12091503269999999</v>
      </c>
      <c r="D101" s="15">
        <v>1565</v>
      </c>
      <c r="E101" s="32">
        <f t="shared" si="46"/>
        <v>-8.7463556851311949E-2</v>
      </c>
      <c r="F101" s="18">
        <f>IF(ISNUMBER(D101), $B118 * E101, "")</f>
        <v>-8746.3556851311951</v>
      </c>
      <c r="G101" s="31">
        <v>1535</v>
      </c>
      <c r="H101" s="32">
        <f t="shared" si="47"/>
        <v>-0.10495626822157435</v>
      </c>
      <c r="I101" s="101">
        <f>IF(ISNUMBER(G101), $B118 * H101, "")</f>
        <v>-10495.626822157436</v>
      </c>
      <c r="J101" s="15">
        <v>1495</v>
      </c>
      <c r="K101" s="32">
        <f t="shared" si="48"/>
        <v>-0.1282798833819242</v>
      </c>
      <c r="L101" s="18">
        <f>IF(ISNUMBER(J101), $B118 * K101, "")</f>
        <v>-12827.988338192419</v>
      </c>
      <c r="M101" s="31">
        <v>1545</v>
      </c>
      <c r="N101" s="32">
        <f t="shared" si="49"/>
        <v>-9.9125364431486881E-2</v>
      </c>
      <c r="O101" s="18">
        <f>IF(ISNUMBER(M101), $B118 * N101, "")</f>
        <v>-9912.5364431486887</v>
      </c>
      <c r="Q101" s="235"/>
      <c r="R101" s="235"/>
      <c r="S101" s="235"/>
    </row>
    <row r="102" spans="1:19" ht="17.25" thickBot="1">
      <c r="A102" s="163" t="s">
        <v>142</v>
      </c>
      <c r="B102" s="128">
        <v>465</v>
      </c>
      <c r="C102" s="78">
        <v>9.6698113200000005E-2</v>
      </c>
      <c r="D102" s="20">
        <v>479</v>
      </c>
      <c r="E102" s="21">
        <f t="shared" si="46"/>
        <v>3.0107526881720432E-2</v>
      </c>
      <c r="F102" s="22">
        <f>IF(ISNUMBER(D102), $B118 * E102, "")</f>
        <v>3010.7526881720432</v>
      </c>
      <c r="G102" s="30">
        <v>446</v>
      </c>
      <c r="H102" s="21">
        <f t="shared" si="47"/>
        <v>-4.0860215053763443E-2</v>
      </c>
      <c r="I102" s="105">
        <f>IF(ISNUMBER(G102), $B118 * H102, "")</f>
        <v>-4086.0215053763445</v>
      </c>
      <c r="J102" s="20">
        <v>421</v>
      </c>
      <c r="K102" s="21">
        <f t="shared" si="48"/>
        <v>-9.4623655913978491E-2</v>
      </c>
      <c r="L102" s="22">
        <f>IF(ISNUMBER(J102), $B118 * K102, "")</f>
        <v>-9462.3655913978491</v>
      </c>
      <c r="M102" s="30">
        <v>488</v>
      </c>
      <c r="N102" s="21">
        <f t="shared" si="49"/>
        <v>4.9462365591397849E-2</v>
      </c>
      <c r="O102" s="22">
        <f>IF(ISNUMBER(M102), $B118 * N102, "")</f>
        <v>4946.2365591397847</v>
      </c>
      <c r="Q102" s="235"/>
      <c r="R102" s="235"/>
      <c r="S102" s="235"/>
    </row>
    <row r="103" spans="1:19" ht="17.25" thickBot="1">
      <c r="A103" s="162" t="s">
        <v>118</v>
      </c>
      <c r="B103" s="129">
        <v>6010</v>
      </c>
      <c r="C103" s="80">
        <v>7.8994614000000005E-2</v>
      </c>
      <c r="D103" s="106">
        <v>5580</v>
      </c>
      <c r="E103" s="107">
        <f>IF(ISNUMBER(D103), (D103 - $B103) / $B103, "")</f>
        <v>-7.1547420965058242E-2</v>
      </c>
      <c r="F103" s="108">
        <f>IF(ISNUMBER(D103), $B118 * E103, "")</f>
        <v>-7154.7420965058245</v>
      </c>
      <c r="G103" s="109">
        <v>5500</v>
      </c>
      <c r="H103" s="107">
        <f>IF(ISNUMBER(G103), (G103 - $B103) / $B103, "")</f>
        <v>-8.4858569051580693E-2</v>
      </c>
      <c r="I103" s="110">
        <f>IF(ISNUMBER(G103), $B118 * H103, "")</f>
        <v>-8485.8569051580689</v>
      </c>
      <c r="J103" s="106">
        <v>5275</v>
      </c>
      <c r="K103" s="107">
        <f>IF(ISNUMBER(J103), (J103 - $B103) / $B103, "")</f>
        <v>-0.12229617304492513</v>
      </c>
      <c r="L103" s="108">
        <f>IF(ISNUMBER(J103), $B118 * K103, "")</f>
        <v>-12229.617304492513</v>
      </c>
      <c r="M103" s="109">
        <v>5545</v>
      </c>
      <c r="N103" s="107">
        <f>IF(ISNUMBER(M103), (M103 - $B103) / $B103, "")</f>
        <v>-7.7371048252911814E-2</v>
      </c>
      <c r="O103" s="108">
        <f>IF(ISNUMBER(M103), $B118 * N103, "")</f>
        <v>-7737.1048252911814</v>
      </c>
      <c r="Q103" s="235"/>
      <c r="R103" s="235"/>
      <c r="S103" s="235"/>
    </row>
    <row r="104" spans="1:19" ht="17.25" thickBot="1">
      <c r="A104" s="162" t="s">
        <v>74</v>
      </c>
      <c r="B104" s="126">
        <v>18590</v>
      </c>
      <c r="C104" s="77">
        <v>7.5810185200000005E-2</v>
      </c>
      <c r="D104" s="15">
        <v>18770</v>
      </c>
      <c r="E104" s="32">
        <f t="shared" ref="E104:E107" si="50">IF(ISNUMBER(D104), (D104 - $B104) / $B104, "")</f>
        <v>9.6826250672404513E-3</v>
      </c>
      <c r="F104" s="18">
        <f>IF(ISNUMBER(D104), $B118 * E104, "")</f>
        <v>968.26250672404512</v>
      </c>
      <c r="G104" s="31">
        <v>17430</v>
      </c>
      <c r="H104" s="32">
        <f t="shared" ref="H104:H107" si="51">IF(ISNUMBER(G104), (G104 - $B104) / $B104, "")</f>
        <v>-6.2399139322216246E-2</v>
      </c>
      <c r="I104" s="101">
        <f>IF(ISNUMBER(G104), $B118 * H104, "")</f>
        <v>-6239.9139322216242</v>
      </c>
      <c r="J104" s="15">
        <v>16750</v>
      </c>
      <c r="K104" s="32">
        <f t="shared" ref="K104:K107" si="52">IF(ISNUMBER(J104), (J104 - $B104) / $B104, "")</f>
        <v>-9.8977945131791284E-2</v>
      </c>
      <c r="L104" s="18">
        <f>IF(ISNUMBER(J104), $B118 * K104, "")</f>
        <v>-9897.7945131791275</v>
      </c>
      <c r="M104" s="31">
        <v>17500</v>
      </c>
      <c r="N104" s="32">
        <f t="shared" ref="N104:N107" si="53">IF(ISNUMBER(M104), (M104 - $B104) / $B104, "")</f>
        <v>-5.8633674018289401E-2</v>
      </c>
      <c r="O104" s="18">
        <f>IF(ISNUMBER(M104), $B118 * N104, "")</f>
        <v>-5863.3674018289403</v>
      </c>
      <c r="Q104" s="235"/>
      <c r="R104" s="235"/>
      <c r="S104" s="235"/>
    </row>
    <row r="105" spans="1:19" ht="17.25" thickBot="1">
      <c r="A105" s="162" t="s">
        <v>54</v>
      </c>
      <c r="B105" s="126">
        <v>290</v>
      </c>
      <c r="C105" s="77">
        <v>7.4074074099999998E-2</v>
      </c>
      <c r="D105" s="15">
        <v>284</v>
      </c>
      <c r="E105" s="32">
        <f t="shared" si="50"/>
        <v>-2.0689655172413793E-2</v>
      </c>
      <c r="F105" s="18">
        <f>IF(ISNUMBER(D105), $B118 * E105, "")</f>
        <v>-2068.9655172413791</v>
      </c>
      <c r="G105" s="31">
        <v>273</v>
      </c>
      <c r="H105" s="32">
        <f t="shared" si="51"/>
        <v>-5.8620689655172413E-2</v>
      </c>
      <c r="I105" s="101">
        <f>IF(ISNUMBER(G105), $B118 * H105, "")</f>
        <v>-5862.0689655172409</v>
      </c>
      <c r="J105" s="15">
        <v>263</v>
      </c>
      <c r="K105" s="32">
        <f t="shared" si="52"/>
        <v>-9.3103448275862075E-2</v>
      </c>
      <c r="L105" s="18">
        <f>IF(ISNUMBER(J105), $B118 * K105, "")</f>
        <v>-9310.3448275862083</v>
      </c>
      <c r="M105" s="31">
        <v>273</v>
      </c>
      <c r="N105" s="32">
        <f t="shared" si="53"/>
        <v>-5.8620689655172413E-2</v>
      </c>
      <c r="O105" s="18">
        <f>IF(ISNUMBER(M105), $B118 * N105, "")</f>
        <v>-5862.0689655172409</v>
      </c>
      <c r="Q105" s="235"/>
      <c r="R105" s="235"/>
      <c r="S105" s="235"/>
    </row>
    <row r="106" spans="1:19" ht="17.25" thickBot="1">
      <c r="A106" s="162" t="s">
        <v>132</v>
      </c>
      <c r="B106" s="126">
        <v>157</v>
      </c>
      <c r="C106" s="77">
        <v>6.8027210899999996E-2</v>
      </c>
      <c r="D106" s="15">
        <v>167</v>
      </c>
      <c r="E106" s="32">
        <f t="shared" si="50"/>
        <v>6.3694267515923567E-2</v>
      </c>
      <c r="F106" s="18">
        <f>IF(ISNUMBER(D106), $B118 * E106, "")</f>
        <v>6369.4267515923566</v>
      </c>
      <c r="G106" s="31">
        <v>159</v>
      </c>
      <c r="H106" s="32">
        <f t="shared" si="51"/>
        <v>1.2738853503184714E-2</v>
      </c>
      <c r="I106" s="101">
        <f>IF(ISNUMBER(G106), $B118 * H106, "")</f>
        <v>1273.8853503184714</v>
      </c>
      <c r="J106" s="15">
        <v>150</v>
      </c>
      <c r="K106" s="32">
        <f t="shared" si="52"/>
        <v>-4.4585987261146494E-2</v>
      </c>
      <c r="L106" s="18">
        <f>IF(ISNUMBER(J106), $B118 * K106, "")</f>
        <v>-4458.5987261146493</v>
      </c>
      <c r="M106" s="31">
        <v>157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128</v>
      </c>
      <c r="B107" s="131">
        <v>417</v>
      </c>
      <c r="C107" s="79">
        <v>6.3775510199999996E-2</v>
      </c>
      <c r="D107" s="24">
        <v>393</v>
      </c>
      <c r="E107" s="25">
        <f t="shared" si="50"/>
        <v>-5.7553956834532377E-2</v>
      </c>
      <c r="F107" s="104">
        <f>IF(ISNUMBER(D107), $B118 * E107, "")</f>
        <v>-5755.3956834532373</v>
      </c>
      <c r="G107" s="102">
        <v>377</v>
      </c>
      <c r="H107" s="25">
        <f t="shared" si="51"/>
        <v>-9.5923261390887291E-2</v>
      </c>
      <c r="I107" s="103">
        <f>IF(ISNUMBER(G107), $B118 * H107, "")</f>
        <v>-9592.3261390887292</v>
      </c>
      <c r="J107" s="24">
        <v>368</v>
      </c>
      <c r="K107" s="25">
        <f t="shared" si="52"/>
        <v>-0.11750599520383694</v>
      </c>
      <c r="L107" s="104">
        <f>IF(ISNUMBER(J107), $B118 * K107, "")</f>
        <v>-11750.599520383694</v>
      </c>
      <c r="M107" s="102">
        <v>378</v>
      </c>
      <c r="N107" s="25">
        <f t="shared" si="53"/>
        <v>-9.3525179856115109E-2</v>
      </c>
      <c r="O107" s="104">
        <f>IF(ISNUMBER(M107), $B118 * N107, "")</f>
        <v>-9352.5179856115101</v>
      </c>
      <c r="Q107" s="236"/>
      <c r="R107" s="237"/>
      <c r="S107" s="238"/>
    </row>
    <row r="108" spans="1:19">
      <c r="A108" s="161" t="s">
        <v>240</v>
      </c>
      <c r="B108" s="124">
        <v>137</v>
      </c>
      <c r="C108" s="76">
        <v>6.2015503899999998E-2</v>
      </c>
      <c r="D108" s="13">
        <v>134</v>
      </c>
      <c r="E108" s="14">
        <f>IF(ISNUMBER(D108), (D108 - $B108) / $B108, "")</f>
        <v>-2.1897810218978103E-2</v>
      </c>
      <c r="F108" s="16">
        <f>IF(ISNUMBER(D108), $B118 * E108, "")</f>
        <v>-2189.7810218978102</v>
      </c>
      <c r="G108" s="29">
        <v>127</v>
      </c>
      <c r="H108" s="14">
        <f>IF(ISNUMBER(G108), (G108 - $B108) / $B108, "")</f>
        <v>-7.2992700729927001E-2</v>
      </c>
      <c r="I108" s="100">
        <f>IF(ISNUMBER(G108), $B118 * H108, "")</f>
        <v>-7299.2700729927001</v>
      </c>
      <c r="J108" s="13">
        <v>126</v>
      </c>
      <c r="K108" s="14">
        <f>IF(ISNUMBER(J108), (J108 - $B108) / $B108, "")</f>
        <v>-8.0291970802919707E-2</v>
      </c>
      <c r="L108" s="16">
        <f>IF(ISNUMBER(J108), $B118 * K108, "")</f>
        <v>-8029.1970802919705</v>
      </c>
      <c r="M108" s="29">
        <v>128</v>
      </c>
      <c r="N108" s="14">
        <f>IF(ISNUMBER(M108), (M108 - $B108) / $B108, "")</f>
        <v>-6.569343065693431E-2</v>
      </c>
      <c r="O108" s="16">
        <f>IF(ISNUMBER(M108), $B118 * N108, "")</f>
        <v>-6569.3430656934306</v>
      </c>
      <c r="Q108" s="239"/>
      <c r="R108" s="240"/>
      <c r="S108" s="241"/>
    </row>
    <row r="109" spans="1:19" ht="17.25" thickBot="1">
      <c r="A109" s="162" t="s">
        <v>146</v>
      </c>
      <c r="B109" s="126">
        <v>11540</v>
      </c>
      <c r="C109" s="77">
        <v>5.5809698099999999E-2</v>
      </c>
      <c r="D109" s="15">
        <v>11140</v>
      </c>
      <c r="E109" s="32">
        <f t="shared" ref="E109:E112" si="54">IF(ISNUMBER(D109), (D109 - $B109) / $B109, "")</f>
        <v>-3.4662045060658578E-2</v>
      </c>
      <c r="F109" s="18">
        <f>IF(ISNUMBER(D109), $B118 * E109, "")</f>
        <v>-3466.2045060658579</v>
      </c>
      <c r="G109" s="31">
        <v>10640</v>
      </c>
      <c r="H109" s="32">
        <f t="shared" ref="H109:H112" si="55">IF(ISNUMBER(G109), (G109 - $B109) / $B109, "")</f>
        <v>-7.7989601386481797E-2</v>
      </c>
      <c r="I109" s="101">
        <f>IF(ISNUMBER(G109), $B118 * H109, "")</f>
        <v>-7798.96013864818</v>
      </c>
      <c r="J109" s="15">
        <v>10450</v>
      </c>
      <c r="K109" s="32">
        <f t="shared" ref="K109:K112" si="56">IF(ISNUMBER(J109), (J109 - $B109) / $B109, "")</f>
        <v>-9.4454072790294621E-2</v>
      </c>
      <c r="L109" s="18">
        <f>IF(ISNUMBER(J109), $B118 * K109, "")</f>
        <v>-9445.4072790294613</v>
      </c>
      <c r="M109" s="31">
        <v>10670</v>
      </c>
      <c r="N109" s="32">
        <f t="shared" ref="N109:N112" si="57">IF(ISNUMBER(M109), (M109 - $B109) / $B109, "")</f>
        <v>-7.5389948006932411E-2</v>
      </c>
      <c r="O109" s="18">
        <f>IF(ISNUMBER(M109), $B118 * N109, "")</f>
        <v>-7538.9948006932409</v>
      </c>
      <c r="Q109" s="242"/>
      <c r="R109" s="243"/>
      <c r="S109" s="244"/>
    </row>
    <row r="110" spans="1:19" ht="17.25" thickBot="1">
      <c r="A110" s="162" t="s">
        <v>178</v>
      </c>
      <c r="B110" s="126">
        <v>30820</v>
      </c>
      <c r="C110" s="77">
        <v>5.4757015700000002E-2</v>
      </c>
      <c r="D110" s="15">
        <v>29460</v>
      </c>
      <c r="E110" s="32">
        <f t="shared" si="54"/>
        <v>-4.4127190136275148E-2</v>
      </c>
      <c r="F110" s="18">
        <f>IF(ISNUMBER(D110), $B118 * E110, "")</f>
        <v>-4412.7190136275149</v>
      </c>
      <c r="G110" s="31">
        <v>28000</v>
      </c>
      <c r="H110" s="32">
        <f t="shared" si="55"/>
        <v>-9.1499026606099931E-2</v>
      </c>
      <c r="I110" s="101">
        <f>IF(ISNUMBER(G110), $B118 * H110, "")</f>
        <v>-9149.9026606099924</v>
      </c>
      <c r="J110" s="15">
        <v>27540</v>
      </c>
      <c r="K110" s="32">
        <f t="shared" si="56"/>
        <v>-0.10642439974042829</v>
      </c>
      <c r="L110" s="18">
        <f>IF(ISNUMBER(J110), $B118 * K110, "")</f>
        <v>-10642.439974042829</v>
      </c>
      <c r="M110" s="31">
        <v>27980</v>
      </c>
      <c r="N110" s="32">
        <f t="shared" si="57"/>
        <v>-9.214795587280987E-2</v>
      </c>
      <c r="O110" s="18">
        <f>IF(ISNUMBER(M110), $B118 * N110, "")</f>
        <v>-9214.7955872809871</v>
      </c>
      <c r="Q110" s="235"/>
      <c r="R110" s="235"/>
      <c r="S110" s="235"/>
    </row>
    <row r="111" spans="1:19" ht="17.25" thickBot="1">
      <c r="A111" s="162" t="s">
        <v>138</v>
      </c>
      <c r="B111" s="126">
        <v>31510</v>
      </c>
      <c r="C111" s="77">
        <v>4.6843853800000002E-2</v>
      </c>
      <c r="D111" s="15">
        <v>29730</v>
      </c>
      <c r="E111" s="32">
        <f t="shared" si="54"/>
        <v>-5.6490003173595683E-2</v>
      </c>
      <c r="F111" s="18">
        <f>IF(ISNUMBER(D111), $B118 * E111, "")</f>
        <v>-5649.0003173595687</v>
      </c>
      <c r="G111" s="31">
        <v>29160</v>
      </c>
      <c r="H111" s="32">
        <f t="shared" si="55"/>
        <v>-7.4579498571881939E-2</v>
      </c>
      <c r="I111" s="101">
        <f>IF(ISNUMBER(G111), $B118 * H111, "")</f>
        <v>-7457.9498571881941</v>
      </c>
      <c r="J111" s="15">
        <v>28100</v>
      </c>
      <c r="K111" s="32">
        <f t="shared" si="56"/>
        <v>-0.10821961282132657</v>
      </c>
      <c r="L111" s="18">
        <f>IF(ISNUMBER(J111), $B118 * K111, "")</f>
        <v>-10821.961282132657</v>
      </c>
      <c r="M111" s="31">
        <v>28870</v>
      </c>
      <c r="N111" s="32">
        <f t="shared" si="57"/>
        <v>-8.3782926055220572E-2</v>
      </c>
      <c r="O111" s="18">
        <f>IF(ISNUMBER(M111), $B118 * N111, "")</f>
        <v>-8378.2926055220578</v>
      </c>
      <c r="Q111" s="245"/>
      <c r="R111" s="245"/>
      <c r="S111" s="245"/>
    </row>
    <row r="112" spans="1:19" ht="17.25" thickBot="1">
      <c r="A112" s="163" t="s">
        <v>150</v>
      </c>
      <c r="B112" s="128">
        <v>2650</v>
      </c>
      <c r="C112" s="78">
        <v>4.5364891499999997E-2</v>
      </c>
      <c r="D112" s="20">
        <v>2560</v>
      </c>
      <c r="E112" s="21">
        <f t="shared" si="54"/>
        <v>-3.3962264150943396E-2</v>
      </c>
      <c r="F112" s="22">
        <f>IF(ISNUMBER(D112), $B118 * E112, "")</f>
        <v>-3396.2264150943397</v>
      </c>
      <c r="G112" s="30">
        <v>2460</v>
      </c>
      <c r="H112" s="21">
        <f t="shared" si="55"/>
        <v>-7.1698113207547168E-2</v>
      </c>
      <c r="I112" s="105">
        <f>IF(ISNUMBER(G112), $B118 * H112, "")</f>
        <v>-7169.8113207547167</v>
      </c>
      <c r="J112" s="20">
        <v>2335</v>
      </c>
      <c r="K112" s="21">
        <f t="shared" si="56"/>
        <v>-0.11886792452830189</v>
      </c>
      <c r="L112" s="22">
        <f>IF(ISNUMBER(J112), $B118 * K112, "")</f>
        <v>-11886.792452830188</v>
      </c>
      <c r="M112" s="30">
        <v>2450</v>
      </c>
      <c r="N112" s="21">
        <f t="shared" si="57"/>
        <v>-7.5471698113207544E-2</v>
      </c>
      <c r="O112" s="22">
        <f>IF(ISNUMBER(M112), $B118 * N112, "")</f>
        <v>-7547.169811320754</v>
      </c>
      <c r="Q112" s="245"/>
      <c r="R112" s="245"/>
      <c r="S112" s="245"/>
    </row>
    <row r="113" spans="1:19" ht="17.25" thickBot="1">
      <c r="A113" s="162" t="s">
        <v>88</v>
      </c>
      <c r="B113" s="129">
        <v>337</v>
      </c>
      <c r="C113" s="80">
        <v>4.33436533E-2</v>
      </c>
      <c r="D113" s="106">
        <v>327</v>
      </c>
      <c r="E113" s="107">
        <f>IF(ISNUMBER(D113), (D113 - $B113) / $B113, "")</f>
        <v>-2.967359050445104E-2</v>
      </c>
      <c r="F113" s="108">
        <f>IF(ISNUMBER(D113), $B118 * E113, "")</f>
        <v>-2967.359050445104</v>
      </c>
      <c r="G113" s="109">
        <v>314</v>
      </c>
      <c r="H113" s="107">
        <f>IF(ISNUMBER(G113), (G113 - $B113) / $B113, "")</f>
        <v>-6.8249258160237386E-2</v>
      </c>
      <c r="I113" s="110">
        <f>IF(ISNUMBER(G113), $B118 * H113, "")</f>
        <v>-6824.9258160237387</v>
      </c>
      <c r="J113" s="106">
        <v>306</v>
      </c>
      <c r="K113" s="107">
        <f>IF(ISNUMBER(J113), (J113 - $B113) / $B113, "")</f>
        <v>-9.1988130563798218E-2</v>
      </c>
      <c r="L113" s="108">
        <f>IF(ISNUMBER(J113), $B118 * K113, "")</f>
        <v>-9198.8130563798222</v>
      </c>
      <c r="M113" s="109">
        <v>315</v>
      </c>
      <c r="N113" s="107">
        <f>IF(ISNUMBER(M113), (M113 - $B113) / $B113, "")</f>
        <v>-6.5281899109792291E-2</v>
      </c>
      <c r="O113" s="108">
        <f>IF(ISNUMBER(M113), $B118 * N113, "")</f>
        <v>-6528.1899109792294</v>
      </c>
      <c r="Q113" s="235"/>
      <c r="R113" s="235"/>
      <c r="S113" s="235"/>
    </row>
    <row r="114" spans="1:19" ht="17.25" thickBot="1">
      <c r="A114" s="162" t="s">
        <v>63</v>
      </c>
      <c r="B114" s="126">
        <v>69910</v>
      </c>
      <c r="C114" s="77">
        <v>4.0946992299999999E-2</v>
      </c>
      <c r="D114" s="15">
        <v>69090</v>
      </c>
      <c r="E114" s="32">
        <f t="shared" ref="E114:E117" si="58">IF(ISNUMBER(D114), (D114 - $B114) / $B114, "")</f>
        <v>-1.1729366328136174E-2</v>
      </c>
      <c r="F114" s="18">
        <f>IF(ISNUMBER(D114), $B118 * E114, "")</f>
        <v>-1172.9366328136175</v>
      </c>
      <c r="G114" s="31">
        <v>65310</v>
      </c>
      <c r="H114" s="32">
        <f t="shared" ref="H114:H117" si="59">IF(ISNUMBER(G114), (G114 - $B114) / $B114, "")</f>
        <v>-6.5798884279788306E-2</v>
      </c>
      <c r="I114" s="101">
        <f>IF(ISNUMBER(G114), $B118 * H114, "")</f>
        <v>-6579.8884279788308</v>
      </c>
      <c r="J114" s="15">
        <v>63700</v>
      </c>
      <c r="K114" s="32">
        <f t="shared" ref="K114:K117" si="60">IF(ISNUMBER(J114), (J114 - $B114) / $B114, "")</f>
        <v>-8.8828493777714207E-2</v>
      </c>
      <c r="L114" s="18">
        <f>IF(ISNUMBER(J114), $B118 * K114, "")</f>
        <v>-8882.8493777714211</v>
      </c>
      <c r="M114" s="31">
        <v>65460</v>
      </c>
      <c r="N114" s="32">
        <f t="shared" ref="N114:N117" si="61">IF(ISNUMBER(M114), (M114 - $B114) / $B114, "")</f>
        <v>-6.3653268488056067E-2</v>
      </c>
      <c r="O114" s="18">
        <f>IF(ISNUMBER(M114), $B118 * N114, "")</f>
        <v>-6365.3268488056065</v>
      </c>
      <c r="Q114" s="235"/>
      <c r="R114" s="235"/>
      <c r="S114" s="235"/>
    </row>
    <row r="115" spans="1:19" ht="17.25" thickBot="1">
      <c r="A115" s="162" t="s">
        <v>110</v>
      </c>
      <c r="B115" s="126">
        <v>1465</v>
      </c>
      <c r="C115" s="77">
        <v>3.5335689000000003E-2</v>
      </c>
      <c r="D115" s="15">
        <v>1400</v>
      </c>
      <c r="E115" s="32">
        <f t="shared" si="58"/>
        <v>-4.4368600682593858E-2</v>
      </c>
      <c r="F115" s="18">
        <f>IF(ISNUMBER(D115), $B118 * E115, "")</f>
        <v>-4436.860068259386</v>
      </c>
      <c r="G115" s="31">
        <v>1350</v>
      </c>
      <c r="H115" s="32">
        <f t="shared" si="59"/>
        <v>-7.8498293515358364E-2</v>
      </c>
      <c r="I115" s="101">
        <f>IF(ISNUMBER(G115), $B118 * H115, "")</f>
        <v>-7849.8293515358364</v>
      </c>
      <c r="J115" s="15">
        <v>1305</v>
      </c>
      <c r="K115" s="32">
        <f t="shared" si="60"/>
        <v>-0.10921501706484642</v>
      </c>
      <c r="L115" s="18">
        <f>IF(ISNUMBER(J115), $B118 * K115, "")</f>
        <v>-10921.501706484642</v>
      </c>
      <c r="M115" s="31">
        <v>1350</v>
      </c>
      <c r="N115" s="32">
        <f t="shared" si="61"/>
        <v>-7.8498293515358364E-2</v>
      </c>
      <c r="O115" s="18">
        <f>IF(ISNUMBER(M115), $B118 * N115, "")</f>
        <v>-7849.8293515358364</v>
      </c>
      <c r="Q115" s="235"/>
      <c r="R115" s="235"/>
      <c r="S115" s="235"/>
    </row>
    <row r="116" spans="1:19">
      <c r="A116" s="162" t="s">
        <v>69</v>
      </c>
      <c r="B116" s="126">
        <v>5875</v>
      </c>
      <c r="C116" s="77">
        <v>3.5242290699999998E-2</v>
      </c>
      <c r="D116" s="15">
        <v>5830</v>
      </c>
      <c r="E116" s="32">
        <f t="shared" si="58"/>
        <v>-7.659574468085106E-3</v>
      </c>
      <c r="F116" s="18">
        <f>IF(ISNUMBER(D116), $B118 * E116, "")</f>
        <v>-765.95744680851055</v>
      </c>
      <c r="G116" s="31">
        <v>5585</v>
      </c>
      <c r="H116" s="32">
        <f t="shared" si="59"/>
        <v>-4.9361702127659578E-2</v>
      </c>
      <c r="I116" s="101">
        <f>IF(ISNUMBER(G116), $B118 * H116, "")</f>
        <v>-4936.1702127659573</v>
      </c>
      <c r="J116" s="15">
        <v>5335</v>
      </c>
      <c r="K116" s="32">
        <f t="shared" si="60"/>
        <v>-9.1914893617021279E-2</v>
      </c>
      <c r="L116" s="18">
        <f>IF(ISNUMBER(J116), $B118 * K116, "")</f>
        <v>-9191.489361702128</v>
      </c>
      <c r="M116" s="31">
        <v>5550</v>
      </c>
      <c r="N116" s="32">
        <f t="shared" si="61"/>
        <v>-5.5319148936170209E-2</v>
      </c>
      <c r="O116" s="18">
        <f>IF(ISNUMBER(M116), $B118 * N116, "")</f>
        <v>-5531.9148936170213</v>
      </c>
      <c r="Q116" s="224"/>
      <c r="R116" s="225"/>
      <c r="S116" s="226"/>
    </row>
    <row r="117" spans="1:19" ht="17.25" thickBot="1">
      <c r="A117" s="130" t="s">
        <v>76</v>
      </c>
      <c r="B117" s="131">
        <v>37020</v>
      </c>
      <c r="C117" s="79">
        <v>3.4656232500000002E-2</v>
      </c>
      <c r="D117" s="24">
        <v>35080</v>
      </c>
      <c r="E117" s="25">
        <f t="shared" si="58"/>
        <v>-5.2404105888708807E-2</v>
      </c>
      <c r="F117" s="104">
        <f>IF(ISNUMBER(D117), $B118 * E117, "")</f>
        <v>-5240.4105888708809</v>
      </c>
      <c r="G117" s="102">
        <v>33740</v>
      </c>
      <c r="H117" s="25">
        <f t="shared" si="59"/>
        <v>-8.8600756347920043E-2</v>
      </c>
      <c r="I117" s="103">
        <f>IF(ISNUMBER(G117), $B118 * H117, "")</f>
        <v>-8860.0756347920051</v>
      </c>
      <c r="J117" s="24">
        <v>32510</v>
      </c>
      <c r="K117" s="25">
        <f t="shared" si="60"/>
        <v>-0.12182603997839006</v>
      </c>
      <c r="L117" s="104">
        <f>IF(ISNUMBER(J117), $B118 * K117, "")</f>
        <v>-12182.603997839005</v>
      </c>
      <c r="M117" s="102">
        <v>33940</v>
      </c>
      <c r="N117" s="25">
        <f t="shared" si="61"/>
        <v>-8.319827120475419E-2</v>
      </c>
      <c r="O117" s="104">
        <f>IF(ISNUMBER(M117), $B118 * N117, "")</f>
        <v>-8319.8271204754183</v>
      </c>
      <c r="Q117" s="227"/>
      <c r="R117" s="228"/>
      <c r="S117" s="229"/>
    </row>
    <row r="118" spans="1:19" ht="17.25" thickBot="1">
      <c r="A118" s="132" t="s">
        <v>300</v>
      </c>
      <c r="B118" s="288">
        <f>$B$37</f>
        <v>100000</v>
      </c>
      <c r="C118" s="289"/>
      <c r="D118" s="26" t="s">
        <v>301</v>
      </c>
      <c r="E118" s="27">
        <f>IF(COUNT(E98:E117), SUM(E98:E117) / COUNT(E98:E117), 0)</f>
        <v>-1.7600196700396351E-2</v>
      </c>
      <c r="F118" s="28">
        <f>SUM(F98:F117)</f>
        <v>-35200.393400792702</v>
      </c>
      <c r="G118" s="26" t="s">
        <v>301</v>
      </c>
      <c r="H118" s="27">
        <f>IF(COUNT(H98:H117), SUM(H98:H117) / COUNT(H98:H117), 0)</f>
        <v>-5.9639135268196364E-2</v>
      </c>
      <c r="I118" s="28">
        <f>SUM(I98:I117)</f>
        <v>-119278.27053639272</v>
      </c>
      <c r="J118" s="26" t="s">
        <v>301</v>
      </c>
      <c r="K118" s="27">
        <f>IF(COUNT(K98:K117), SUM(K98:K117) / COUNT(K98:K117), 0)</f>
        <v>-9.2857864081755309E-2</v>
      </c>
      <c r="L118" s="28">
        <f>SUM(L98:L117)</f>
        <v>-185715.72816351056</v>
      </c>
      <c r="M118" s="26" t="s">
        <v>301</v>
      </c>
      <c r="N118" s="27">
        <f>IF(COUNT(N98:N117), SUM(N98:N117) / COUNT(N98:N117), 0)</f>
        <v>-5.1213126235916381E-2</v>
      </c>
      <c r="O118" s="28">
        <f>SUM(O98:O117)</f>
        <v>-102426.25247183278</v>
      </c>
      <c r="Q118" s="230"/>
      <c r="R118" s="231"/>
      <c r="S118" s="232"/>
    </row>
    <row r="120" spans="1:19" ht="17.25" thickBot="1"/>
    <row r="121" spans="1:19" ht="17.25" thickBot="1">
      <c r="A121" s="246" t="s">
        <v>288</v>
      </c>
      <c r="B121" s="247"/>
      <c r="C121" s="247"/>
      <c r="D121" s="247"/>
      <c r="E121" s="247"/>
      <c r="F121" s="247"/>
      <c r="G121" s="247"/>
      <c r="H121" s="247"/>
      <c r="I121" s="247"/>
      <c r="J121" s="247"/>
      <c r="K121" s="247"/>
      <c r="L121" s="247"/>
      <c r="M121" s="247"/>
      <c r="N121" s="247"/>
      <c r="O121" s="248"/>
      <c r="Q121" s="245"/>
      <c r="R121" s="245"/>
      <c r="S121" s="245"/>
    </row>
    <row r="122" spans="1:19" ht="17.25" thickBot="1">
      <c r="A122" s="172" t="s">
        <v>297</v>
      </c>
      <c r="B122" s="246" t="s">
        <v>49</v>
      </c>
      <c r="C122" s="248"/>
      <c r="D122" s="246" t="s">
        <v>58</v>
      </c>
      <c r="E122" s="247"/>
      <c r="F122" s="248"/>
      <c r="G122" s="249">
        <f>_xlfn.IFNA(VLOOKUP(B122, 현재가테이블!$B$2:$D$200, 2, FALSE), "-")</f>
        <v>45335000</v>
      </c>
      <c r="H122" s="250"/>
      <c r="I122" s="251"/>
      <c r="J122" s="246" t="s">
        <v>59</v>
      </c>
      <c r="K122" s="247"/>
      <c r="L122" s="248"/>
      <c r="M122" s="252">
        <f>_xlfn.IFNA(VLOOKUP(B122, 현재가테이블!$B$2:$D$200, 3, FALSE), "-")</f>
        <v>-2.27209037E-2</v>
      </c>
      <c r="N122" s="253"/>
      <c r="O122" s="254"/>
      <c r="Q122" s="245"/>
      <c r="R122" s="245"/>
      <c r="S122" s="245"/>
    </row>
    <row r="123" spans="1:19" ht="17.25" thickBot="1">
      <c r="A123" s="290" t="s">
        <v>55</v>
      </c>
      <c r="B123" s="286" t="str">
        <f>TEXT($G$1, "[$-ko-KR]yyyy-mm-dd(ddd) ") &amp; "오전 00:00"</f>
        <v>2021-06-04(금) 오전 00:00</v>
      </c>
      <c r="C123" s="287"/>
      <c r="D123" s="259" t="str">
        <f>TEXT($G$1, "[$-ko-KR]yyyy-mm-dd(ddd) ") &amp; "오후 14:00"</f>
        <v>2021-06-04(금) 오후 14:00</v>
      </c>
      <c r="E123" s="260"/>
      <c r="F123" s="261"/>
      <c r="G123" s="259" t="str">
        <f>TEXT($G$1, "[$-ko-KR]yyyy-mm-dd(ddd) ") &amp; "오후 19:00"</f>
        <v>2021-06-04(금) 오후 19:00</v>
      </c>
      <c r="H123" s="260"/>
      <c r="I123" s="261"/>
      <c r="J123" s="259" t="str">
        <f>TEXT($G$1, "[$-ko-KR]yyyy-mm-dd(ddd) ") &amp; "오후 21:00"</f>
        <v>2021-06-04(금) 오후 21:00</v>
      </c>
      <c r="K123" s="260"/>
      <c r="L123" s="261"/>
      <c r="M123" s="259" t="str">
        <f>TEXT($G$1+1, "[$-ko-KR]yyyy-mm-dd(ddd) ") &amp; "오전 00:00"</f>
        <v>2021-06-05(토) 오전 00:00</v>
      </c>
      <c r="N123" s="260"/>
      <c r="O123" s="261"/>
      <c r="Q123" s="245"/>
      <c r="R123" s="245"/>
      <c r="S123" s="245"/>
    </row>
    <row r="124" spans="1:19" ht="17.25" thickBot="1">
      <c r="A124" s="291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73" t="s">
        <v>58</v>
      </c>
      <c r="H124" s="174" t="s">
        <v>298</v>
      </c>
      <c r="I124" s="175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5"/>
      <c r="R124" s="235"/>
      <c r="S124" s="235"/>
    </row>
    <row r="125" spans="1:19" ht="17.25" thickBot="1">
      <c r="A125" s="161" t="s">
        <v>134</v>
      </c>
      <c r="B125" s="124">
        <v>97.6</v>
      </c>
      <c r="C125" s="76">
        <v>1.7726798700000001E-2</v>
      </c>
      <c r="D125" s="13">
        <v>97</v>
      </c>
      <c r="E125" s="14">
        <f>IF(ISNUMBER(D125), (D125 - $B125) / $B125, "")</f>
        <v>-6.1475409836064992E-3</v>
      </c>
      <c r="F125" s="16">
        <f>IF(ISNUMBER(D125), $B145 * E125, "")</f>
        <v>-614.75409836064989</v>
      </c>
      <c r="G125" s="29">
        <v>93.5</v>
      </c>
      <c r="H125" s="14">
        <f>IF(ISNUMBER(G125), (G125 - $B125) / $B125, "")</f>
        <v>-4.2008196721311418E-2</v>
      </c>
      <c r="I125" s="100">
        <f>IF(ISNUMBER(G125), $B145 * H125, "")</f>
        <v>-4200.8196721311415</v>
      </c>
      <c r="J125" s="13">
        <v>92.4</v>
      </c>
      <c r="K125" s="14">
        <f>IF(ISNUMBER(J125), (J125 - $B125) / $B125, "")</f>
        <v>-5.327868852459005E-2</v>
      </c>
      <c r="L125" s="16">
        <f>IF(ISNUMBER(J125), $B145 * K125, "")</f>
        <v>-5327.8688524590052</v>
      </c>
      <c r="M125" s="29">
        <v>93.2</v>
      </c>
      <c r="N125" s="14">
        <f>IF(ISNUMBER(M125), (M125 - $B125) / $B125, "")</f>
        <v>-4.5081967213114672E-2</v>
      </c>
      <c r="O125" s="16">
        <f>IF(ISNUMBER(M125), $B145 * N125, "")</f>
        <v>-4508.1967213114676</v>
      </c>
      <c r="Q125" s="245"/>
      <c r="R125" s="245"/>
      <c r="S125" s="245"/>
    </row>
    <row r="126" spans="1:19" ht="17.25" thickBot="1">
      <c r="A126" s="162" t="s">
        <v>154</v>
      </c>
      <c r="B126" s="126">
        <v>11.5</v>
      </c>
      <c r="C126" s="77">
        <v>1.7699115000000001E-2</v>
      </c>
      <c r="D126" s="15">
        <v>11.3</v>
      </c>
      <c r="E126" s="32">
        <f t="shared" ref="E126:E129" si="62">IF(ISNUMBER(D126), (D126 - $B126) / $B126, "")</f>
        <v>-1.7391304347826025E-2</v>
      </c>
      <c r="F126" s="18">
        <f>IF(ISNUMBER(D126), $B145 * E126, "")</f>
        <v>-1739.1304347826024</v>
      </c>
      <c r="G126" s="31">
        <v>10.9</v>
      </c>
      <c r="H126" s="32">
        <f t="shared" ref="H126:H129" si="63">IF(ISNUMBER(G126), (G126 - $B126) / $B126, "")</f>
        <v>-5.217391304347823E-2</v>
      </c>
      <c r="I126" s="101">
        <f>IF(ISNUMBER(G126), $B145 * H126, "")</f>
        <v>-5217.3913043478233</v>
      </c>
      <c r="J126" s="15">
        <v>10.8</v>
      </c>
      <c r="K126" s="32">
        <f t="shared" ref="K126:K129" si="64">IF(ISNUMBER(J126), (J126 - $B126) / $B126, "")</f>
        <v>-6.0869565217391244E-2</v>
      </c>
      <c r="L126" s="18">
        <f>IF(ISNUMBER(J126), $B145 * K126, "")</f>
        <v>-6086.9565217391246</v>
      </c>
      <c r="M126" s="31">
        <v>10.9</v>
      </c>
      <c r="N126" s="32">
        <f t="shared" ref="N126:N129" si="65">IF(ISNUMBER(M126), (M126 - $B126) / $B126, "")</f>
        <v>-5.217391304347823E-2</v>
      </c>
      <c r="O126" s="18">
        <f>IF(ISNUMBER(M126), $B145 * N126, "")</f>
        <v>-5217.3913043478233</v>
      </c>
      <c r="Q126" s="245"/>
      <c r="R126" s="245"/>
      <c r="S126" s="245"/>
    </row>
    <row r="127" spans="1:19" ht="17.25" thickBot="1">
      <c r="A127" s="162" t="s">
        <v>220</v>
      </c>
      <c r="B127" s="126">
        <v>11.6</v>
      </c>
      <c r="C127" s="77">
        <v>1.75438596E-2</v>
      </c>
      <c r="D127" s="15">
        <v>11.3</v>
      </c>
      <c r="E127" s="32">
        <f t="shared" si="62"/>
        <v>-2.5862068965517151E-2</v>
      </c>
      <c r="F127" s="18">
        <f>IF(ISNUMBER(D127), $B145 * E127, "")</f>
        <v>-2586.2068965517151</v>
      </c>
      <c r="G127" s="31">
        <v>10.8</v>
      </c>
      <c r="H127" s="32">
        <f t="shared" si="63"/>
        <v>-6.8965517241379226E-2</v>
      </c>
      <c r="I127" s="101">
        <f>IF(ISNUMBER(G127), $B145 * H127, "")</f>
        <v>-6896.551724137923</v>
      </c>
      <c r="J127" s="15">
        <v>10.6</v>
      </c>
      <c r="K127" s="32">
        <f t="shared" si="64"/>
        <v>-8.6206896551724144E-2</v>
      </c>
      <c r="L127" s="18">
        <f>IF(ISNUMBER(J127), $B145 * K127, "")</f>
        <v>-8620.6896551724149</v>
      </c>
      <c r="M127" s="31">
        <v>10.8</v>
      </c>
      <c r="N127" s="32">
        <f t="shared" si="65"/>
        <v>-6.8965517241379226E-2</v>
      </c>
      <c r="O127" s="18">
        <f>IF(ISNUMBER(M127), $B145 * N127, "")</f>
        <v>-6896.551724137923</v>
      </c>
      <c r="Q127" s="235"/>
      <c r="R127" s="235"/>
      <c r="S127" s="235"/>
    </row>
    <row r="128" spans="1:19" ht="17.25" thickBot="1">
      <c r="A128" s="162" t="s">
        <v>236</v>
      </c>
      <c r="B128" s="126">
        <v>54.7</v>
      </c>
      <c r="C128" s="77">
        <v>1.48423006E-2</v>
      </c>
      <c r="D128" s="15">
        <v>54.2</v>
      </c>
      <c r="E128" s="32">
        <f t="shared" si="62"/>
        <v>-9.140767824497258E-3</v>
      </c>
      <c r="F128" s="18">
        <f>IF(ISNUMBER(D128), $B145 * E128, "")</f>
        <v>-914.07678244972578</v>
      </c>
      <c r="G128" s="31">
        <v>52.2</v>
      </c>
      <c r="H128" s="32">
        <f t="shared" si="63"/>
        <v>-4.5703839122486288E-2</v>
      </c>
      <c r="I128" s="101">
        <f>IF(ISNUMBER(G128), $B145 * H128, "")</f>
        <v>-4570.3839122486288</v>
      </c>
      <c r="J128" s="15">
        <v>50.9</v>
      </c>
      <c r="K128" s="32">
        <f t="shared" si="64"/>
        <v>-6.9469835466179228E-2</v>
      </c>
      <c r="L128" s="18">
        <f>IF(ISNUMBER(J128), $B145 * K128, "")</f>
        <v>-6946.9835466179229</v>
      </c>
      <c r="M128" s="31">
        <v>51.8</v>
      </c>
      <c r="N128" s="32">
        <f t="shared" si="65"/>
        <v>-5.3016453382084196E-2</v>
      </c>
      <c r="O128" s="18">
        <f>IF(ISNUMBER(M128), $B145 * N128, "")</f>
        <v>-5301.6453382084192</v>
      </c>
      <c r="Q128" s="235"/>
      <c r="R128" s="235"/>
      <c r="S128" s="235"/>
    </row>
    <row r="129" spans="1:19" ht="17.25" thickBot="1">
      <c r="A129" s="163" t="s">
        <v>72</v>
      </c>
      <c r="B129" s="128">
        <v>22.4</v>
      </c>
      <c r="C129" s="78">
        <v>1.35746606E-2</v>
      </c>
      <c r="D129" s="20">
        <v>22</v>
      </c>
      <c r="E129" s="21">
        <f t="shared" si="62"/>
        <v>-1.7857142857142794E-2</v>
      </c>
      <c r="F129" s="22">
        <f>IF(ISNUMBER(D129), $B145 * E129, "")</f>
        <v>-1785.7142857142794</v>
      </c>
      <c r="G129" s="30">
        <v>21.2</v>
      </c>
      <c r="H129" s="21">
        <f t="shared" si="63"/>
        <v>-5.3571428571428541E-2</v>
      </c>
      <c r="I129" s="105">
        <f>IF(ISNUMBER(G129), $B145 * H129, "")</f>
        <v>-5357.1428571428542</v>
      </c>
      <c r="J129" s="20">
        <v>20.8</v>
      </c>
      <c r="K129" s="21">
        <f t="shared" si="64"/>
        <v>-7.1428571428571341E-2</v>
      </c>
      <c r="L129" s="22">
        <f>IF(ISNUMBER(J129), $B145 * K129, "")</f>
        <v>-7142.857142857134</v>
      </c>
      <c r="M129" s="30">
        <v>21.1</v>
      </c>
      <c r="N129" s="21">
        <f t="shared" si="65"/>
        <v>-5.8035714285714163E-2</v>
      </c>
      <c r="O129" s="22">
        <f>IF(ISNUMBER(M129), $B145 * N129, "")</f>
        <v>-5803.5714285714166</v>
      </c>
      <c r="Q129" s="235"/>
      <c r="R129" s="235"/>
      <c r="S129" s="235"/>
    </row>
    <row r="130" spans="1:19" ht="17.25" thickBot="1">
      <c r="A130" s="162" t="s">
        <v>122</v>
      </c>
      <c r="B130" s="129">
        <v>71</v>
      </c>
      <c r="C130" s="80">
        <v>1.1396011399999999E-2</v>
      </c>
      <c r="D130" s="106">
        <v>70.3</v>
      </c>
      <c r="E130" s="107">
        <f>IF(ISNUMBER(D130), (D130 - $B130) / $B130, "")</f>
        <v>-9.8591549295775054E-3</v>
      </c>
      <c r="F130" s="108">
        <f>IF(ISNUMBER(D130), $B145 * E130, "")</f>
        <v>-985.91549295775053</v>
      </c>
      <c r="G130" s="109">
        <v>67.5</v>
      </c>
      <c r="H130" s="107">
        <f>IF(ISNUMBER(G130), (G130 - $B130) / $B130, "")</f>
        <v>-4.9295774647887321E-2</v>
      </c>
      <c r="I130" s="110">
        <f>IF(ISNUMBER(G130), $B145 * H130, "")</f>
        <v>-4929.577464788732</v>
      </c>
      <c r="J130" s="106">
        <v>66.900000000000006</v>
      </c>
      <c r="K130" s="107">
        <f>IF(ISNUMBER(J130), (J130 - $B130) / $B130, "")</f>
        <v>-5.774647887323936E-2</v>
      </c>
      <c r="L130" s="108">
        <f>IF(ISNUMBER(J130), $B145 * K130, "")</f>
        <v>-5774.6478873239357</v>
      </c>
      <c r="M130" s="109">
        <v>67.599999999999994</v>
      </c>
      <c r="N130" s="107">
        <f>IF(ISNUMBER(M130), (M130 - $B130) / $B130, "")</f>
        <v>-4.7887323943662054E-2</v>
      </c>
      <c r="O130" s="108">
        <f>IF(ISNUMBER(M130), $B145 * N130, "")</f>
        <v>-4788.732394366205</v>
      </c>
      <c r="Q130" s="235"/>
      <c r="R130" s="235"/>
      <c r="S130" s="235"/>
    </row>
    <row r="131" spans="1:19" ht="17.25" thickBot="1">
      <c r="A131" s="162" t="s">
        <v>268</v>
      </c>
      <c r="B131" s="126">
        <v>54.6</v>
      </c>
      <c r="C131" s="77">
        <v>1.11111111E-2</v>
      </c>
      <c r="D131" s="15">
        <v>54.2</v>
      </c>
      <c r="E131" s="32">
        <f t="shared" ref="E131:E134" si="66">IF(ISNUMBER(D131), (D131 - $B131) / $B131, "")</f>
        <v>-7.3260073260073E-3</v>
      </c>
      <c r="F131" s="18">
        <f>IF(ISNUMBER(D131), $B145 * E131, "")</f>
        <v>-732.60073260073</v>
      </c>
      <c r="G131" s="31">
        <v>52.5</v>
      </c>
      <c r="H131" s="32">
        <f t="shared" ref="H131:H134" si="67">IF(ISNUMBER(G131), (G131 - $B131) / $B131, "")</f>
        <v>-3.8461538461538484E-2</v>
      </c>
      <c r="I131" s="101">
        <f>IF(ISNUMBER(G131), $B145 * H131, "")</f>
        <v>-3846.1538461538485</v>
      </c>
      <c r="J131" s="15">
        <v>51.6</v>
      </c>
      <c r="K131" s="32">
        <f t="shared" ref="K131:K134" si="68">IF(ISNUMBER(J131), (J131 - $B131) / $B131, "")</f>
        <v>-5.4945054945054944E-2</v>
      </c>
      <c r="L131" s="18">
        <f>IF(ISNUMBER(J131), $B145 * K131, "")</f>
        <v>-5494.5054945054944</v>
      </c>
      <c r="M131" s="31">
        <v>52.3</v>
      </c>
      <c r="N131" s="32">
        <f t="shared" ref="N131:N134" si="69">IF(ISNUMBER(M131), (M131 - $B131) / $B131, "")</f>
        <v>-4.2124542124542204E-2</v>
      </c>
      <c r="O131" s="18">
        <f>IF(ISNUMBER(M131), $B145 * N131, "")</f>
        <v>-4212.4542124542204</v>
      </c>
      <c r="Q131" s="235"/>
      <c r="R131" s="235"/>
      <c r="S131" s="235"/>
    </row>
    <row r="132" spans="1:19" ht="17.25" thickBot="1">
      <c r="A132" s="162" t="s">
        <v>264</v>
      </c>
      <c r="B132" s="126">
        <v>93.4</v>
      </c>
      <c r="C132" s="77">
        <v>8.6393088999999999E-3</v>
      </c>
      <c r="D132" s="15">
        <v>91.6</v>
      </c>
      <c r="E132" s="32">
        <f t="shared" si="66"/>
        <v>-1.9271948608137166E-2</v>
      </c>
      <c r="F132" s="18">
        <f>IF(ISNUMBER(D132), $B145 * E132, "")</f>
        <v>-1927.1948608137166</v>
      </c>
      <c r="G132" s="31">
        <v>88.1</v>
      </c>
      <c r="H132" s="32">
        <f t="shared" si="67"/>
        <v>-5.6745182012848082E-2</v>
      </c>
      <c r="I132" s="101">
        <f>IF(ISNUMBER(G132), $B145 * H132, "")</f>
        <v>-5674.5182012848081</v>
      </c>
      <c r="J132" s="15">
        <v>86</v>
      </c>
      <c r="K132" s="32">
        <f t="shared" si="68"/>
        <v>-7.9229122055674575E-2</v>
      </c>
      <c r="L132" s="18">
        <f>IF(ISNUMBER(J132), $B145 * K132, "")</f>
        <v>-7922.9122055674579</v>
      </c>
      <c r="M132" s="31">
        <v>87.9</v>
      </c>
      <c r="N132" s="32">
        <f t="shared" si="69"/>
        <v>-5.8886509635974298E-2</v>
      </c>
      <c r="O132" s="18">
        <f>IF(ISNUMBER(M132), $B145 * N132, "")</f>
        <v>-5888.6509635974298</v>
      </c>
      <c r="Q132" s="235"/>
      <c r="R132" s="235"/>
      <c r="S132" s="235"/>
    </row>
    <row r="133" spans="1:19" ht="17.25" thickBot="1">
      <c r="A133" s="162" t="s">
        <v>196</v>
      </c>
      <c r="B133" s="126">
        <v>12.1</v>
      </c>
      <c r="C133" s="77">
        <v>8.3333333000000006E-3</v>
      </c>
      <c r="D133" s="15">
        <v>12.1</v>
      </c>
      <c r="E133" s="32">
        <f t="shared" si="66"/>
        <v>0</v>
      </c>
      <c r="F133" s="18">
        <f>IF(ISNUMBER(D133), $B145 * E133, "")</f>
        <v>0</v>
      </c>
      <c r="G133" s="31">
        <v>11.6</v>
      </c>
      <c r="H133" s="32">
        <f t="shared" si="67"/>
        <v>-4.1322314049586778E-2</v>
      </c>
      <c r="I133" s="101">
        <f>IF(ISNUMBER(G133), $B145 * H133, "")</f>
        <v>-4132.2314049586776</v>
      </c>
      <c r="J133" s="15">
        <v>11.5</v>
      </c>
      <c r="K133" s="32">
        <f t="shared" si="68"/>
        <v>-4.9586776859504106E-2</v>
      </c>
      <c r="L133" s="18">
        <f>IF(ISNUMBER(J133), $B145 * K133, "")</f>
        <v>-4958.6776859504107</v>
      </c>
      <c r="M133" s="31">
        <v>11.6</v>
      </c>
      <c r="N133" s="32">
        <f t="shared" si="69"/>
        <v>-4.1322314049586778E-2</v>
      </c>
      <c r="O133" s="18">
        <f>IF(ISNUMBER(M133), $B145 * N133, "")</f>
        <v>-4132.2314049586776</v>
      </c>
      <c r="Q133" s="33"/>
      <c r="R133" s="33"/>
    </row>
    <row r="134" spans="1:19" ht="17.25" thickBot="1">
      <c r="A134" s="130" t="s">
        <v>186</v>
      </c>
      <c r="B134" s="131">
        <v>14.2</v>
      </c>
      <c r="C134" s="79">
        <v>7.0921986000000003E-3</v>
      </c>
      <c r="D134" s="24">
        <v>15</v>
      </c>
      <c r="E134" s="25">
        <f t="shared" si="66"/>
        <v>5.6338028169014134E-2</v>
      </c>
      <c r="F134" s="104">
        <f>IF(ISNUMBER(D134), $B145 * E134, "")</f>
        <v>5633.8028169014133</v>
      </c>
      <c r="G134" s="102">
        <v>15.1</v>
      </c>
      <c r="H134" s="25">
        <f t="shared" si="67"/>
        <v>6.3380281690140872E-2</v>
      </c>
      <c r="I134" s="103">
        <f>IF(ISNUMBER(G134), $B145 * H134, "")</f>
        <v>6338.0281690140873</v>
      </c>
      <c r="J134" s="24">
        <v>15.7</v>
      </c>
      <c r="K134" s="25">
        <f t="shared" si="68"/>
        <v>0.10563380281690142</v>
      </c>
      <c r="L134" s="104">
        <f>IF(ISNUMBER(J134), $B145 * K134, "")</f>
        <v>10563.380281690143</v>
      </c>
      <c r="M134" s="102">
        <v>16.399999999999999</v>
      </c>
      <c r="N134" s="25">
        <f t="shared" si="69"/>
        <v>0.15492957746478869</v>
      </c>
      <c r="O134" s="104">
        <f>IF(ISNUMBER(M134), $B145 * N134, "")</f>
        <v>15492.957746478869</v>
      </c>
      <c r="Q134" s="236"/>
      <c r="R134" s="237"/>
      <c r="S134" s="238"/>
    </row>
    <row r="135" spans="1:19">
      <c r="A135" s="161" t="s">
        <v>214</v>
      </c>
      <c r="B135" s="124">
        <v>14.6</v>
      </c>
      <c r="C135" s="76">
        <v>6.8965516999999997E-3</v>
      </c>
      <c r="D135" s="13">
        <v>14.4</v>
      </c>
      <c r="E135" s="14">
        <f>IF(ISNUMBER(D135), (D135 - $B135) / $B135, "")</f>
        <v>-1.3698630136986254E-2</v>
      </c>
      <c r="F135" s="16">
        <f>IF(ISNUMBER(D135), $B145 * E135, "")</f>
        <v>-1369.8630136986253</v>
      </c>
      <c r="G135" s="29">
        <v>13.8</v>
      </c>
      <c r="H135" s="14">
        <f>IF(ISNUMBER(G135), (G135 - $B135) / $B135, "")</f>
        <v>-5.4794520547945133E-2</v>
      </c>
      <c r="I135" s="100">
        <f>IF(ISNUMBER(G135), $B145 * H135, "")</f>
        <v>-5479.4520547945131</v>
      </c>
      <c r="J135" s="13">
        <v>13.5</v>
      </c>
      <c r="K135" s="14">
        <f>IF(ISNUMBER(J135), (J135 - $B135) / $B135, "")</f>
        <v>-7.5342465753424639E-2</v>
      </c>
      <c r="L135" s="16">
        <f>IF(ISNUMBER(J135), $B145 * K135, "")</f>
        <v>-7534.246575342464</v>
      </c>
      <c r="M135" s="29">
        <v>13.8</v>
      </c>
      <c r="N135" s="14">
        <f>IF(ISNUMBER(M135), (M135 - $B135) / $B135, "")</f>
        <v>-5.4794520547945133E-2</v>
      </c>
      <c r="O135" s="16">
        <f>IF(ISNUMBER(M135), $B145 * N135, "")</f>
        <v>-5479.4520547945131</v>
      </c>
      <c r="Q135" s="239"/>
      <c r="R135" s="240"/>
      <c r="S135" s="241"/>
    </row>
    <row r="136" spans="1:19" ht="17.25" thickBot="1">
      <c r="A136" s="162" t="s">
        <v>212</v>
      </c>
      <c r="B136" s="126">
        <v>80.5</v>
      </c>
      <c r="C136" s="77">
        <v>4.9937578E-3</v>
      </c>
      <c r="D136" s="15">
        <v>86.1</v>
      </c>
      <c r="E136" s="32">
        <f t="shared" ref="E136:E139" si="70">IF(ISNUMBER(D136), (D136 - $B136) / $B136, "")</f>
        <v>6.9565217391304279E-2</v>
      </c>
      <c r="F136" s="18">
        <f>IF(ISNUMBER(D136), $B145 * E136, "")</f>
        <v>6956.5217391304277</v>
      </c>
      <c r="G136" s="31">
        <v>82</v>
      </c>
      <c r="H136" s="32">
        <f t="shared" ref="H136:H139" si="71">IF(ISNUMBER(G136), (G136 - $B136) / $B136, "")</f>
        <v>1.8633540372670808E-2</v>
      </c>
      <c r="I136" s="101">
        <f>IF(ISNUMBER(G136), $B145 * H136, "")</f>
        <v>1863.3540372670807</v>
      </c>
      <c r="J136" s="15">
        <v>78.3</v>
      </c>
      <c r="K136" s="32">
        <f t="shared" ref="K136:K139" si="72">IF(ISNUMBER(J136), (J136 - $B136) / $B136, "")</f>
        <v>-2.7329192546583888E-2</v>
      </c>
      <c r="L136" s="18">
        <f>IF(ISNUMBER(J136), $B145 * K136, "")</f>
        <v>-2732.9192546583886</v>
      </c>
      <c r="M136" s="31">
        <v>81.099999999999994</v>
      </c>
      <c r="N136" s="32">
        <f t="shared" ref="N136:N139" si="73">IF(ISNUMBER(M136), (M136 - $B136) / $B136, "")</f>
        <v>7.4534161490682526E-3</v>
      </c>
      <c r="O136" s="18">
        <f>IF(ISNUMBER(M136), $B145 * N136, "")</f>
        <v>745.34161490682527</v>
      </c>
      <c r="Q136" s="242"/>
      <c r="R136" s="243"/>
      <c r="S136" s="244"/>
    </row>
    <row r="137" spans="1:19" ht="17.25" thickBot="1">
      <c r="A137" s="162" t="s">
        <v>152</v>
      </c>
      <c r="B137" s="126">
        <v>20.7</v>
      </c>
      <c r="C137" s="77">
        <v>4.8543689000000003E-3</v>
      </c>
      <c r="D137" s="15">
        <v>21.1</v>
      </c>
      <c r="E137" s="32">
        <f t="shared" si="70"/>
        <v>1.9323671497584644E-2</v>
      </c>
      <c r="F137" s="18">
        <f>IF(ISNUMBER(D137), $B145 * E137, "")</f>
        <v>1932.3671497584644</v>
      </c>
      <c r="G137" s="31">
        <v>20.2</v>
      </c>
      <c r="H137" s="32">
        <f t="shared" si="71"/>
        <v>-2.4154589371980676E-2</v>
      </c>
      <c r="I137" s="101">
        <f>IF(ISNUMBER(G137), $B145 * H137, "")</f>
        <v>-2415.4589371980678</v>
      </c>
      <c r="J137" s="15">
        <v>19.7</v>
      </c>
      <c r="K137" s="32">
        <f t="shared" si="72"/>
        <v>-4.8309178743961352E-2</v>
      </c>
      <c r="L137" s="18">
        <f>IF(ISNUMBER(J137), $B145 * K137, "")</f>
        <v>-4830.9178743961356</v>
      </c>
      <c r="M137" s="31">
        <v>20.2</v>
      </c>
      <c r="N137" s="32">
        <f t="shared" si="73"/>
        <v>-2.4154589371980676E-2</v>
      </c>
      <c r="O137" s="18">
        <f>IF(ISNUMBER(M137), $B145 * N137, "")</f>
        <v>-2415.4589371980678</v>
      </c>
      <c r="Q137" s="235"/>
      <c r="R137" s="235"/>
      <c r="S137" s="235"/>
    </row>
    <row r="138" spans="1:19" ht="17.25" thickBot="1">
      <c r="A138" s="162" t="s">
        <v>65</v>
      </c>
      <c r="B138" s="126">
        <v>40.4</v>
      </c>
      <c r="C138" s="77">
        <v>2.4813895999999998E-3</v>
      </c>
      <c r="D138" s="15">
        <v>39</v>
      </c>
      <c r="E138" s="32">
        <f t="shared" si="70"/>
        <v>-3.4653465346534622E-2</v>
      </c>
      <c r="F138" s="18">
        <f>IF(ISNUMBER(D138), $B145 * E138, "")</f>
        <v>-3465.3465346534622</v>
      </c>
      <c r="G138" s="31">
        <v>37.9</v>
      </c>
      <c r="H138" s="32">
        <f t="shared" si="71"/>
        <v>-6.1881188118811881E-2</v>
      </c>
      <c r="I138" s="101">
        <f>IF(ISNUMBER(G138), $B145 * H138, "")</f>
        <v>-6188.1188118811879</v>
      </c>
      <c r="J138" s="15">
        <v>36.5</v>
      </c>
      <c r="K138" s="32">
        <f t="shared" si="72"/>
        <v>-9.6534653465346509E-2</v>
      </c>
      <c r="L138" s="18">
        <f>IF(ISNUMBER(J138), $B145 * K138, "")</f>
        <v>-9653.465346534651</v>
      </c>
      <c r="M138" s="31">
        <v>37.9</v>
      </c>
      <c r="N138" s="32">
        <f t="shared" si="73"/>
        <v>-6.1881188118811881E-2</v>
      </c>
      <c r="O138" s="18">
        <f>IF(ISNUMBER(M138), $B145 * N138, "")</f>
        <v>-6188.1188118811879</v>
      </c>
      <c r="Q138" s="245"/>
      <c r="R138" s="245"/>
      <c r="S138" s="245"/>
    </row>
    <row r="139" spans="1:19" ht="17.25" thickBot="1">
      <c r="A139" s="163" t="s">
        <v>228</v>
      </c>
      <c r="B139" s="128">
        <v>11</v>
      </c>
      <c r="C139" s="78">
        <v>0</v>
      </c>
      <c r="D139" s="20">
        <v>11</v>
      </c>
      <c r="E139" s="21">
        <f t="shared" si="70"/>
        <v>0</v>
      </c>
      <c r="F139" s="22">
        <f>IF(ISNUMBER(D139), $B145 * E139, "")</f>
        <v>0</v>
      </c>
      <c r="G139" s="30">
        <v>10.5</v>
      </c>
      <c r="H139" s="21">
        <f t="shared" si="71"/>
        <v>-4.5454545454545456E-2</v>
      </c>
      <c r="I139" s="105">
        <f>IF(ISNUMBER(G139), $B145 * H139, "")</f>
        <v>-4545.454545454546</v>
      </c>
      <c r="J139" s="20">
        <v>10.4</v>
      </c>
      <c r="K139" s="21">
        <f t="shared" si="72"/>
        <v>-5.4545454545454515E-2</v>
      </c>
      <c r="L139" s="22">
        <f>IF(ISNUMBER(J139), $B145 * K139, "")</f>
        <v>-5454.5454545454513</v>
      </c>
      <c r="M139" s="30">
        <v>10.5</v>
      </c>
      <c r="N139" s="21">
        <f t="shared" si="73"/>
        <v>-4.5454545454545456E-2</v>
      </c>
      <c r="O139" s="22">
        <f>IF(ISNUMBER(M139), $B145 * N139, "")</f>
        <v>-4545.454545454546</v>
      </c>
      <c r="Q139" s="245"/>
      <c r="R139" s="245"/>
      <c r="S139" s="245"/>
    </row>
    <row r="140" spans="1:19" ht="17.25" thickBot="1">
      <c r="A140" s="162" t="s">
        <v>172</v>
      </c>
      <c r="B140" s="129">
        <v>15.7</v>
      </c>
      <c r="C140" s="80">
        <v>0</v>
      </c>
      <c r="D140" s="106">
        <v>15.3</v>
      </c>
      <c r="E140" s="107">
        <f>IF(ISNUMBER(D140), (D140 - $B140) / $B140, "")</f>
        <v>-2.5477707006369338E-2</v>
      </c>
      <c r="F140" s="108">
        <f>IF(ISNUMBER(D140), $B145 * E140, "")</f>
        <v>-2547.7707006369337</v>
      </c>
      <c r="G140" s="109">
        <v>14.8</v>
      </c>
      <c r="H140" s="107">
        <f>IF(ISNUMBER(G140), (G140 - $B140) / $B140, "")</f>
        <v>-5.7324840764331121E-2</v>
      </c>
      <c r="I140" s="110">
        <f>IF(ISNUMBER(G140), $B145 * H140, "")</f>
        <v>-5732.484076433112</v>
      </c>
      <c r="J140" s="106">
        <v>14.6</v>
      </c>
      <c r="K140" s="107">
        <f>IF(ISNUMBER(J140), (J140 - $B140) / $B140, "")</f>
        <v>-7.0063694267515908E-2</v>
      </c>
      <c r="L140" s="108">
        <f>IF(ISNUMBER(J140), $B145 * K140, "")</f>
        <v>-7006.3694267515912</v>
      </c>
      <c r="M140" s="109">
        <v>14.9</v>
      </c>
      <c r="N140" s="107">
        <f>IF(ISNUMBER(M140), (M140 - $B140) / $B140, "")</f>
        <v>-5.0955414012738787E-2</v>
      </c>
      <c r="O140" s="108">
        <f>IF(ISNUMBER(M140), $B145 * N140, "")</f>
        <v>-5095.5414012738784</v>
      </c>
      <c r="Q140" s="235"/>
      <c r="R140" s="235"/>
      <c r="S140" s="235"/>
    </row>
    <row r="141" spans="1:19" ht="17.25" thickBot="1">
      <c r="A141" s="162" t="s">
        <v>126</v>
      </c>
      <c r="B141" s="126">
        <v>30.5</v>
      </c>
      <c r="C141" s="77">
        <v>0</v>
      </c>
      <c r="D141" s="15">
        <v>29.8</v>
      </c>
      <c r="E141" s="32">
        <f t="shared" ref="E141:E144" si="74">IF(ISNUMBER(D141), (D141 - $B141) / $B141, "")</f>
        <v>-2.2950819672131126E-2</v>
      </c>
      <c r="F141" s="18">
        <f>IF(ISNUMBER(D141), $B145 * E141, "")</f>
        <v>-2295.0819672131124</v>
      </c>
      <c r="G141" s="31">
        <v>28.6</v>
      </c>
      <c r="H141" s="32">
        <f t="shared" ref="H141:H144" si="75">IF(ISNUMBER(G141), (G141 - $B141) / $B141, "")</f>
        <v>-6.2295081967213069E-2</v>
      </c>
      <c r="I141" s="101">
        <f>IF(ISNUMBER(G141), $B145 * H141, "")</f>
        <v>-6229.5081967213073</v>
      </c>
      <c r="J141" s="15">
        <v>27.8</v>
      </c>
      <c r="K141" s="32">
        <f t="shared" ref="K141:K144" si="76">IF(ISNUMBER(J141), (J141 - $B141) / $B141, "")</f>
        <v>-8.8524590163934408E-2</v>
      </c>
      <c r="L141" s="18">
        <f>IF(ISNUMBER(J141), $B145 * K141, "")</f>
        <v>-8852.4590163934408</v>
      </c>
      <c r="M141" s="31">
        <v>28.8</v>
      </c>
      <c r="N141" s="32">
        <f t="shared" ref="N141:N144" si="77">IF(ISNUMBER(M141), (M141 - $B141) / $B141, "")</f>
        <v>-5.5737704918032767E-2</v>
      </c>
      <c r="O141" s="18">
        <f>IF(ISNUMBER(M141), $B145 * N141, "")</f>
        <v>-5573.7704918032769</v>
      </c>
      <c r="Q141" s="235"/>
      <c r="R141" s="235"/>
      <c r="S141" s="235"/>
    </row>
    <row r="142" spans="1:19" ht="17.25" thickBot="1">
      <c r="A142" s="162" t="s">
        <v>222</v>
      </c>
      <c r="B142" s="126">
        <v>11.9</v>
      </c>
      <c r="C142" s="77">
        <v>0</v>
      </c>
      <c r="D142" s="15">
        <v>11.7</v>
      </c>
      <c r="E142" s="32">
        <f t="shared" si="74"/>
        <v>-1.680672268907572E-2</v>
      </c>
      <c r="F142" s="18">
        <f>IF(ISNUMBER(D142), $B145 * E142, "")</f>
        <v>-1680.6722689075721</v>
      </c>
      <c r="G142" s="31">
        <v>11.4</v>
      </c>
      <c r="H142" s="32">
        <f t="shared" si="75"/>
        <v>-4.2016806722689072E-2</v>
      </c>
      <c r="I142" s="101">
        <f>IF(ISNUMBER(G142), $B145 * H142, "")</f>
        <v>-4201.6806722689071</v>
      </c>
      <c r="J142" s="15">
        <v>11.2</v>
      </c>
      <c r="K142" s="32">
        <f t="shared" si="76"/>
        <v>-5.8823529411764795E-2</v>
      </c>
      <c r="L142" s="18">
        <f>IF(ISNUMBER(J142), $B145 * K142, "")</f>
        <v>-5882.3529411764794</v>
      </c>
      <c r="M142" s="31">
        <v>11.5</v>
      </c>
      <c r="N142" s="32">
        <f t="shared" si="77"/>
        <v>-3.3613445378151287E-2</v>
      </c>
      <c r="O142" s="18">
        <f>IF(ISNUMBER(M142), $B145 * N142, "")</f>
        <v>-3361.3445378151287</v>
      </c>
      <c r="Q142" s="235"/>
      <c r="R142" s="235"/>
      <c r="S142" s="235"/>
    </row>
    <row r="143" spans="1:19">
      <c r="A143" s="162" t="s">
        <v>198</v>
      </c>
      <c r="B143" s="126">
        <v>17.3</v>
      </c>
      <c r="C143" s="77">
        <v>0</v>
      </c>
      <c r="D143" s="15">
        <v>17.2</v>
      </c>
      <c r="E143" s="32">
        <f t="shared" si="74"/>
        <v>-5.7803468208093307E-3</v>
      </c>
      <c r="F143" s="18">
        <f>IF(ISNUMBER(D143), $B145 * E143, "")</f>
        <v>-578.03468208093307</v>
      </c>
      <c r="G143" s="31">
        <v>16.7</v>
      </c>
      <c r="H143" s="32">
        <f t="shared" si="75"/>
        <v>-3.4682080924855571E-2</v>
      </c>
      <c r="I143" s="101">
        <f>IF(ISNUMBER(G143), $B145 * H143, "")</f>
        <v>-3468.2080924855572</v>
      </c>
      <c r="J143" s="15">
        <v>16.3</v>
      </c>
      <c r="K143" s="32">
        <f t="shared" si="76"/>
        <v>-5.7803468208092484E-2</v>
      </c>
      <c r="L143" s="18">
        <f>IF(ISNUMBER(J143), $B145 * K143, "")</f>
        <v>-5780.3468208092481</v>
      </c>
      <c r="M143" s="31">
        <v>16.7</v>
      </c>
      <c r="N143" s="32">
        <f t="shared" si="77"/>
        <v>-3.4682080924855571E-2</v>
      </c>
      <c r="O143" s="18">
        <f>IF(ISNUMBER(M143), $B145 * N143, "")</f>
        <v>-3468.2080924855572</v>
      </c>
      <c r="Q143" s="224"/>
      <c r="R143" s="225"/>
      <c r="S143" s="226"/>
    </row>
    <row r="144" spans="1:19" ht="17.25" thickBot="1">
      <c r="A144" s="130" t="s">
        <v>260</v>
      </c>
      <c r="B144" s="131">
        <v>81.7</v>
      </c>
      <c r="C144" s="79">
        <v>0</v>
      </c>
      <c r="D144" s="24">
        <v>80.5</v>
      </c>
      <c r="E144" s="25">
        <f t="shared" si="74"/>
        <v>-1.468788249694006E-2</v>
      </c>
      <c r="F144" s="104">
        <f>IF(ISNUMBER(D144), $B145 * E144, "")</f>
        <v>-1468.788249694006</v>
      </c>
      <c r="G144" s="102">
        <v>77.8</v>
      </c>
      <c r="H144" s="25">
        <f t="shared" si="75"/>
        <v>-4.7735618115055146E-2</v>
      </c>
      <c r="I144" s="103">
        <f>IF(ISNUMBER(G144), $B145 * H144, "")</f>
        <v>-4773.5618115055149</v>
      </c>
      <c r="J144" s="24">
        <v>76.400000000000006</v>
      </c>
      <c r="K144" s="25">
        <f t="shared" si="76"/>
        <v>-6.487148102815174E-2</v>
      </c>
      <c r="L144" s="104">
        <f>IF(ISNUMBER(J144), $B145 * K144, "")</f>
        <v>-6487.1481028151738</v>
      </c>
      <c r="M144" s="102">
        <v>77.900000000000006</v>
      </c>
      <c r="N144" s="25">
        <f t="shared" si="77"/>
        <v>-4.6511627906976709E-2</v>
      </c>
      <c r="O144" s="104">
        <f>IF(ISNUMBER(M144), $B145 * N144, "")</f>
        <v>-4651.162790697671</v>
      </c>
      <c r="Q144" s="227"/>
      <c r="R144" s="228"/>
      <c r="S144" s="229"/>
    </row>
    <row r="145" spans="1:19" ht="17.25" thickBot="1">
      <c r="A145" s="132" t="s">
        <v>300</v>
      </c>
      <c r="B145" s="288">
        <f>$B$37</f>
        <v>100000</v>
      </c>
      <c r="C145" s="289"/>
      <c r="D145" s="26" t="s">
        <v>301</v>
      </c>
      <c r="E145" s="27">
        <f>IF(COUNT(E125:E144), SUM(E125:E144) / COUNT(E125:E144), 0)</f>
        <v>-5.0842296476627542E-3</v>
      </c>
      <c r="F145" s="28">
        <f>SUM(F125:F144)</f>
        <v>-10168.459295325511</v>
      </c>
      <c r="G145" s="26" t="s">
        <v>301</v>
      </c>
      <c r="H145" s="27">
        <f>IF(COUNT(H125:H144), SUM(H125:H144) / COUNT(H125:H144), 0)</f>
        <v>-3.9828657689827983E-2</v>
      </c>
      <c r="I145" s="28">
        <f>SUM(I125:I144)</f>
        <v>-79657.315379655978</v>
      </c>
      <c r="J145" s="26" t="s">
        <v>301</v>
      </c>
      <c r="K145" s="27">
        <f>IF(COUNT(K125:K144), SUM(K125:K144) / COUNT(K125:K144), 0)</f>
        <v>-5.5963744761962884E-2</v>
      </c>
      <c r="L145" s="28">
        <f>SUM(L125:L144)</f>
        <v>-111927.4895239258</v>
      </c>
      <c r="M145" s="26" t="s">
        <v>301</v>
      </c>
      <c r="N145" s="27">
        <f>IF(COUNT(N125:N144), SUM(N125:N144) / COUNT(N125:N144), 0)</f>
        <v>-3.5644818896985862E-2</v>
      </c>
      <c r="O145" s="28">
        <f>SUM(O125:O144)</f>
        <v>-71289.637793971706</v>
      </c>
      <c r="Q145" s="230"/>
      <c r="R145" s="231"/>
      <c r="S145" s="232"/>
    </row>
    <row r="147" spans="1:19" ht="17.25" thickBot="1"/>
    <row r="148" spans="1:19" ht="17.25" thickBot="1">
      <c r="A148" s="246" t="s">
        <v>289</v>
      </c>
      <c r="B148" s="247"/>
      <c r="C148" s="247"/>
      <c r="D148" s="247"/>
      <c r="E148" s="247"/>
      <c r="F148" s="247"/>
      <c r="G148" s="247"/>
      <c r="H148" s="247"/>
      <c r="I148" s="247"/>
      <c r="J148" s="247"/>
      <c r="K148" s="247"/>
      <c r="L148" s="247"/>
      <c r="M148" s="247"/>
      <c r="N148" s="247"/>
      <c r="O148" s="248"/>
      <c r="Q148" s="245"/>
      <c r="R148" s="245"/>
      <c r="S148" s="245"/>
    </row>
    <row r="149" spans="1:19" ht="17.25" thickBot="1">
      <c r="A149" s="172" t="s">
        <v>297</v>
      </c>
      <c r="B149" s="246" t="s">
        <v>49</v>
      </c>
      <c r="C149" s="248"/>
      <c r="D149" s="246" t="s">
        <v>58</v>
      </c>
      <c r="E149" s="247"/>
      <c r="F149" s="248"/>
      <c r="G149" s="249">
        <f>_xlfn.IFNA(VLOOKUP(B149, 현재가테이블!$B$2:$D$200, 2, FALSE), "-")</f>
        <v>45335000</v>
      </c>
      <c r="H149" s="250"/>
      <c r="I149" s="251"/>
      <c r="J149" s="246" t="s">
        <v>59</v>
      </c>
      <c r="K149" s="247"/>
      <c r="L149" s="248"/>
      <c r="M149" s="252">
        <f>_xlfn.IFNA(VLOOKUP(B149, 현재가테이블!$B$2:$D$200, 3, FALSE), "-")</f>
        <v>-2.27209037E-2</v>
      </c>
      <c r="N149" s="253"/>
      <c r="O149" s="254"/>
      <c r="Q149" s="245"/>
      <c r="R149" s="245"/>
      <c r="S149" s="245"/>
    </row>
    <row r="150" spans="1:19" ht="17.25" thickBot="1">
      <c r="A150" s="290" t="s">
        <v>55</v>
      </c>
      <c r="B150" s="286" t="str">
        <f>TEXT($G$1, "[$-ko-KR]yyyy-mm-dd(ddd) ") &amp; "오전 00:00"</f>
        <v>2021-06-04(금) 오전 00:00</v>
      </c>
      <c r="C150" s="287"/>
      <c r="D150" s="259" t="str">
        <f>TEXT($G$1, "[$-ko-KR]yyyy-mm-dd(ddd) ") &amp; "오후 14:00"</f>
        <v>2021-06-04(금) 오후 14:00</v>
      </c>
      <c r="E150" s="260"/>
      <c r="F150" s="261"/>
      <c r="G150" s="259" t="str">
        <f>TEXT($G$1, "[$-ko-KR]yyyy-mm-dd(ddd) ") &amp; "오후 19:00"</f>
        <v>2021-06-04(금) 오후 19:00</v>
      </c>
      <c r="H150" s="260"/>
      <c r="I150" s="261"/>
      <c r="J150" s="259" t="str">
        <f>TEXT($G$1, "[$-ko-KR]yyyy-mm-dd(ddd) ") &amp; "오후 21:00"</f>
        <v>2021-06-04(금) 오후 21:00</v>
      </c>
      <c r="K150" s="260"/>
      <c r="L150" s="261"/>
      <c r="M150" s="259" t="str">
        <f>TEXT($G$1+1, "[$-ko-KR]yyyy-mm-dd(ddd) ") &amp; "오전 00:00"</f>
        <v>2021-06-05(토) 오전 00:00</v>
      </c>
      <c r="N150" s="260"/>
      <c r="O150" s="261"/>
      <c r="Q150" s="245"/>
      <c r="R150" s="245"/>
      <c r="S150" s="245"/>
    </row>
    <row r="151" spans="1:19" ht="17.25" thickBot="1">
      <c r="A151" s="291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73" t="s">
        <v>58</v>
      </c>
      <c r="H151" s="174" t="s">
        <v>298</v>
      </c>
      <c r="I151" s="175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5"/>
      <c r="R151" s="235"/>
      <c r="S151" s="235"/>
    </row>
    <row r="152" spans="1:19" ht="17.25" thickBot="1">
      <c r="A152" s="161" t="s">
        <v>282</v>
      </c>
      <c r="B152" s="124">
        <v>114</v>
      </c>
      <c r="C152" s="76">
        <v>8.8495575000000007E-3</v>
      </c>
      <c r="D152" s="13">
        <v>112</v>
      </c>
      <c r="E152" s="14">
        <f>IF(ISNUMBER(D152), (D152 - $B152) / $B152, "")</f>
        <v>-1.7543859649122806E-2</v>
      </c>
      <c r="F152" s="16">
        <f>IF(ISNUMBER(D152), $B172 * E152, "")</f>
        <v>-1754.3859649122805</v>
      </c>
      <c r="G152" s="29">
        <v>110</v>
      </c>
      <c r="H152" s="14">
        <f>IF(ISNUMBER(G152), (G152 - $B152) / $B152, "")</f>
        <v>-3.5087719298245612E-2</v>
      </c>
      <c r="I152" s="100">
        <f>IF(ISNUMBER(G152), $B172 * H152, "")</f>
        <v>-3508.7719298245611</v>
      </c>
      <c r="J152" s="13">
        <v>107</v>
      </c>
      <c r="K152" s="14">
        <f>IF(ISNUMBER(J152), (J152 - $B152) / $B152, "")</f>
        <v>-6.1403508771929821E-2</v>
      </c>
      <c r="L152" s="16">
        <f>IF(ISNUMBER(J152), $B172 * K152, "")</f>
        <v>-6140.3508771929819</v>
      </c>
      <c r="M152" s="29">
        <v>109</v>
      </c>
      <c r="N152" s="14">
        <f>IF(ISNUMBER(M152), (M152 - $B152) / $B152, "")</f>
        <v>-4.3859649122807015E-2</v>
      </c>
      <c r="O152" s="16">
        <f>IF(ISNUMBER(M152), $B172 * N152, "")</f>
        <v>-4385.9649122807014</v>
      </c>
      <c r="Q152" s="245"/>
      <c r="R152" s="245"/>
      <c r="S152" s="245"/>
    </row>
    <row r="153" spans="1:19" ht="17.25" thickBot="1">
      <c r="A153" s="162" t="s">
        <v>234</v>
      </c>
      <c r="B153" s="126">
        <v>869</v>
      </c>
      <c r="C153" s="77">
        <v>8.1206496999999996E-3</v>
      </c>
      <c r="D153" s="15">
        <v>861</v>
      </c>
      <c r="E153" s="32">
        <f t="shared" ref="E153:E156" si="78">IF(ISNUMBER(D153), (D153 - $B153) / $B153, "")</f>
        <v>-9.2059838895281933E-3</v>
      </c>
      <c r="F153" s="18">
        <f>IF(ISNUMBER(D153), $B172 * E153, "")</f>
        <v>-920.59838895281928</v>
      </c>
      <c r="G153" s="31">
        <v>825</v>
      </c>
      <c r="H153" s="32">
        <f t="shared" ref="H153:H156" si="79">IF(ISNUMBER(G153), (G153 - $B153) / $B153, "")</f>
        <v>-5.0632911392405063E-2</v>
      </c>
      <c r="I153" s="101">
        <f>IF(ISNUMBER(G153), $B172 * H153, "")</f>
        <v>-5063.2911392405058</v>
      </c>
      <c r="J153" s="15">
        <v>810</v>
      </c>
      <c r="K153" s="32">
        <f t="shared" ref="K153:K156" si="80">IF(ISNUMBER(J153), (J153 - $B153) / $B153, "")</f>
        <v>-6.789413118527042E-2</v>
      </c>
      <c r="L153" s="18">
        <f>IF(ISNUMBER(J153), $B172 * K153, "")</f>
        <v>-6789.4131185270417</v>
      </c>
      <c r="M153" s="31">
        <v>825</v>
      </c>
      <c r="N153" s="32">
        <f t="shared" ref="N153:N156" si="81">IF(ISNUMBER(M153), (M153 - $B153) / $B153, "")</f>
        <v>-5.0632911392405063E-2</v>
      </c>
      <c r="O153" s="18">
        <f>IF(ISNUMBER(M153), $B172 * N153, "")</f>
        <v>-5063.2911392405058</v>
      </c>
      <c r="Q153" s="245"/>
      <c r="R153" s="245"/>
      <c r="S153" s="245"/>
    </row>
    <row r="154" spans="1:19" ht="17.25" thickBot="1">
      <c r="A154" s="162" t="s">
        <v>210</v>
      </c>
      <c r="B154" s="126">
        <v>137</v>
      </c>
      <c r="C154" s="77">
        <v>7.3529412000000001E-3</v>
      </c>
      <c r="D154" s="15">
        <v>134</v>
      </c>
      <c r="E154" s="32">
        <f t="shared" si="78"/>
        <v>-2.1897810218978103E-2</v>
      </c>
      <c r="F154" s="18">
        <f>IF(ISNUMBER(D154), $B172 * E154, "")</f>
        <v>-2189.7810218978102</v>
      </c>
      <c r="G154" s="31">
        <v>129</v>
      </c>
      <c r="H154" s="32">
        <f t="shared" si="79"/>
        <v>-5.8394160583941604E-2</v>
      </c>
      <c r="I154" s="101">
        <f>IF(ISNUMBER(G154), $B172 * H154, "")</f>
        <v>-5839.4160583941602</v>
      </c>
      <c r="J154" s="15">
        <v>127</v>
      </c>
      <c r="K154" s="32">
        <f t="shared" si="80"/>
        <v>-7.2992700729927001E-2</v>
      </c>
      <c r="L154" s="18">
        <f>IF(ISNUMBER(J154), $B172 * K154, "")</f>
        <v>-7299.2700729927001</v>
      </c>
      <c r="M154" s="31">
        <v>128</v>
      </c>
      <c r="N154" s="32">
        <f t="shared" si="81"/>
        <v>-6.569343065693431E-2</v>
      </c>
      <c r="O154" s="18">
        <f>IF(ISNUMBER(M154), $B172 * N154, "")</f>
        <v>-6569.3430656934306</v>
      </c>
      <c r="Q154" s="235"/>
      <c r="R154" s="235"/>
      <c r="S154" s="235"/>
    </row>
    <row r="155" spans="1:19" ht="17.25" thickBot="1">
      <c r="A155" s="162" t="s">
        <v>226</v>
      </c>
      <c r="B155" s="126">
        <v>309</v>
      </c>
      <c r="C155" s="77">
        <v>6.5146580000000004E-3</v>
      </c>
      <c r="D155" s="15">
        <v>306</v>
      </c>
      <c r="E155" s="32">
        <f t="shared" si="78"/>
        <v>-9.7087378640776691E-3</v>
      </c>
      <c r="F155" s="18">
        <f>IF(ISNUMBER(D155), $B172 * E155, "")</f>
        <v>-970.87378640776694</v>
      </c>
      <c r="G155" s="31">
        <v>298</v>
      </c>
      <c r="H155" s="32">
        <f t="shared" si="79"/>
        <v>-3.5598705501618123E-2</v>
      </c>
      <c r="I155" s="101">
        <f>IF(ISNUMBER(G155), $B172 * H155, "")</f>
        <v>-3559.8705501618124</v>
      </c>
      <c r="J155" s="15">
        <v>298</v>
      </c>
      <c r="K155" s="32">
        <f t="shared" si="80"/>
        <v>-3.5598705501618123E-2</v>
      </c>
      <c r="L155" s="18">
        <f>IF(ISNUMBER(J155), $B172 * K155, "")</f>
        <v>-3559.8705501618124</v>
      </c>
      <c r="M155" s="31">
        <v>301</v>
      </c>
      <c r="N155" s="32">
        <f t="shared" si="81"/>
        <v>-2.5889967637540454E-2</v>
      </c>
      <c r="O155" s="18">
        <f>IF(ISNUMBER(M155), $B172 * N155, "")</f>
        <v>-2588.9967637540453</v>
      </c>
      <c r="Q155" s="235"/>
      <c r="R155" s="235"/>
      <c r="S155" s="235"/>
    </row>
    <row r="156" spans="1:19" ht="17.25" thickBot="1">
      <c r="A156" s="163" t="s">
        <v>182</v>
      </c>
      <c r="B156" s="128">
        <v>311</v>
      </c>
      <c r="C156" s="78">
        <v>6.4724919000000002E-3</v>
      </c>
      <c r="D156" s="20">
        <v>305</v>
      </c>
      <c r="E156" s="21">
        <f t="shared" si="78"/>
        <v>-1.9292604501607719E-2</v>
      </c>
      <c r="F156" s="22">
        <f>IF(ISNUMBER(D156), $B172 * E156, "")</f>
        <v>-1929.2604501607718</v>
      </c>
      <c r="G156" s="30">
        <v>298</v>
      </c>
      <c r="H156" s="21">
        <f t="shared" si="79"/>
        <v>-4.1800643086816719E-2</v>
      </c>
      <c r="I156" s="105">
        <f>IF(ISNUMBER(G156), $B172 * H156, "")</f>
        <v>-4180.0643086816717</v>
      </c>
      <c r="J156" s="20">
        <v>287</v>
      </c>
      <c r="K156" s="21">
        <f t="shared" si="80"/>
        <v>-7.7170418006430874E-2</v>
      </c>
      <c r="L156" s="22">
        <f>IF(ISNUMBER(J156), $B172 * K156, "")</f>
        <v>-7717.0418006430873</v>
      </c>
      <c r="M156" s="30">
        <v>295</v>
      </c>
      <c r="N156" s="21">
        <f t="shared" si="81"/>
        <v>-5.1446945337620578E-2</v>
      </c>
      <c r="O156" s="22">
        <f>IF(ISNUMBER(M156), $B172 * N156, "")</f>
        <v>-5144.6945337620582</v>
      </c>
      <c r="Q156" s="235"/>
      <c r="R156" s="235"/>
      <c r="S156" s="235"/>
    </row>
    <row r="157" spans="1:19" ht="17.25" thickBot="1">
      <c r="A157" s="162" t="s">
        <v>208</v>
      </c>
      <c r="B157" s="129">
        <v>342</v>
      </c>
      <c r="C157" s="80">
        <v>5.8823529000000003E-3</v>
      </c>
      <c r="D157" s="106">
        <v>333</v>
      </c>
      <c r="E157" s="107">
        <f>IF(ISNUMBER(D157), (D157 - $B157) / $B157, "")</f>
        <v>-2.6315789473684209E-2</v>
      </c>
      <c r="F157" s="108">
        <f>IF(ISNUMBER(D157), $B172 * E157, "")</f>
        <v>-2631.5789473684208</v>
      </c>
      <c r="G157" s="109">
        <v>318</v>
      </c>
      <c r="H157" s="107">
        <f>IF(ISNUMBER(G157), (G157 - $B157) / $B157, "")</f>
        <v>-7.0175438596491224E-2</v>
      </c>
      <c r="I157" s="110">
        <f>IF(ISNUMBER(G157), $B172 * H157, "")</f>
        <v>-7017.5438596491222</v>
      </c>
      <c r="J157" s="106">
        <v>311</v>
      </c>
      <c r="K157" s="107">
        <f>IF(ISNUMBER(J157), (J157 - $B157) / $B157, "")</f>
        <v>-9.0643274853801165E-2</v>
      </c>
      <c r="L157" s="108">
        <f>IF(ISNUMBER(J157), $B172 * K157, "")</f>
        <v>-9064.3274853801158</v>
      </c>
      <c r="M157" s="109">
        <v>317</v>
      </c>
      <c r="N157" s="107">
        <f>IF(ISNUMBER(M157), (M157 - $B157) / $B157, "")</f>
        <v>-7.3099415204678359E-2</v>
      </c>
      <c r="O157" s="108">
        <f>IF(ISNUMBER(M157), $B172 * N157, "")</f>
        <v>-7309.9415204678362</v>
      </c>
      <c r="Q157" s="235"/>
      <c r="R157" s="235"/>
      <c r="S157" s="235"/>
    </row>
    <row r="158" spans="1:19" ht="17.25" thickBot="1">
      <c r="A158" s="162" t="s">
        <v>256</v>
      </c>
      <c r="B158" s="126">
        <v>185</v>
      </c>
      <c r="C158" s="77">
        <v>5.4347826000000002E-3</v>
      </c>
      <c r="D158" s="15">
        <v>185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177</v>
      </c>
      <c r="H158" s="32">
        <f t="shared" ref="H158:H161" si="83">IF(ISNUMBER(G158), (G158 - $B158) / $B158, "")</f>
        <v>-4.3243243243243246E-2</v>
      </c>
      <c r="I158" s="101">
        <f>IF(ISNUMBER(G158), $B172 * H158, "")</f>
        <v>-4324.3243243243242</v>
      </c>
      <c r="J158" s="15">
        <v>174</v>
      </c>
      <c r="K158" s="32">
        <f t="shared" ref="K158:K161" si="84">IF(ISNUMBER(J158), (J158 - $B158) / $B158, "")</f>
        <v>-5.9459459459459463E-2</v>
      </c>
      <c r="L158" s="18">
        <f>IF(ISNUMBER(J158), $B172 * K158, "")</f>
        <v>-5945.9459459459458</v>
      </c>
      <c r="M158" s="31">
        <v>178</v>
      </c>
      <c r="N158" s="32">
        <f t="shared" ref="N158:N161" si="85">IF(ISNUMBER(M158), (M158 - $B158) / $B158, "")</f>
        <v>-3.783783783783784E-2</v>
      </c>
      <c r="O158" s="18">
        <f>IF(ISNUMBER(M158), $B172 * N158, "")</f>
        <v>-3783.7837837837842</v>
      </c>
      <c r="Q158" s="235"/>
      <c r="R158" s="235"/>
      <c r="S158" s="235"/>
    </row>
    <row r="159" spans="1:19" ht="17.25" thickBot="1">
      <c r="A159" s="162" t="s">
        <v>174</v>
      </c>
      <c r="B159" s="126">
        <v>196</v>
      </c>
      <c r="C159" s="77">
        <v>5.1282050999999999E-3</v>
      </c>
      <c r="D159" s="15">
        <v>194</v>
      </c>
      <c r="E159" s="32">
        <f t="shared" si="82"/>
        <v>-1.020408163265306E-2</v>
      </c>
      <c r="F159" s="18">
        <f>IF(ISNUMBER(D159), $B172 * E159, "")</f>
        <v>-1020.408163265306</v>
      </c>
      <c r="G159" s="31">
        <v>189</v>
      </c>
      <c r="H159" s="32">
        <f t="shared" si="83"/>
        <v>-3.5714285714285712E-2</v>
      </c>
      <c r="I159" s="101">
        <f>IF(ISNUMBER(G159), $B172 * H159, "")</f>
        <v>-3571.4285714285711</v>
      </c>
      <c r="J159" s="15">
        <v>185</v>
      </c>
      <c r="K159" s="32">
        <f t="shared" si="84"/>
        <v>-5.6122448979591837E-2</v>
      </c>
      <c r="L159" s="18">
        <f>IF(ISNUMBER(J159), $B172 * K159, "")</f>
        <v>-5612.2448979591836</v>
      </c>
      <c r="M159" s="31">
        <v>188</v>
      </c>
      <c r="N159" s="32">
        <f t="shared" si="85"/>
        <v>-4.0816326530612242E-2</v>
      </c>
      <c r="O159" s="18">
        <f>IF(ISNUMBER(M159), $B172 * N159, "")</f>
        <v>-4081.6326530612241</v>
      </c>
      <c r="Q159" s="235"/>
      <c r="R159" s="235"/>
      <c r="S159" s="235"/>
    </row>
    <row r="160" spans="1:19" ht="17.25" thickBot="1">
      <c r="A160" s="162" t="s">
        <v>168</v>
      </c>
      <c r="B160" s="126">
        <v>115</v>
      </c>
      <c r="C160" s="77">
        <v>0</v>
      </c>
      <c r="D160" s="15">
        <v>114</v>
      </c>
      <c r="E160" s="32">
        <f t="shared" si="82"/>
        <v>-8.6956521739130436E-3</v>
      </c>
      <c r="F160" s="18">
        <f>IF(ISNUMBER(D160), $B172 * E160, "")</f>
        <v>-869.56521739130437</v>
      </c>
      <c r="G160" s="31">
        <v>111</v>
      </c>
      <c r="H160" s="32">
        <f t="shared" si="83"/>
        <v>-3.4782608695652174E-2</v>
      </c>
      <c r="I160" s="101">
        <f>IF(ISNUMBER(G160), $B172 * H160, "")</f>
        <v>-3478.2608695652175</v>
      </c>
      <c r="J160" s="15">
        <v>108</v>
      </c>
      <c r="K160" s="32">
        <f t="shared" si="84"/>
        <v>-6.0869565217391307E-2</v>
      </c>
      <c r="L160" s="18">
        <f>IF(ISNUMBER(J160), $B172 * K160, "")</f>
        <v>-6086.9565217391309</v>
      </c>
      <c r="M160" s="31">
        <v>110</v>
      </c>
      <c r="N160" s="32">
        <f t="shared" si="85"/>
        <v>-4.3478260869565216E-2</v>
      </c>
      <c r="O160" s="18">
        <f>IF(ISNUMBER(M160), $B172 * N160, "")</f>
        <v>-4347.826086956522</v>
      </c>
      <c r="Q160" s="33"/>
      <c r="R160" s="33"/>
    </row>
    <row r="161" spans="1:19" ht="17.25" thickBot="1">
      <c r="A161" s="130" t="s">
        <v>51</v>
      </c>
      <c r="B161" s="131">
        <v>489</v>
      </c>
      <c r="C161" s="79">
        <v>0</v>
      </c>
      <c r="D161" s="24">
        <v>471</v>
      </c>
      <c r="E161" s="25">
        <f t="shared" si="82"/>
        <v>-3.6809815950920248E-2</v>
      </c>
      <c r="F161" s="104">
        <f>IF(ISNUMBER(D161), $B172 * E161, "")</f>
        <v>-3680.9815950920247</v>
      </c>
      <c r="G161" s="102">
        <v>453</v>
      </c>
      <c r="H161" s="25">
        <f t="shared" si="83"/>
        <v>-7.3619631901840496E-2</v>
      </c>
      <c r="I161" s="103">
        <f>IF(ISNUMBER(G161), $B172 * H161, "")</f>
        <v>-7361.9631901840494</v>
      </c>
      <c r="J161" s="24">
        <v>443</v>
      </c>
      <c r="K161" s="25">
        <f t="shared" si="84"/>
        <v>-9.4069529652351741E-2</v>
      </c>
      <c r="L161" s="104">
        <f>IF(ISNUMBER(J161), $B172 * K161, "")</f>
        <v>-9406.9529652351739</v>
      </c>
      <c r="M161" s="102">
        <v>453</v>
      </c>
      <c r="N161" s="25">
        <f t="shared" si="85"/>
        <v>-7.3619631901840496E-2</v>
      </c>
      <c r="O161" s="104">
        <f>IF(ISNUMBER(M161), $B172 * N161, "")</f>
        <v>-7361.9631901840494</v>
      </c>
      <c r="Q161" s="236"/>
      <c r="R161" s="237"/>
      <c r="S161" s="238"/>
    </row>
    <row r="162" spans="1:19">
      <c r="A162" s="161" t="s">
        <v>284</v>
      </c>
      <c r="B162" s="124">
        <v>274</v>
      </c>
      <c r="C162" s="76">
        <v>0</v>
      </c>
      <c r="D162" s="13">
        <v>266</v>
      </c>
      <c r="E162" s="14">
        <f>IF(ISNUMBER(D162), (D162 - $B162) / $B162, "")</f>
        <v>-2.9197080291970802E-2</v>
      </c>
      <c r="F162" s="16">
        <f>IF(ISNUMBER(D162), $B172 * E162, "")</f>
        <v>-2919.7080291970801</v>
      </c>
      <c r="G162" s="29">
        <v>258</v>
      </c>
      <c r="H162" s="14">
        <f>IF(ISNUMBER(G162), (G162 - $B162) / $B162, "")</f>
        <v>-5.8394160583941604E-2</v>
      </c>
      <c r="I162" s="100">
        <f>IF(ISNUMBER(G162), $B172 * H162, "")</f>
        <v>-5839.4160583941602</v>
      </c>
      <c r="J162" s="13">
        <v>251</v>
      </c>
      <c r="K162" s="14">
        <f>IF(ISNUMBER(J162), (J162 - $B162) / $B162, "")</f>
        <v>-8.3941605839416053E-2</v>
      </c>
      <c r="L162" s="16">
        <f>IF(ISNUMBER(J162), $B172 * K162, "")</f>
        <v>-8394.1605839416061</v>
      </c>
      <c r="M162" s="29">
        <v>257</v>
      </c>
      <c r="N162" s="14">
        <f>IF(ISNUMBER(M162), (M162 - $B162) / $B162, "")</f>
        <v>-6.2043795620437957E-2</v>
      </c>
      <c r="O162" s="16">
        <f>IF(ISNUMBER(M162), $B172 * N162, "")</f>
        <v>-6204.3795620437959</v>
      </c>
      <c r="Q162" s="239"/>
      <c r="R162" s="240"/>
      <c r="S162" s="241"/>
    </row>
    <row r="163" spans="1:19" ht="17.25" thickBot="1">
      <c r="A163" s="162" t="s">
        <v>252</v>
      </c>
      <c r="B163" s="126">
        <v>312</v>
      </c>
      <c r="C163" s="77">
        <v>0</v>
      </c>
      <c r="D163" s="15">
        <v>308</v>
      </c>
      <c r="E163" s="32">
        <f t="shared" ref="E163:E166" si="86">IF(ISNUMBER(D163), (D163 - $B163) / $B163, "")</f>
        <v>-1.282051282051282E-2</v>
      </c>
      <c r="F163" s="18">
        <f>IF(ISNUMBER(D163), $B172 * E163, "")</f>
        <v>-1282.051282051282</v>
      </c>
      <c r="G163" s="31">
        <v>312</v>
      </c>
      <c r="H163" s="32">
        <f t="shared" ref="H163:H166" si="87">IF(ISNUMBER(G163), (G163 - $B163) / $B163, "")</f>
        <v>0</v>
      </c>
      <c r="I163" s="101">
        <f>IF(ISNUMBER(G163), $B172 * H163, "")</f>
        <v>0</v>
      </c>
      <c r="J163" s="15">
        <v>311</v>
      </c>
      <c r="K163" s="32">
        <f t="shared" ref="K163:K166" si="88">IF(ISNUMBER(J163), (J163 - $B163) / $B163, "")</f>
        <v>-3.205128205128205E-3</v>
      </c>
      <c r="L163" s="18">
        <f>IF(ISNUMBER(J163), $B172 * K163, "")</f>
        <v>-320.5128205128205</v>
      </c>
      <c r="M163" s="31">
        <v>311</v>
      </c>
      <c r="N163" s="32">
        <f t="shared" ref="N163:N166" si="89">IF(ISNUMBER(M163), (M163 - $B163) / $B163, "")</f>
        <v>-3.205128205128205E-3</v>
      </c>
      <c r="O163" s="18">
        <f>IF(ISNUMBER(M163), $B172 * N163, "")</f>
        <v>-320.5128205128205</v>
      </c>
      <c r="Q163" s="242"/>
      <c r="R163" s="243"/>
      <c r="S163" s="244"/>
    </row>
    <row r="164" spans="1:19" ht="17.25" thickBot="1">
      <c r="A164" s="162" t="s">
        <v>232</v>
      </c>
      <c r="B164" s="126">
        <v>122</v>
      </c>
      <c r="C164" s="77">
        <v>0</v>
      </c>
      <c r="D164" s="15">
        <v>118</v>
      </c>
      <c r="E164" s="32">
        <f t="shared" si="86"/>
        <v>-3.2786885245901641E-2</v>
      </c>
      <c r="F164" s="18">
        <f>IF(ISNUMBER(D164), $B172 * E164, "")</f>
        <v>-3278.688524590164</v>
      </c>
      <c r="G164" s="31">
        <v>114</v>
      </c>
      <c r="H164" s="32">
        <f t="shared" si="87"/>
        <v>-6.5573770491803282E-2</v>
      </c>
      <c r="I164" s="101">
        <f>IF(ISNUMBER(G164), $B172 * H164, "")</f>
        <v>-6557.377049180328</v>
      </c>
      <c r="J164" s="15">
        <v>112</v>
      </c>
      <c r="K164" s="32">
        <f t="shared" si="88"/>
        <v>-8.1967213114754092E-2</v>
      </c>
      <c r="L164" s="18">
        <f>IF(ISNUMBER(J164), $B172 * K164, "")</f>
        <v>-8196.7213114754086</v>
      </c>
      <c r="M164" s="31">
        <v>115</v>
      </c>
      <c r="N164" s="32">
        <f t="shared" si="89"/>
        <v>-5.737704918032787E-2</v>
      </c>
      <c r="O164" s="18">
        <f>IF(ISNUMBER(M164), $B172 * N164, "")</f>
        <v>-5737.7049180327867</v>
      </c>
      <c r="Q164" s="235"/>
      <c r="R164" s="235"/>
      <c r="S164" s="235"/>
    </row>
    <row r="165" spans="1:19" ht="17.25" thickBot="1">
      <c r="A165" s="162" t="s">
        <v>238</v>
      </c>
      <c r="B165" s="126">
        <v>194</v>
      </c>
      <c r="C165" s="77">
        <v>0</v>
      </c>
      <c r="D165" s="15">
        <v>192</v>
      </c>
      <c r="E165" s="32">
        <f t="shared" si="86"/>
        <v>-1.0309278350515464E-2</v>
      </c>
      <c r="F165" s="18">
        <f>IF(ISNUMBER(D165), $B172 * E165, "")</f>
        <v>-1030.9278350515465</v>
      </c>
      <c r="G165" s="31">
        <v>185</v>
      </c>
      <c r="H165" s="32">
        <f t="shared" si="87"/>
        <v>-4.6391752577319589E-2</v>
      </c>
      <c r="I165" s="101">
        <f>IF(ISNUMBER(G165), $B172 * H165, "")</f>
        <v>-4639.1752577319585</v>
      </c>
      <c r="J165" s="15">
        <v>181</v>
      </c>
      <c r="K165" s="32">
        <f t="shared" si="88"/>
        <v>-6.7010309278350513E-2</v>
      </c>
      <c r="L165" s="18">
        <f>IF(ISNUMBER(J165), $B172 * K165, "")</f>
        <v>-6701.0309278350514</v>
      </c>
      <c r="M165" s="31">
        <v>183</v>
      </c>
      <c r="N165" s="32">
        <f t="shared" si="89"/>
        <v>-5.6701030927835051E-2</v>
      </c>
      <c r="O165" s="18">
        <f>IF(ISNUMBER(M165), $B172 * N165, "")</f>
        <v>-5670.1030927835054</v>
      </c>
      <c r="Q165" s="245"/>
      <c r="R165" s="245"/>
      <c r="S165" s="245"/>
    </row>
    <row r="166" spans="1:19" ht="17.25" thickBot="1">
      <c r="A166" s="163" t="s">
        <v>258</v>
      </c>
      <c r="B166" s="128">
        <v>511</v>
      </c>
      <c r="C166" s="78">
        <v>0</v>
      </c>
      <c r="D166" s="20">
        <v>506</v>
      </c>
      <c r="E166" s="21">
        <f t="shared" si="86"/>
        <v>-9.7847358121330719E-3</v>
      </c>
      <c r="F166" s="22">
        <f>IF(ISNUMBER(D166), $B172 * E166, "")</f>
        <v>-978.47358121330717</v>
      </c>
      <c r="G166" s="30">
        <v>492</v>
      </c>
      <c r="H166" s="21">
        <f t="shared" si="87"/>
        <v>-3.7181996086105673E-2</v>
      </c>
      <c r="I166" s="105">
        <f>IF(ISNUMBER(G166), $B172 * H166, "")</f>
        <v>-3718.1996086105673</v>
      </c>
      <c r="J166" s="20">
        <v>485</v>
      </c>
      <c r="K166" s="21">
        <f t="shared" si="88"/>
        <v>-5.0880626223091974E-2</v>
      </c>
      <c r="L166" s="22">
        <f>IF(ISNUMBER(J166), $B172 * K166, "")</f>
        <v>-5088.0626223091976</v>
      </c>
      <c r="M166" s="30">
        <v>490</v>
      </c>
      <c r="N166" s="21">
        <f t="shared" si="89"/>
        <v>-4.1095890410958902E-2</v>
      </c>
      <c r="O166" s="22">
        <f>IF(ISNUMBER(M166), $B172 * N166, "")</f>
        <v>-4109.58904109589</v>
      </c>
      <c r="Q166" s="245"/>
      <c r="R166" s="245"/>
      <c r="S166" s="245"/>
    </row>
    <row r="167" spans="1:19" ht="17.25" thickBot="1">
      <c r="A167" s="162" t="s">
        <v>250</v>
      </c>
      <c r="B167" s="129">
        <v>120</v>
      </c>
      <c r="C167" s="80">
        <v>0</v>
      </c>
      <c r="D167" s="106">
        <v>126</v>
      </c>
      <c r="E167" s="107">
        <f>IF(ISNUMBER(D167), (D167 - $B167) / $B167, "")</f>
        <v>0.05</v>
      </c>
      <c r="F167" s="108">
        <f>IF(ISNUMBER(D167), $B172 * E167, "")</f>
        <v>5000</v>
      </c>
      <c r="G167" s="109">
        <v>121</v>
      </c>
      <c r="H167" s="107">
        <f>IF(ISNUMBER(G167), (G167 - $B167) / $B167, "")</f>
        <v>8.3333333333333332E-3</v>
      </c>
      <c r="I167" s="110">
        <f>IF(ISNUMBER(G167), $B172 * H167, "")</f>
        <v>833.33333333333337</v>
      </c>
      <c r="J167" s="106">
        <v>118</v>
      </c>
      <c r="K167" s="107">
        <f>IF(ISNUMBER(J167), (J167 - $B167) / $B167, "")</f>
        <v>-1.6666666666666666E-2</v>
      </c>
      <c r="L167" s="108">
        <f>IF(ISNUMBER(J167), $B172 * K167, "")</f>
        <v>-1666.6666666666667</v>
      </c>
      <c r="M167" s="109">
        <v>121</v>
      </c>
      <c r="N167" s="107">
        <f>IF(ISNUMBER(M167), (M167 - $B167) / $B167, "")</f>
        <v>8.3333333333333332E-3</v>
      </c>
      <c r="O167" s="108">
        <f>IF(ISNUMBER(M167), $B172 * N167, "")</f>
        <v>833.33333333333337</v>
      </c>
      <c r="Q167" s="235"/>
      <c r="R167" s="235"/>
      <c r="S167" s="235"/>
    </row>
    <row r="168" spans="1:19" ht="17.25" thickBot="1">
      <c r="A168" s="162" t="s">
        <v>216</v>
      </c>
      <c r="B168" s="126">
        <v>296</v>
      </c>
      <c r="C168" s="77">
        <v>-3.3670034000000001E-3</v>
      </c>
      <c r="D168" s="15">
        <v>290</v>
      </c>
      <c r="E168" s="32">
        <f t="shared" ref="E168:E171" si="90">IF(ISNUMBER(D168), (D168 - $B168) / $B168, "")</f>
        <v>-2.0270270270270271E-2</v>
      </c>
      <c r="F168" s="18">
        <f>IF(ISNUMBER(D168), $B172 * E168, "")</f>
        <v>-2027.0270270270271</v>
      </c>
      <c r="G168" s="31">
        <v>281</v>
      </c>
      <c r="H168" s="32">
        <f t="shared" ref="H168:H171" si="91">IF(ISNUMBER(G168), (G168 - $B168) / $B168, "")</f>
        <v>-5.0675675675675678E-2</v>
      </c>
      <c r="I168" s="101">
        <f>IF(ISNUMBER(G168), $B172 * H168, "")</f>
        <v>-5067.5675675675675</v>
      </c>
      <c r="J168" s="15">
        <v>275</v>
      </c>
      <c r="K168" s="32">
        <f t="shared" ref="K168:K171" si="92">IF(ISNUMBER(J168), (J168 - $B168) / $B168, "")</f>
        <v>-7.0945945945945943E-2</v>
      </c>
      <c r="L168" s="18">
        <f>IF(ISNUMBER(J168), $B172 * K168, "")</f>
        <v>-7094.5945945945941</v>
      </c>
      <c r="M168" s="31">
        <v>278</v>
      </c>
      <c r="N168" s="32">
        <f t="shared" ref="N168:N171" si="93">IF(ISNUMBER(M168), (M168 - $B168) / $B168, "")</f>
        <v>-6.0810810810810814E-2</v>
      </c>
      <c r="O168" s="18">
        <f>IF(ISNUMBER(M168), $B172 * N168, "")</f>
        <v>-6081.0810810810817</v>
      </c>
      <c r="Q168" s="235"/>
      <c r="R168" s="235"/>
      <c r="S168" s="235"/>
    </row>
    <row r="169" spans="1:19" ht="17.25" thickBot="1">
      <c r="A169" s="162" t="s">
        <v>170</v>
      </c>
      <c r="B169" s="126">
        <v>309</v>
      </c>
      <c r="C169" s="77">
        <v>-6.4308682000000002E-3</v>
      </c>
      <c r="D169" s="15">
        <v>305</v>
      </c>
      <c r="E169" s="32">
        <f t="shared" si="90"/>
        <v>-1.2944983818770227E-2</v>
      </c>
      <c r="F169" s="18">
        <f>IF(ISNUMBER(D169), $B172 * E169, "")</f>
        <v>-1294.4983818770227</v>
      </c>
      <c r="G169" s="31">
        <v>294</v>
      </c>
      <c r="H169" s="32">
        <f t="shared" si="91"/>
        <v>-4.8543689320388349E-2</v>
      </c>
      <c r="I169" s="101">
        <f>IF(ISNUMBER(G169), $B172 * H169, "")</f>
        <v>-4854.3689320388348</v>
      </c>
      <c r="J169" s="15">
        <v>290</v>
      </c>
      <c r="K169" s="32">
        <f t="shared" si="92"/>
        <v>-6.1488673139158574E-2</v>
      </c>
      <c r="L169" s="18">
        <f>IF(ISNUMBER(J169), $B172 * K169, "")</f>
        <v>-6148.8673139158573</v>
      </c>
      <c r="M169" s="31">
        <v>296</v>
      </c>
      <c r="N169" s="32">
        <f t="shared" si="93"/>
        <v>-4.2071197411003236E-2</v>
      </c>
      <c r="O169" s="18">
        <f>IF(ISNUMBER(M169), $B172 * N169, "")</f>
        <v>-4207.1197411003232</v>
      </c>
      <c r="Q169" s="235"/>
      <c r="R169" s="235"/>
      <c r="S169" s="235"/>
    </row>
    <row r="170" spans="1:19">
      <c r="A170" s="162" t="s">
        <v>246</v>
      </c>
      <c r="B170" s="126">
        <v>313</v>
      </c>
      <c r="C170" s="77">
        <v>-9.4936709000000008E-3</v>
      </c>
      <c r="D170" s="15">
        <v>309</v>
      </c>
      <c r="E170" s="32">
        <f t="shared" si="90"/>
        <v>-1.2779552715654952E-2</v>
      </c>
      <c r="F170" s="18">
        <f>IF(ISNUMBER(D170), $B172 * E170, "")</f>
        <v>-1277.9552715654952</v>
      </c>
      <c r="G170" s="31">
        <v>304</v>
      </c>
      <c r="H170" s="32">
        <f t="shared" si="91"/>
        <v>-2.8753993610223641E-2</v>
      </c>
      <c r="I170" s="101">
        <f>IF(ISNUMBER(G170), $B172 * H170, "")</f>
        <v>-2875.3993610223642</v>
      </c>
      <c r="J170" s="15">
        <v>303</v>
      </c>
      <c r="K170" s="32">
        <f t="shared" si="92"/>
        <v>-3.1948881789137379E-2</v>
      </c>
      <c r="L170" s="18">
        <f>IF(ISNUMBER(J170), $B172 * K170, "")</f>
        <v>-3194.8881789137381</v>
      </c>
      <c r="M170" s="31">
        <v>307</v>
      </c>
      <c r="N170" s="32">
        <f t="shared" si="93"/>
        <v>-1.9169329073482427E-2</v>
      </c>
      <c r="O170" s="18">
        <f>IF(ISNUMBER(M170), $B172 * N170, "")</f>
        <v>-1916.9329073482427</v>
      </c>
      <c r="Q170" s="224"/>
      <c r="R170" s="225"/>
      <c r="S170" s="226"/>
    </row>
    <row r="171" spans="1:19" ht="17.25" thickBot="1">
      <c r="A171" s="130" t="s">
        <v>296</v>
      </c>
      <c r="B171" s="131">
        <v>471</v>
      </c>
      <c r="C171" s="79">
        <v>-4.26829268E-2</v>
      </c>
      <c r="D171" s="24">
        <v>455</v>
      </c>
      <c r="E171" s="25">
        <f t="shared" si="90"/>
        <v>-3.3970276008492568E-2</v>
      </c>
      <c r="F171" s="104">
        <f>IF(ISNUMBER(D171), $B172 * E171, "")</f>
        <v>-3397.0276008492569</v>
      </c>
      <c r="G171" s="102">
        <v>433</v>
      </c>
      <c r="H171" s="25">
        <f t="shared" si="91"/>
        <v>-8.0679405520169847E-2</v>
      </c>
      <c r="I171" s="103">
        <f>IF(ISNUMBER(G171), $B172 * H171, "")</f>
        <v>-8067.9405520169848</v>
      </c>
      <c r="J171" s="24">
        <v>418</v>
      </c>
      <c r="K171" s="25">
        <f t="shared" si="92"/>
        <v>-0.11252653927813164</v>
      </c>
      <c r="L171" s="104">
        <f>IF(ISNUMBER(J171), $B172 * K171, "")</f>
        <v>-11252.653927813164</v>
      </c>
      <c r="M171" s="102">
        <v>431</v>
      </c>
      <c r="N171" s="25">
        <f t="shared" si="93"/>
        <v>-8.4925690021231418E-2</v>
      </c>
      <c r="O171" s="104">
        <f>IF(ISNUMBER(M171), $B172 * N171, "")</f>
        <v>-8492.5690021231421</v>
      </c>
      <c r="Q171" s="227"/>
      <c r="R171" s="228"/>
      <c r="S171" s="229"/>
    </row>
    <row r="172" spans="1:19" ht="17.25" thickBot="1">
      <c r="A172" s="132" t="s">
        <v>300</v>
      </c>
      <c r="B172" s="288">
        <f>$B$37</f>
        <v>100000</v>
      </c>
      <c r="C172" s="289"/>
      <c r="D172" s="26" t="s">
        <v>301</v>
      </c>
      <c r="E172" s="27">
        <f>IF(COUNT(E152:E171), SUM(E152:E171) / COUNT(E152:E171), 0)</f>
        <v>-1.4226895534435343E-2</v>
      </c>
      <c r="F172" s="28">
        <f>SUM(F152:F171)</f>
        <v>-28453.791068870687</v>
      </c>
      <c r="G172" s="26" t="s">
        <v>301</v>
      </c>
      <c r="H172" s="27">
        <f>IF(COUNT(H152:H171), SUM(H152:H171) / COUNT(H152:H171), 0)</f>
        <v>-4.4345522927341716E-2</v>
      </c>
      <c r="I172" s="28">
        <f>SUM(I152:I171)</f>
        <v>-88691.045854683442</v>
      </c>
      <c r="J172" s="26" t="s">
        <v>301</v>
      </c>
      <c r="K172" s="27">
        <f>IF(COUNT(K152:K171), SUM(K152:K171) / COUNT(K152:K171), 0)</f>
        <v>-6.2840266591877636E-2</v>
      </c>
      <c r="L172" s="28">
        <f>SUM(L152:L171)</f>
        <v>-125680.53318375529</v>
      </c>
      <c r="M172" s="26" t="s">
        <v>301</v>
      </c>
      <c r="N172" s="27">
        <f>IF(COUNT(N152:N171), SUM(N152:N171) / COUNT(N152:N171), 0)</f>
        <v>-4.6272048240986206E-2</v>
      </c>
      <c r="O172" s="28">
        <f>SUM(O152:O171)</f>
        <v>-92544.096481972418</v>
      </c>
      <c r="Q172" s="230"/>
      <c r="R172" s="231"/>
      <c r="S172" s="232"/>
    </row>
    <row r="174" spans="1:19" ht="17.25" thickBot="1"/>
    <row r="175" spans="1:19" ht="17.25" thickBot="1">
      <c r="A175" s="246" t="s">
        <v>285</v>
      </c>
      <c r="B175" s="247"/>
      <c r="C175" s="247"/>
      <c r="D175" s="247"/>
      <c r="E175" s="247"/>
      <c r="F175" s="247"/>
      <c r="G175" s="247"/>
      <c r="H175" s="247"/>
      <c r="I175" s="247"/>
      <c r="J175" s="247"/>
      <c r="K175" s="247"/>
      <c r="L175" s="247"/>
      <c r="M175" s="247"/>
      <c r="N175" s="247"/>
      <c r="O175" s="248"/>
      <c r="Q175" s="245"/>
      <c r="R175" s="245"/>
      <c r="S175" s="245"/>
    </row>
    <row r="176" spans="1:19" ht="17.25" thickBot="1">
      <c r="A176" s="172" t="s">
        <v>297</v>
      </c>
      <c r="B176" s="246" t="s">
        <v>49</v>
      </c>
      <c r="C176" s="248"/>
      <c r="D176" s="246" t="s">
        <v>58</v>
      </c>
      <c r="E176" s="247"/>
      <c r="F176" s="248"/>
      <c r="G176" s="249">
        <f>_xlfn.IFNA(VLOOKUP(B176, 현재가테이블!$B$2:$D$200, 2, FALSE), "-")</f>
        <v>45335000</v>
      </c>
      <c r="H176" s="250"/>
      <c r="I176" s="251"/>
      <c r="J176" s="246" t="s">
        <v>59</v>
      </c>
      <c r="K176" s="247"/>
      <c r="L176" s="248"/>
      <c r="M176" s="252">
        <f>_xlfn.IFNA(VLOOKUP(B176, 현재가테이블!$B$2:$D$200, 3, FALSE), "-")</f>
        <v>-2.27209037E-2</v>
      </c>
      <c r="N176" s="253"/>
      <c r="O176" s="254"/>
      <c r="Q176" s="245"/>
      <c r="R176" s="245"/>
      <c r="S176" s="245"/>
    </row>
    <row r="177" spans="1:19" ht="17.25" thickBot="1">
      <c r="A177" s="290" t="s">
        <v>55</v>
      </c>
      <c r="B177" s="286" t="str">
        <f>TEXT($G$1, "[$-ko-KR]yyyy-mm-dd(ddd) ") &amp; "오전 00:00"</f>
        <v>2021-06-04(금) 오전 00:00</v>
      </c>
      <c r="C177" s="287"/>
      <c r="D177" s="259" t="str">
        <f>TEXT($G$1, "[$-ko-KR]yyyy-mm-dd(ddd) ") &amp; "오후 14:00"</f>
        <v>2021-06-04(금) 오후 14:00</v>
      </c>
      <c r="E177" s="260"/>
      <c r="F177" s="261"/>
      <c r="G177" s="259" t="str">
        <f>TEXT($G$1, "[$-ko-KR]yyyy-mm-dd(ddd) ") &amp; "오후 19:00"</f>
        <v>2021-06-04(금) 오후 19:00</v>
      </c>
      <c r="H177" s="260"/>
      <c r="I177" s="261"/>
      <c r="J177" s="259" t="str">
        <f>TEXT($G$1, "[$-ko-KR]yyyy-mm-dd(ddd) ") &amp; "오후 21:00"</f>
        <v>2021-06-04(금) 오후 21:00</v>
      </c>
      <c r="K177" s="260"/>
      <c r="L177" s="261"/>
      <c r="M177" s="259" t="str">
        <f>TEXT($G$1+1, "[$-ko-KR]yyyy-mm-dd(ddd) ") &amp; "오전 00:00"</f>
        <v>2021-06-05(토) 오전 00:00</v>
      </c>
      <c r="N177" s="260"/>
      <c r="O177" s="261"/>
      <c r="Q177" s="245"/>
      <c r="R177" s="245"/>
      <c r="S177" s="245"/>
    </row>
    <row r="178" spans="1:19" ht="17.25" thickBot="1">
      <c r="A178" s="291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73" t="s">
        <v>58</v>
      </c>
      <c r="H178" s="174" t="s">
        <v>298</v>
      </c>
      <c r="I178" s="175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5"/>
      <c r="R178" s="235"/>
      <c r="S178" s="235"/>
    </row>
    <row r="179" spans="1:19" ht="17.25" thickBot="1">
      <c r="A179" s="161" t="s">
        <v>198</v>
      </c>
      <c r="B179" s="124">
        <v>17.3</v>
      </c>
      <c r="C179" s="76">
        <v>0</v>
      </c>
      <c r="D179" s="13">
        <v>17.2</v>
      </c>
      <c r="E179" s="14">
        <f>IF(ISNUMBER(D179), (D179 - $B179) / $B179, "")</f>
        <v>-5.7803468208093307E-3</v>
      </c>
      <c r="F179" s="16">
        <f>IF(ISNUMBER(D179), $B199 * E179, "")</f>
        <v>-578.03468208093307</v>
      </c>
      <c r="G179" s="29">
        <v>16.7</v>
      </c>
      <c r="H179" s="14">
        <f>IF(ISNUMBER(G179), (G179 - $B179) / $B179, "")</f>
        <v>-3.4682080924855571E-2</v>
      </c>
      <c r="I179" s="100">
        <f>IF(ISNUMBER(G179), $B199 * H179, "")</f>
        <v>-3468.2080924855572</v>
      </c>
      <c r="J179" s="13">
        <v>16.3</v>
      </c>
      <c r="K179" s="14">
        <f>IF(ISNUMBER(J179), (J179 - $B179) / $B179, "")</f>
        <v>-5.7803468208092484E-2</v>
      </c>
      <c r="L179" s="16">
        <f>IF(ISNUMBER(J179), $B199 * K179, "")</f>
        <v>-5780.3468208092481</v>
      </c>
      <c r="M179" s="29">
        <v>16.7</v>
      </c>
      <c r="N179" s="14">
        <f>IF(ISNUMBER(M179), (M179 - $B179) / $B179, "")</f>
        <v>-3.4682080924855571E-2</v>
      </c>
      <c r="O179" s="16">
        <f>IF(ISNUMBER(M179), $B199 * N179, "")</f>
        <v>-3468.2080924855572</v>
      </c>
      <c r="Q179" s="245"/>
      <c r="R179" s="245"/>
      <c r="S179" s="245"/>
    </row>
    <row r="180" spans="1:19" ht="17.25" thickBot="1">
      <c r="A180" s="162" t="s">
        <v>276</v>
      </c>
      <c r="B180" s="126">
        <v>2965</v>
      </c>
      <c r="C180" s="77">
        <v>0</v>
      </c>
      <c r="D180" s="15">
        <v>2935</v>
      </c>
      <c r="E180" s="32">
        <f t="shared" ref="E180:E183" si="94">IF(ISNUMBER(D180), (D180 - $B180) / $B180, "")</f>
        <v>-1.0118043844856661E-2</v>
      </c>
      <c r="F180" s="18">
        <f>IF(ISNUMBER(D180), $B199 * E180, "")</f>
        <v>-1011.8043844856661</v>
      </c>
      <c r="G180" s="31">
        <v>2835</v>
      </c>
      <c r="H180" s="32">
        <f t="shared" ref="H180:H183" si="95">IF(ISNUMBER(G180), (G180 - $B180) / $B180, "")</f>
        <v>-4.3844856661045532E-2</v>
      </c>
      <c r="I180" s="101">
        <f>IF(ISNUMBER(G180), $B199 * H180, "")</f>
        <v>-4384.4856661045533</v>
      </c>
      <c r="J180" s="15">
        <v>2845</v>
      </c>
      <c r="K180" s="32">
        <f t="shared" ref="K180:K183" si="96">IF(ISNUMBER(J180), (J180 - $B180) / $B180, "")</f>
        <v>-4.0472175379426642E-2</v>
      </c>
      <c r="L180" s="18">
        <f>IF(ISNUMBER(J180), $B199 * K180, "")</f>
        <v>-4047.2175379426644</v>
      </c>
      <c r="M180" s="31">
        <v>2850</v>
      </c>
      <c r="N180" s="32">
        <f t="shared" ref="N180:N183" si="97">IF(ISNUMBER(M180), (M180 - $B180) / $B180, "")</f>
        <v>-3.87858347386172E-2</v>
      </c>
      <c r="O180" s="18">
        <f>IF(ISNUMBER(M180), $B199 * N180, "")</f>
        <v>-3878.58347386172</v>
      </c>
      <c r="Q180" s="245"/>
      <c r="R180" s="245"/>
      <c r="S180" s="245"/>
    </row>
    <row r="181" spans="1:19" ht="17.25" thickBot="1">
      <c r="A181" s="162" t="s">
        <v>260</v>
      </c>
      <c r="B181" s="126">
        <v>81.7</v>
      </c>
      <c r="C181" s="77">
        <v>0</v>
      </c>
      <c r="D181" s="15">
        <v>80.5</v>
      </c>
      <c r="E181" s="32">
        <f t="shared" si="94"/>
        <v>-1.468788249694006E-2</v>
      </c>
      <c r="F181" s="18">
        <f>IF(ISNUMBER(D181), $B199 * E181, "")</f>
        <v>-1468.788249694006</v>
      </c>
      <c r="G181" s="31">
        <v>77.8</v>
      </c>
      <c r="H181" s="32">
        <f t="shared" si="95"/>
        <v>-4.7735618115055146E-2</v>
      </c>
      <c r="I181" s="101">
        <f>IF(ISNUMBER(G181), $B199 * H181, "")</f>
        <v>-4773.5618115055149</v>
      </c>
      <c r="J181" s="15">
        <v>76.400000000000006</v>
      </c>
      <c r="K181" s="32">
        <f t="shared" si="96"/>
        <v>-6.487148102815174E-2</v>
      </c>
      <c r="L181" s="18">
        <f>IF(ISNUMBER(J181), $B199 * K181, "")</f>
        <v>-6487.1481028151738</v>
      </c>
      <c r="M181" s="31">
        <v>77.900000000000006</v>
      </c>
      <c r="N181" s="32">
        <f t="shared" si="97"/>
        <v>-4.6511627906976709E-2</v>
      </c>
      <c r="O181" s="18">
        <f>IF(ISNUMBER(M181), $B199 * N181, "")</f>
        <v>-4651.162790697671</v>
      </c>
      <c r="Q181" s="235"/>
      <c r="R181" s="235"/>
      <c r="S181" s="235"/>
    </row>
    <row r="182" spans="1:19" ht="17.25" thickBot="1">
      <c r="A182" s="162" t="s">
        <v>250</v>
      </c>
      <c r="B182" s="126">
        <v>120</v>
      </c>
      <c r="C182" s="77">
        <v>0</v>
      </c>
      <c r="D182" s="15">
        <v>126</v>
      </c>
      <c r="E182" s="32">
        <f t="shared" si="94"/>
        <v>0.05</v>
      </c>
      <c r="F182" s="18">
        <f>IF(ISNUMBER(D182), $B199 * E182, "")</f>
        <v>5000</v>
      </c>
      <c r="G182" s="31">
        <v>121</v>
      </c>
      <c r="H182" s="32">
        <f t="shared" si="95"/>
        <v>8.3333333333333332E-3</v>
      </c>
      <c r="I182" s="101">
        <f>IF(ISNUMBER(G182), $B199 * H182, "")</f>
        <v>833.33333333333337</v>
      </c>
      <c r="J182" s="15">
        <v>118</v>
      </c>
      <c r="K182" s="32">
        <f t="shared" si="96"/>
        <v>-1.6666666666666666E-2</v>
      </c>
      <c r="L182" s="18">
        <f>IF(ISNUMBER(J182), $B199 * K182, "")</f>
        <v>-1666.6666666666667</v>
      </c>
      <c r="M182" s="31">
        <v>121</v>
      </c>
      <c r="N182" s="32">
        <f t="shared" si="97"/>
        <v>8.3333333333333332E-3</v>
      </c>
      <c r="O182" s="18">
        <f>IF(ISNUMBER(M182), $B199 * N182, "")</f>
        <v>833.33333333333337</v>
      </c>
      <c r="Q182" s="235"/>
      <c r="R182" s="235"/>
      <c r="S182" s="235"/>
    </row>
    <row r="183" spans="1:19" ht="17.25" thickBot="1">
      <c r="A183" s="163" t="s">
        <v>67</v>
      </c>
      <c r="B183" s="128">
        <v>5615</v>
      </c>
      <c r="C183" s="78">
        <v>-8.8967970000000001E-4</v>
      </c>
      <c r="D183" s="20">
        <v>5700</v>
      </c>
      <c r="E183" s="21">
        <f t="shared" si="94"/>
        <v>1.5138023152270703E-2</v>
      </c>
      <c r="F183" s="22">
        <f>IF(ISNUMBER(D183), $B199 * E183, "")</f>
        <v>1513.8023152270703</v>
      </c>
      <c r="G183" s="30">
        <v>6005</v>
      </c>
      <c r="H183" s="21">
        <f t="shared" si="95"/>
        <v>6.9456812110418528E-2</v>
      </c>
      <c r="I183" s="105">
        <f>IF(ISNUMBER(G183), $B199 * H183, "")</f>
        <v>6945.6812110418532</v>
      </c>
      <c r="J183" s="20">
        <v>5610</v>
      </c>
      <c r="K183" s="21">
        <f t="shared" si="96"/>
        <v>-8.9047195013357077E-4</v>
      </c>
      <c r="L183" s="22">
        <f>IF(ISNUMBER(J183), $B199 * K183, "")</f>
        <v>-89.047195013357083</v>
      </c>
      <c r="M183" s="30">
        <v>5770</v>
      </c>
      <c r="N183" s="21">
        <f t="shared" si="97"/>
        <v>2.7604630454140695E-2</v>
      </c>
      <c r="O183" s="22">
        <f>IF(ISNUMBER(M183), $B199 * N183, "")</f>
        <v>2760.4630454140697</v>
      </c>
      <c r="Q183" s="235"/>
      <c r="R183" s="235"/>
      <c r="S183" s="235"/>
    </row>
    <row r="184" spans="1:19" ht="17.25" thickBot="1">
      <c r="A184" s="162" t="s">
        <v>204</v>
      </c>
      <c r="B184" s="129">
        <v>4025</v>
      </c>
      <c r="C184" s="80">
        <v>-1.2406947999999999E-3</v>
      </c>
      <c r="D184" s="106">
        <v>4065</v>
      </c>
      <c r="E184" s="107">
        <f>IF(ISNUMBER(D184), (D184 - $B184) / $B184, "")</f>
        <v>9.9378881987577643E-3</v>
      </c>
      <c r="F184" s="108">
        <f>IF(ISNUMBER(D184), $B199 * E184, "")</f>
        <v>993.78881987577643</v>
      </c>
      <c r="G184" s="109">
        <v>3915</v>
      </c>
      <c r="H184" s="107">
        <f>IF(ISNUMBER(G184), (G184 - $B184) / $B184, "")</f>
        <v>-2.732919254658385E-2</v>
      </c>
      <c r="I184" s="110">
        <f>IF(ISNUMBER(G184), $B199 * H184, "")</f>
        <v>-2732.9192546583849</v>
      </c>
      <c r="J184" s="106">
        <v>3780</v>
      </c>
      <c r="K184" s="107">
        <f>IF(ISNUMBER(J184), (J184 - $B184) / $B184, "")</f>
        <v>-6.0869565217391307E-2</v>
      </c>
      <c r="L184" s="108">
        <f>IF(ISNUMBER(J184), $B199 * K184, "")</f>
        <v>-6086.9565217391309</v>
      </c>
      <c r="M184" s="109">
        <v>3840</v>
      </c>
      <c r="N184" s="107">
        <f>IF(ISNUMBER(M184), (M184 - $B184) / $B184, "")</f>
        <v>-4.5962732919254658E-2</v>
      </c>
      <c r="O184" s="108">
        <f>IF(ISNUMBER(M184), $B199 * N184, "")</f>
        <v>-4596.2732919254659</v>
      </c>
      <c r="Q184" s="235"/>
      <c r="R184" s="235"/>
      <c r="S184" s="235"/>
    </row>
    <row r="185" spans="1:19" ht="17.25" thickBot="1">
      <c r="A185" s="162" t="s">
        <v>180</v>
      </c>
      <c r="B185" s="126">
        <v>2800</v>
      </c>
      <c r="C185" s="77">
        <v>-1.7825312E-3</v>
      </c>
      <c r="D185" s="15">
        <v>2725</v>
      </c>
      <c r="E185" s="32">
        <f t="shared" ref="E185:E188" si="98">IF(ISNUMBER(D185), (D185 - $B185) / $B185, "")</f>
        <v>-2.6785714285714284E-2</v>
      </c>
      <c r="F185" s="18">
        <f>IF(ISNUMBER(D185), $B199 * E185, "")</f>
        <v>-2678.5714285714284</v>
      </c>
      <c r="G185" s="31">
        <v>2595</v>
      </c>
      <c r="H185" s="32">
        <f t="shared" ref="H185:H188" si="99">IF(ISNUMBER(G185), (G185 - $B185) / $B185, "")</f>
        <v>-7.3214285714285718E-2</v>
      </c>
      <c r="I185" s="101">
        <f>IF(ISNUMBER(G185), $B199 * H185, "")</f>
        <v>-7321.4285714285716</v>
      </c>
      <c r="J185" s="15">
        <v>2550</v>
      </c>
      <c r="K185" s="32">
        <f t="shared" ref="K185:K188" si="100">IF(ISNUMBER(J185), (J185 - $B185) / $B185, "")</f>
        <v>-8.9285714285714288E-2</v>
      </c>
      <c r="L185" s="18">
        <f>IF(ISNUMBER(J185), $B199 * K185, "")</f>
        <v>-8928.5714285714294</v>
      </c>
      <c r="M185" s="31">
        <v>2620</v>
      </c>
      <c r="N185" s="32">
        <f t="shared" ref="N185:N188" si="101">IF(ISNUMBER(M185), (M185 - $B185) / $B185, "")</f>
        <v>-6.4285714285714279E-2</v>
      </c>
      <c r="O185" s="18">
        <f>IF(ISNUMBER(M185), $B199 * N185, "")</f>
        <v>-6428.5714285714275</v>
      </c>
      <c r="Q185" s="235"/>
      <c r="R185" s="235"/>
      <c r="S185" s="235"/>
    </row>
    <row r="186" spans="1:19" ht="17.25" thickBot="1">
      <c r="A186" s="162" t="s">
        <v>216</v>
      </c>
      <c r="B186" s="126">
        <v>296</v>
      </c>
      <c r="C186" s="77">
        <v>-3.3670034000000001E-3</v>
      </c>
      <c r="D186" s="15">
        <v>290</v>
      </c>
      <c r="E186" s="32">
        <f t="shared" si="98"/>
        <v>-2.0270270270270271E-2</v>
      </c>
      <c r="F186" s="18">
        <f>IF(ISNUMBER(D186), $B199 * E186, "")</f>
        <v>-2027.0270270270271</v>
      </c>
      <c r="G186" s="31">
        <v>281</v>
      </c>
      <c r="H186" s="32">
        <f t="shared" si="99"/>
        <v>-5.0675675675675678E-2</v>
      </c>
      <c r="I186" s="101">
        <f>IF(ISNUMBER(G186), $B199 * H186, "")</f>
        <v>-5067.5675675675675</v>
      </c>
      <c r="J186" s="15">
        <v>275</v>
      </c>
      <c r="K186" s="32">
        <f t="shared" si="100"/>
        <v>-7.0945945945945943E-2</v>
      </c>
      <c r="L186" s="18">
        <f>IF(ISNUMBER(J186), $B199 * K186, "")</f>
        <v>-7094.5945945945941</v>
      </c>
      <c r="M186" s="31">
        <v>278</v>
      </c>
      <c r="N186" s="32">
        <f t="shared" si="101"/>
        <v>-6.0810810810810814E-2</v>
      </c>
      <c r="O186" s="18">
        <f>IF(ISNUMBER(M186), $B199 * N186, "")</f>
        <v>-6081.0810810810817</v>
      </c>
      <c r="Q186" s="235"/>
      <c r="R186" s="235"/>
      <c r="S186" s="235"/>
    </row>
    <row r="187" spans="1:19" ht="17.25" thickBot="1">
      <c r="A187" s="162" t="s">
        <v>98</v>
      </c>
      <c r="B187" s="126">
        <v>4430</v>
      </c>
      <c r="C187" s="77">
        <v>-3.3745782000000001E-3</v>
      </c>
      <c r="D187" s="15">
        <v>4310</v>
      </c>
      <c r="E187" s="32">
        <f t="shared" si="98"/>
        <v>-2.7088036117381489E-2</v>
      </c>
      <c r="F187" s="18">
        <f>IF(ISNUMBER(D187), $B199 * E187, "")</f>
        <v>-2708.8036117381489</v>
      </c>
      <c r="G187" s="31">
        <v>4145</v>
      </c>
      <c r="H187" s="32">
        <f t="shared" si="99"/>
        <v>-6.4334085778781039E-2</v>
      </c>
      <c r="I187" s="101">
        <f>IF(ISNUMBER(G187), $B199 * H187, "")</f>
        <v>-6433.4085778781036</v>
      </c>
      <c r="J187" s="15">
        <v>4010</v>
      </c>
      <c r="K187" s="32">
        <f t="shared" si="100"/>
        <v>-9.480812641083522E-2</v>
      </c>
      <c r="L187" s="18">
        <f>IF(ISNUMBER(J187), $B199 * K187, "")</f>
        <v>-9480.8126410835212</v>
      </c>
      <c r="M187" s="31">
        <v>4165</v>
      </c>
      <c r="N187" s="32">
        <f t="shared" si="101"/>
        <v>-5.9819413092550788E-2</v>
      </c>
      <c r="O187" s="18">
        <f>IF(ISNUMBER(M187), $B199 * N187, "")</f>
        <v>-5981.9413092550785</v>
      </c>
      <c r="Q187" s="33"/>
      <c r="R187" s="33"/>
    </row>
    <row r="188" spans="1:19" ht="17.25" thickBot="1">
      <c r="A188" s="130" t="s">
        <v>162</v>
      </c>
      <c r="B188" s="131">
        <v>1295</v>
      </c>
      <c r="C188" s="79">
        <v>-3.8461538E-3</v>
      </c>
      <c r="D188" s="24">
        <v>1280</v>
      </c>
      <c r="E188" s="25">
        <f t="shared" si="98"/>
        <v>-1.1583011583011582E-2</v>
      </c>
      <c r="F188" s="104">
        <f>IF(ISNUMBER(D188), $B199 * E188, "")</f>
        <v>-1158.3011583011582</v>
      </c>
      <c r="G188" s="102">
        <v>1235</v>
      </c>
      <c r="H188" s="25">
        <f t="shared" si="99"/>
        <v>-4.633204633204633E-2</v>
      </c>
      <c r="I188" s="103">
        <f>IF(ISNUMBER(G188), $B199 * H188, "")</f>
        <v>-4633.204633204633</v>
      </c>
      <c r="J188" s="24">
        <v>1220</v>
      </c>
      <c r="K188" s="25">
        <f t="shared" si="100"/>
        <v>-5.7915057915057917E-2</v>
      </c>
      <c r="L188" s="104">
        <f>IF(ISNUMBER(J188), $B199 * K188, "")</f>
        <v>-5791.5057915057914</v>
      </c>
      <c r="M188" s="102">
        <v>1240</v>
      </c>
      <c r="N188" s="25">
        <f t="shared" si="101"/>
        <v>-4.2471042471042469E-2</v>
      </c>
      <c r="O188" s="104">
        <f>IF(ISNUMBER(M188), $B199 * N188, "")</f>
        <v>-4247.1042471042465</v>
      </c>
      <c r="Q188" s="236"/>
      <c r="R188" s="237"/>
      <c r="S188" s="238"/>
    </row>
    <row r="189" spans="1:19">
      <c r="A189" s="161" t="s">
        <v>170</v>
      </c>
      <c r="B189" s="124">
        <v>309</v>
      </c>
      <c r="C189" s="76">
        <v>-6.4308682000000002E-3</v>
      </c>
      <c r="D189" s="13">
        <v>305</v>
      </c>
      <c r="E189" s="14">
        <f>IF(ISNUMBER(D189), (D189 - $B189) / $B189, "")</f>
        <v>-1.2944983818770227E-2</v>
      </c>
      <c r="F189" s="16">
        <f>IF(ISNUMBER(D189), $B199 * E189, "")</f>
        <v>-1294.4983818770227</v>
      </c>
      <c r="G189" s="29">
        <v>294</v>
      </c>
      <c r="H189" s="14">
        <f>IF(ISNUMBER(G189), (G189 - $B189) / $B189, "")</f>
        <v>-4.8543689320388349E-2</v>
      </c>
      <c r="I189" s="100">
        <f>IF(ISNUMBER(G189), $B199 * H189, "")</f>
        <v>-4854.3689320388348</v>
      </c>
      <c r="J189" s="13">
        <v>290</v>
      </c>
      <c r="K189" s="14">
        <f>IF(ISNUMBER(J189), (J189 - $B189) / $B189, "")</f>
        <v>-6.1488673139158574E-2</v>
      </c>
      <c r="L189" s="16">
        <f>IF(ISNUMBER(J189), $B199 * K189, "")</f>
        <v>-6148.8673139158573</v>
      </c>
      <c r="M189" s="29">
        <v>296</v>
      </c>
      <c r="N189" s="14">
        <f>IF(ISNUMBER(M189), (M189 - $B189) / $B189, "")</f>
        <v>-4.2071197411003236E-2</v>
      </c>
      <c r="O189" s="16">
        <f>IF(ISNUMBER(M189), $B199 * N189, "")</f>
        <v>-4207.1197411003232</v>
      </c>
      <c r="Q189" s="239"/>
      <c r="R189" s="240"/>
      <c r="S189" s="241"/>
    </row>
    <row r="190" spans="1:19" ht="17.25" thickBot="1">
      <c r="A190" s="162" t="s">
        <v>194</v>
      </c>
      <c r="B190" s="126">
        <v>8825</v>
      </c>
      <c r="C190" s="77">
        <v>-6.7529544000000004E-3</v>
      </c>
      <c r="D190" s="15">
        <v>8820</v>
      </c>
      <c r="E190" s="32">
        <f t="shared" ref="E190:E193" si="102">IF(ISNUMBER(D190), (D190 - $B190) / $B190, "")</f>
        <v>-5.6657223796033991E-4</v>
      </c>
      <c r="F190" s="18">
        <f>IF(ISNUMBER(D190), $B199 * E190, "")</f>
        <v>-56.657223796033989</v>
      </c>
      <c r="G190" s="31">
        <v>8535</v>
      </c>
      <c r="H190" s="32">
        <f t="shared" ref="H190:H193" si="103">IF(ISNUMBER(G190), (G190 - $B190) / $B190, "")</f>
        <v>-3.2861189801699719E-2</v>
      </c>
      <c r="I190" s="101">
        <f>IF(ISNUMBER(G190), $B199 * H190, "")</f>
        <v>-3286.118980169972</v>
      </c>
      <c r="J190" s="15">
        <v>8305</v>
      </c>
      <c r="K190" s="32">
        <f t="shared" ref="K190:K193" si="104">IF(ISNUMBER(J190), (J190 - $B190) / $B190, "")</f>
        <v>-5.8923512747875356E-2</v>
      </c>
      <c r="L190" s="18">
        <f>IF(ISNUMBER(J190), $B199 * K190, "")</f>
        <v>-5892.3512747875357</v>
      </c>
      <c r="M190" s="31">
        <v>8425</v>
      </c>
      <c r="N190" s="32">
        <f t="shared" ref="N190:N193" si="105">IF(ISNUMBER(M190), (M190 - $B190) / $B190, "")</f>
        <v>-4.5325779036827198E-2</v>
      </c>
      <c r="O190" s="18">
        <f>IF(ISNUMBER(M190), $B199 * N190, "")</f>
        <v>-4532.5779036827198</v>
      </c>
      <c r="Q190" s="242"/>
      <c r="R190" s="243"/>
      <c r="S190" s="244"/>
    </row>
    <row r="191" spans="1:19" ht="17.25" thickBot="1">
      <c r="A191" s="162" t="s">
        <v>272</v>
      </c>
      <c r="B191" s="126">
        <v>1440</v>
      </c>
      <c r="C191" s="77">
        <v>-6.8965516999999997E-3</v>
      </c>
      <c r="D191" s="15">
        <v>1415</v>
      </c>
      <c r="E191" s="32">
        <f t="shared" si="102"/>
        <v>-1.7361111111111112E-2</v>
      </c>
      <c r="F191" s="18">
        <f>IF(ISNUMBER(D191), $B199 * E191, "")</f>
        <v>-1736.1111111111111</v>
      </c>
      <c r="G191" s="31">
        <v>1375</v>
      </c>
      <c r="H191" s="32">
        <f t="shared" si="103"/>
        <v>-4.5138888888888888E-2</v>
      </c>
      <c r="I191" s="101">
        <f>IF(ISNUMBER(G191), $B199 * H191, "")</f>
        <v>-4513.8888888888887</v>
      </c>
      <c r="J191" s="15">
        <v>1330</v>
      </c>
      <c r="K191" s="32">
        <f t="shared" si="104"/>
        <v>-7.6388888888888895E-2</v>
      </c>
      <c r="L191" s="18">
        <f>IF(ISNUMBER(J191), $B199 * K191, "")</f>
        <v>-7638.8888888888896</v>
      </c>
      <c r="M191" s="31">
        <v>1365</v>
      </c>
      <c r="N191" s="32">
        <f t="shared" si="105"/>
        <v>-5.2083333333333336E-2</v>
      </c>
      <c r="O191" s="18">
        <f>IF(ISNUMBER(M191), $B199 * N191, "")</f>
        <v>-5208.3333333333339</v>
      </c>
      <c r="Q191" s="235"/>
      <c r="R191" s="235"/>
      <c r="S191" s="235"/>
    </row>
    <row r="192" spans="1:19" ht="17.25" thickBot="1">
      <c r="A192" s="162" t="s">
        <v>82</v>
      </c>
      <c r="B192" s="126">
        <v>1105</v>
      </c>
      <c r="C192" s="77">
        <v>-8.9686099000000005E-3</v>
      </c>
      <c r="D192" s="15">
        <v>1085</v>
      </c>
      <c r="E192" s="32">
        <f t="shared" si="102"/>
        <v>-1.8099547511312219E-2</v>
      </c>
      <c r="F192" s="18">
        <f>IF(ISNUMBER(D192), $B199 * E192, "")</f>
        <v>-1809.9547511312219</v>
      </c>
      <c r="G192" s="31">
        <v>1045</v>
      </c>
      <c r="H192" s="32">
        <f t="shared" si="103"/>
        <v>-5.4298642533936653E-2</v>
      </c>
      <c r="I192" s="101">
        <f>IF(ISNUMBER(G192), $B199 * H192, "")</f>
        <v>-5429.8642533936654</v>
      </c>
      <c r="J192" s="15">
        <v>1035</v>
      </c>
      <c r="K192" s="32">
        <f t="shared" si="104"/>
        <v>-6.3348416289592757E-2</v>
      </c>
      <c r="L192" s="18">
        <f>IF(ISNUMBER(J192), $B199 * K192, "")</f>
        <v>-6334.841628959276</v>
      </c>
      <c r="M192" s="31">
        <v>1050</v>
      </c>
      <c r="N192" s="32">
        <f t="shared" si="105"/>
        <v>-4.9773755656108594E-2</v>
      </c>
      <c r="O192" s="18">
        <f>IF(ISNUMBER(M192), $B199 * N192, "")</f>
        <v>-4977.3755656108597</v>
      </c>
      <c r="Q192" s="245"/>
      <c r="R192" s="245"/>
      <c r="S192" s="245"/>
    </row>
    <row r="193" spans="1:19" ht="17.25" thickBot="1">
      <c r="A193" s="163" t="s">
        <v>246</v>
      </c>
      <c r="B193" s="128">
        <v>313</v>
      </c>
      <c r="C193" s="78">
        <v>-9.4936709000000008E-3</v>
      </c>
      <c r="D193" s="20">
        <v>309</v>
      </c>
      <c r="E193" s="21">
        <f t="shared" si="102"/>
        <v>-1.2779552715654952E-2</v>
      </c>
      <c r="F193" s="22">
        <f>IF(ISNUMBER(D193), $B199 * E193, "")</f>
        <v>-1277.9552715654952</v>
      </c>
      <c r="G193" s="30">
        <v>304</v>
      </c>
      <c r="H193" s="21">
        <f t="shared" si="103"/>
        <v>-2.8753993610223641E-2</v>
      </c>
      <c r="I193" s="105">
        <f>IF(ISNUMBER(G193), $B199 * H193, "")</f>
        <v>-2875.3993610223642</v>
      </c>
      <c r="J193" s="20">
        <v>303</v>
      </c>
      <c r="K193" s="21">
        <f t="shared" si="104"/>
        <v>-3.1948881789137379E-2</v>
      </c>
      <c r="L193" s="22">
        <f>IF(ISNUMBER(J193), $B199 * K193, "")</f>
        <v>-3194.8881789137381</v>
      </c>
      <c r="M193" s="30">
        <v>307</v>
      </c>
      <c r="N193" s="21">
        <f t="shared" si="105"/>
        <v>-1.9169329073482427E-2</v>
      </c>
      <c r="O193" s="22">
        <f>IF(ISNUMBER(M193), $B199 * N193, "")</f>
        <v>-1916.9329073482427</v>
      </c>
      <c r="Q193" s="245"/>
      <c r="R193" s="245"/>
      <c r="S193" s="245"/>
    </row>
    <row r="194" spans="1:19" ht="17.25" thickBot="1">
      <c r="A194" s="162" t="s">
        <v>140</v>
      </c>
      <c r="B194" s="129">
        <v>2840</v>
      </c>
      <c r="C194" s="80">
        <v>-1.2173913E-2</v>
      </c>
      <c r="D194" s="106">
        <v>2695</v>
      </c>
      <c r="E194" s="107">
        <f>IF(ISNUMBER(D194), (D194 - $B194) / $B194, "")</f>
        <v>-5.1056338028169015E-2</v>
      </c>
      <c r="F194" s="108">
        <f>IF(ISNUMBER(D194), $B199 * E194, "")</f>
        <v>-5105.6338028169012</v>
      </c>
      <c r="G194" s="109">
        <v>2605</v>
      </c>
      <c r="H194" s="107">
        <f>IF(ISNUMBER(G194), (G194 - $B194) / $B194, "")</f>
        <v>-8.2746478873239437E-2</v>
      </c>
      <c r="I194" s="110">
        <f>IF(ISNUMBER(G194), $B199 * H194, "")</f>
        <v>-8274.647887323943</v>
      </c>
      <c r="J194" s="106">
        <v>2505</v>
      </c>
      <c r="K194" s="107">
        <f>IF(ISNUMBER(J194), (J194 - $B194) / $B194, "")</f>
        <v>-0.11795774647887323</v>
      </c>
      <c r="L194" s="108">
        <f>IF(ISNUMBER(J194), $B199 * K194, "")</f>
        <v>-11795.774647887323</v>
      </c>
      <c r="M194" s="109">
        <v>2600</v>
      </c>
      <c r="N194" s="107">
        <f>IF(ISNUMBER(M194), (M194 - $B194) / $B194, "")</f>
        <v>-8.4507042253521125E-2</v>
      </c>
      <c r="O194" s="108">
        <f>IF(ISNUMBER(M194), $B199 * N194, "")</f>
        <v>-8450.7042253521122</v>
      </c>
      <c r="Q194" s="235"/>
      <c r="R194" s="235"/>
      <c r="S194" s="235"/>
    </row>
    <row r="195" spans="1:19" ht="17.25" thickBot="1">
      <c r="A195" s="162" t="s">
        <v>158</v>
      </c>
      <c r="B195" s="126">
        <v>5420</v>
      </c>
      <c r="C195" s="77">
        <v>-1.2750455399999999E-2</v>
      </c>
      <c r="D195" s="15">
        <v>5400</v>
      </c>
      <c r="E195" s="32">
        <f t="shared" ref="E195:E198" si="106">IF(ISNUMBER(D195), (D195 - $B195) / $B195, "")</f>
        <v>-3.6900369003690036E-3</v>
      </c>
      <c r="F195" s="18">
        <f>IF(ISNUMBER(D195), $B199 * E195, "")</f>
        <v>-369.00369003690037</v>
      </c>
      <c r="G195" s="31">
        <v>5130</v>
      </c>
      <c r="H195" s="32">
        <f t="shared" ref="H195:H198" si="107">IF(ISNUMBER(G195), (G195 - $B195) / $B195, "")</f>
        <v>-5.350553505535055E-2</v>
      </c>
      <c r="I195" s="101">
        <f>IF(ISNUMBER(G195), $B199 * H195, "")</f>
        <v>-5350.5535055350547</v>
      </c>
      <c r="J195" s="15">
        <v>4990</v>
      </c>
      <c r="K195" s="32">
        <f t="shared" ref="K195:K198" si="108">IF(ISNUMBER(J195), (J195 - $B195) / $B195, "")</f>
        <v>-7.9335793357933573E-2</v>
      </c>
      <c r="L195" s="18">
        <f>IF(ISNUMBER(J195), $B199 * K195, "")</f>
        <v>-7933.5793357933571</v>
      </c>
      <c r="M195" s="31">
        <v>5120</v>
      </c>
      <c r="N195" s="32">
        <f t="shared" ref="N195:N198" si="109">IF(ISNUMBER(M195), (M195 - $B195) / $B195, "")</f>
        <v>-5.5350553505535055E-2</v>
      </c>
      <c r="O195" s="18">
        <f>IF(ISNUMBER(M195), $B199 * N195, "")</f>
        <v>-5535.0553505535054</v>
      </c>
      <c r="Q195" s="235"/>
      <c r="R195" s="235"/>
      <c r="S195" s="235"/>
    </row>
    <row r="196" spans="1:19" ht="17.25" thickBot="1">
      <c r="A196" s="162" t="s">
        <v>166</v>
      </c>
      <c r="B196" s="126">
        <v>1360</v>
      </c>
      <c r="C196" s="77">
        <v>-1.80505415E-2</v>
      </c>
      <c r="D196" s="15">
        <v>1355</v>
      </c>
      <c r="E196" s="32">
        <f t="shared" si="106"/>
        <v>-3.6764705882352941E-3</v>
      </c>
      <c r="F196" s="18">
        <f>IF(ISNUMBER(D196), $B199 * E196, "")</f>
        <v>-367.64705882352939</v>
      </c>
      <c r="G196" s="31">
        <v>1300</v>
      </c>
      <c r="H196" s="32">
        <f t="shared" si="107"/>
        <v>-4.4117647058823532E-2</v>
      </c>
      <c r="I196" s="101">
        <f>IF(ISNUMBER(G196), $B199 * H196, "")</f>
        <v>-4411.7647058823532</v>
      </c>
      <c r="J196" s="15">
        <v>1250</v>
      </c>
      <c r="K196" s="32">
        <f t="shared" si="108"/>
        <v>-8.0882352941176475E-2</v>
      </c>
      <c r="L196" s="18">
        <f>IF(ISNUMBER(J196), $B199 * K196, "")</f>
        <v>-8088.2352941176478</v>
      </c>
      <c r="M196" s="31">
        <v>1320</v>
      </c>
      <c r="N196" s="32">
        <f t="shared" si="109"/>
        <v>-2.9411764705882353E-2</v>
      </c>
      <c r="O196" s="18">
        <f>IF(ISNUMBER(M196), $B199 * N196, "")</f>
        <v>-2941.1764705882351</v>
      </c>
      <c r="Q196" s="235"/>
      <c r="R196" s="235"/>
      <c r="S196" s="235"/>
    </row>
    <row r="197" spans="1:19">
      <c r="A197" s="162" t="s">
        <v>274</v>
      </c>
      <c r="B197" s="126">
        <v>9720</v>
      </c>
      <c r="C197" s="77">
        <v>-1.9667171000000001E-2</v>
      </c>
      <c r="D197" s="15">
        <v>9620</v>
      </c>
      <c r="E197" s="32">
        <f t="shared" si="106"/>
        <v>-1.0288065843621399E-2</v>
      </c>
      <c r="F197" s="18">
        <f>IF(ISNUMBER(D197), $B199 * E197, "")</f>
        <v>-1028.80658436214</v>
      </c>
      <c r="G197" s="31">
        <v>9180</v>
      </c>
      <c r="H197" s="32">
        <f t="shared" si="107"/>
        <v>-5.5555555555555552E-2</v>
      </c>
      <c r="I197" s="101">
        <f>IF(ISNUMBER(G197), $B199 * H197, "")</f>
        <v>-5555.5555555555557</v>
      </c>
      <c r="J197" s="15">
        <v>9000</v>
      </c>
      <c r="K197" s="32">
        <f t="shared" si="108"/>
        <v>-7.407407407407407E-2</v>
      </c>
      <c r="L197" s="18">
        <f>IF(ISNUMBER(J197), $B199 * K197, "")</f>
        <v>-7407.4074074074069</v>
      </c>
      <c r="M197" s="31">
        <v>9170</v>
      </c>
      <c r="N197" s="32">
        <f t="shared" si="109"/>
        <v>-5.6584362139917695E-2</v>
      </c>
      <c r="O197" s="18">
        <f>IF(ISNUMBER(M197), $B199 * N197, "")</f>
        <v>-5658.4362139917694</v>
      </c>
      <c r="Q197" s="224"/>
      <c r="R197" s="225"/>
      <c r="S197" s="226"/>
    </row>
    <row r="198" spans="1:19" ht="17.25" thickBot="1">
      <c r="A198" s="130" t="s">
        <v>296</v>
      </c>
      <c r="B198" s="131">
        <v>471</v>
      </c>
      <c r="C198" s="79">
        <v>-4.26829268E-2</v>
      </c>
      <c r="D198" s="24">
        <v>455</v>
      </c>
      <c r="E198" s="25">
        <f t="shared" si="106"/>
        <v>-3.3970276008492568E-2</v>
      </c>
      <c r="F198" s="104">
        <f>IF(ISNUMBER(D198), $B199 * E198, "")</f>
        <v>-3397.0276008492569</v>
      </c>
      <c r="G198" s="102">
        <v>433</v>
      </c>
      <c r="H198" s="25">
        <f t="shared" si="107"/>
        <v>-8.0679405520169847E-2</v>
      </c>
      <c r="I198" s="103">
        <f>IF(ISNUMBER(G198), $B199 * H198, "")</f>
        <v>-8067.9405520169848</v>
      </c>
      <c r="J198" s="24">
        <v>418</v>
      </c>
      <c r="K198" s="25">
        <f t="shared" si="108"/>
        <v>-0.11252653927813164</v>
      </c>
      <c r="L198" s="104">
        <f>IF(ISNUMBER(J198), $B199 * K198, "")</f>
        <v>-11252.653927813164</v>
      </c>
      <c r="M198" s="102">
        <v>431</v>
      </c>
      <c r="N198" s="25">
        <f t="shared" si="109"/>
        <v>-8.4925690021231418E-2</v>
      </c>
      <c r="O198" s="104">
        <f>IF(ISNUMBER(M198), $B199 * N198, "")</f>
        <v>-8492.5690021231421</v>
      </c>
      <c r="Q198" s="227"/>
      <c r="R198" s="228"/>
      <c r="S198" s="229"/>
    </row>
    <row r="199" spans="1:19" ht="17.25" thickBot="1">
      <c r="A199" s="132" t="s">
        <v>300</v>
      </c>
      <c r="B199" s="288">
        <f>$B$37</f>
        <v>100000</v>
      </c>
      <c r="C199" s="289"/>
      <c r="D199" s="26" t="s">
        <v>301</v>
      </c>
      <c r="E199" s="27">
        <f>IF(COUNT(E179:E198), SUM(E179:E198) / COUNT(E179:E198), 0)</f>
        <v>-1.0283517441582566E-2</v>
      </c>
      <c r="F199" s="28">
        <f>SUM(F179:F198)</f>
        <v>-20567.034883165135</v>
      </c>
      <c r="G199" s="26" t="s">
        <v>301</v>
      </c>
      <c r="H199" s="27">
        <f>IF(COUNT(H179:H198), SUM(H179:H198) / COUNT(H179:H198), 0)</f>
        <v>-4.1827936126142669E-2</v>
      </c>
      <c r="I199" s="28">
        <f>SUM(I179:I198)</f>
        <v>-83655.872252285306</v>
      </c>
      <c r="J199" s="26" t="s">
        <v>301</v>
      </c>
      <c r="K199" s="27">
        <f>IF(COUNT(K179:K198), SUM(K179:K198) / COUNT(K179:K198), 0)</f>
        <v>-6.5570177599612894E-2</v>
      </c>
      <c r="L199" s="28">
        <f>SUM(L179:L198)</f>
        <v>-131140.35519922574</v>
      </c>
      <c r="M199" s="26" t="s">
        <v>301</v>
      </c>
      <c r="N199" s="27">
        <f>IF(COUNT(N179:N198), SUM(N179:N198) / COUNT(N179:N198), 0)</f>
        <v>-4.3829705024959545E-2</v>
      </c>
      <c r="O199" s="28">
        <f>SUM(O179:O198)</f>
        <v>-87659.410049919097</v>
      </c>
      <c r="Q199" s="230"/>
      <c r="R199" s="231"/>
      <c r="S199" s="232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3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03" priority="157">
      <formula>AND($N17 &gt; 0, ISNUMBER($N17))</formula>
    </cfRule>
    <cfRule type="expression" dxfId="2302" priority="158">
      <formula>AND($N17 = 0 * ISNUMBER($N17))</formula>
    </cfRule>
    <cfRule type="expression" dxfId="2301" priority="159">
      <formula>AND($N17 &lt; 0, ISNUMBER($N17))</formula>
    </cfRule>
  </conditionalFormatting>
  <conditionalFormatting sqref="A17:F36">
    <cfRule type="expression" dxfId="2300" priority="166">
      <formula>AND($E17 &gt; 0, ISNUMBER($E17))</formula>
    </cfRule>
    <cfRule type="expression" dxfId="2299" priority="167">
      <formula>AND($E17 = 0 * ISNUMBER($E17))</formula>
    </cfRule>
    <cfRule type="expression" dxfId="2298" priority="168">
      <formula>AND($E17 &lt; 0, ISNUMBER($E17))</formula>
    </cfRule>
  </conditionalFormatting>
  <conditionalFormatting sqref="A17:C36 G17:I36">
    <cfRule type="expression" dxfId="2297" priority="163">
      <formula>AND($H17 &gt; 0, ISNUMBER($H17))</formula>
    </cfRule>
    <cfRule type="expression" dxfId="2296" priority="164">
      <formula>AND($H17 = 0 * ISNUMBER($H17))</formula>
    </cfRule>
    <cfRule type="expression" dxfId="2295" priority="165">
      <formula>AND($H17 &lt; 0, ISNUMBER($H17))</formula>
    </cfRule>
  </conditionalFormatting>
  <conditionalFormatting sqref="A17:C36 J17:L36">
    <cfRule type="expression" dxfId="2294" priority="160">
      <formula>AND($K17 &gt; 0, ISNUMBER($K17))</formula>
    </cfRule>
    <cfRule type="expression" dxfId="2293" priority="161">
      <formula>AND($K17 = 0 * ISNUMBER($K17))</formula>
    </cfRule>
    <cfRule type="expression" dxfId="2292" priority="162">
      <formula>AND($K17 &lt; 0, ISNUMBER($K17))</formula>
    </cfRule>
  </conditionalFormatting>
  <conditionalFormatting sqref="D15:F16 E37:F37">
    <cfRule type="expression" dxfId="2291" priority="154">
      <formula>$E$37 &gt; 0</formula>
    </cfRule>
    <cfRule type="expression" dxfId="2290" priority="155">
      <formula>$E$37 = 0</formula>
    </cfRule>
    <cfRule type="expression" dxfId="2289" priority="156">
      <formula>$E$37 &lt; 0</formula>
    </cfRule>
  </conditionalFormatting>
  <conditionalFormatting sqref="G15:I16 H37:I37">
    <cfRule type="expression" dxfId="2288" priority="151">
      <formula>$H$37 &gt; 0</formula>
    </cfRule>
    <cfRule type="expression" dxfId="2287" priority="152">
      <formula>$H$37 = 0</formula>
    </cfRule>
    <cfRule type="expression" dxfId="2286" priority="153">
      <formula>$H$37 &lt; 0</formula>
    </cfRule>
  </conditionalFormatting>
  <conditionalFormatting sqref="J15:L16 K37:L37">
    <cfRule type="expression" dxfId="2285" priority="148">
      <formula>$K$37 &gt; 0</formula>
    </cfRule>
    <cfRule type="expression" dxfId="2284" priority="149">
      <formula>$K$37 = 0</formula>
    </cfRule>
    <cfRule type="expression" dxfId="2283" priority="150">
      <formula>$K$37 &lt; 0</formula>
    </cfRule>
  </conditionalFormatting>
  <conditionalFormatting sqref="M15:O16 N37:O37">
    <cfRule type="expression" dxfId="2282" priority="145">
      <formula>$N$37 &gt; 0</formula>
    </cfRule>
    <cfRule type="expression" dxfId="2281" priority="146">
      <formula>$N$37 = 0</formula>
    </cfRule>
    <cfRule type="expression" dxfId="2280" priority="147">
      <formula>$N$37 &lt; 0</formula>
    </cfRule>
  </conditionalFormatting>
  <conditionalFormatting sqref="A44:C63 M44:O63">
    <cfRule type="expression" dxfId="2279" priority="133">
      <formula>AND($N44 &gt; 0, ISNUMBER($N44))</formula>
    </cfRule>
    <cfRule type="expression" dxfId="2278" priority="134">
      <formula>AND($N44 = 0 * ISNUMBER($N44))</formula>
    </cfRule>
    <cfRule type="expression" dxfId="2277" priority="135">
      <formula>AND($N44 &lt; 0, ISNUMBER($N44))</formula>
    </cfRule>
  </conditionalFormatting>
  <conditionalFormatting sqref="A44:F63">
    <cfRule type="expression" dxfId="2276" priority="142">
      <formula>AND($E44 &gt; 0, ISNUMBER($E44))</formula>
    </cfRule>
    <cfRule type="expression" dxfId="2275" priority="143">
      <formula>AND($E44 = 0 * ISNUMBER($E44))</formula>
    </cfRule>
    <cfRule type="expression" dxfId="2274" priority="144">
      <formula>AND($E44 &lt; 0, ISNUMBER($E44))</formula>
    </cfRule>
  </conditionalFormatting>
  <conditionalFormatting sqref="A44:C63 G44:I63">
    <cfRule type="expression" dxfId="2273" priority="139">
      <formula>AND($H44 &gt; 0, ISNUMBER($H44))</formula>
    </cfRule>
    <cfRule type="expression" dxfId="2272" priority="140">
      <formula>AND($H44 = 0 * ISNUMBER($H44))</formula>
    </cfRule>
    <cfRule type="expression" dxfId="2271" priority="141">
      <formula>AND($H44 &lt; 0, ISNUMBER($H44))</formula>
    </cfRule>
  </conditionalFormatting>
  <conditionalFormatting sqref="A44:C63 J44:L63">
    <cfRule type="expression" dxfId="2270" priority="136">
      <formula>AND($K44 &gt; 0, ISNUMBER($K44))</formula>
    </cfRule>
    <cfRule type="expression" dxfId="2269" priority="137">
      <formula>AND($K44 = 0 * ISNUMBER($K44))</formula>
    </cfRule>
    <cfRule type="expression" dxfId="2268" priority="138">
      <formula>AND($K44 &lt; 0, ISNUMBER($K44))</formula>
    </cfRule>
  </conditionalFormatting>
  <conditionalFormatting sqref="D42:F43 E64:F64">
    <cfRule type="expression" dxfId="2267" priority="130">
      <formula>$E$64 &gt; 0</formula>
    </cfRule>
    <cfRule type="expression" dxfId="2266" priority="131">
      <formula>$E$64 = 0</formula>
    </cfRule>
    <cfRule type="expression" dxfId="2265" priority="132">
      <formula>$E$64 &lt; 0</formula>
    </cfRule>
  </conditionalFormatting>
  <conditionalFormatting sqref="G42:I43 H64:I64">
    <cfRule type="expression" dxfId="2264" priority="127">
      <formula>$H$64 &gt; 0</formula>
    </cfRule>
    <cfRule type="expression" dxfId="2263" priority="128">
      <formula>$H$64 = 0</formula>
    </cfRule>
    <cfRule type="expression" dxfId="2262" priority="129">
      <formula>$H$64 &lt; 0</formula>
    </cfRule>
  </conditionalFormatting>
  <conditionalFormatting sqref="J42:L43 K64:L64">
    <cfRule type="expression" dxfId="2261" priority="124">
      <formula>$K$64 &gt; 0</formula>
    </cfRule>
    <cfRule type="expression" dxfId="2260" priority="125">
      <formula>$K$64 = 0</formula>
    </cfRule>
    <cfRule type="expression" dxfId="2259" priority="126">
      <formula>$K$64 &lt; 0</formula>
    </cfRule>
  </conditionalFormatting>
  <conditionalFormatting sqref="M42:O43 N64:O64">
    <cfRule type="expression" dxfId="2258" priority="121">
      <formula>$N$64 &gt; 0</formula>
    </cfRule>
    <cfRule type="expression" dxfId="2257" priority="122">
      <formula>$N$64 = 0</formula>
    </cfRule>
    <cfRule type="expression" dxfId="2256" priority="123">
      <formula>$N$64 &lt; 0</formula>
    </cfRule>
  </conditionalFormatting>
  <conditionalFormatting sqref="A71:C90 M71:O90">
    <cfRule type="expression" dxfId="2255" priority="109">
      <formula>AND($N71 &gt; 0, ISNUMBER($N71))</formula>
    </cfRule>
    <cfRule type="expression" dxfId="2254" priority="110">
      <formula>AND($N71 = 0 * ISNUMBER($N71))</formula>
    </cfRule>
    <cfRule type="expression" dxfId="2253" priority="111">
      <formula>AND($N71 &lt; 0, ISNUMBER($N71))</formula>
    </cfRule>
  </conditionalFormatting>
  <conditionalFormatting sqref="A71:F90">
    <cfRule type="expression" dxfId="2252" priority="118">
      <formula>AND($E71 &gt; 0, ISNUMBER($E71))</formula>
    </cfRule>
    <cfRule type="expression" dxfId="2251" priority="119">
      <formula>AND($E71 = 0 * ISNUMBER($E71))</formula>
    </cfRule>
    <cfRule type="expression" dxfId="2250" priority="120">
      <formula>AND($E71 &lt; 0, ISNUMBER($E71))</formula>
    </cfRule>
  </conditionalFormatting>
  <conditionalFormatting sqref="A71:C90 G71:I90">
    <cfRule type="expression" dxfId="2249" priority="115">
      <formula>AND($H71 &gt; 0, ISNUMBER($H71))</formula>
    </cfRule>
    <cfRule type="expression" dxfId="2248" priority="116">
      <formula>AND($H71 = 0 * ISNUMBER($H71))</formula>
    </cfRule>
    <cfRule type="expression" dxfId="2247" priority="117">
      <formula>AND($H71 &lt; 0, ISNUMBER($H71))</formula>
    </cfRule>
  </conditionalFormatting>
  <conditionalFormatting sqref="A71:C90 J71:L90">
    <cfRule type="expression" dxfId="2246" priority="112">
      <formula>AND($K71 &gt; 0, ISNUMBER($K71))</formula>
    </cfRule>
    <cfRule type="expression" dxfId="2245" priority="113">
      <formula>AND($K71 = 0 * ISNUMBER($K71))</formula>
    </cfRule>
    <cfRule type="expression" dxfId="2244" priority="114">
      <formula>AND($K71 &lt; 0, ISNUMBER($K71))</formula>
    </cfRule>
  </conditionalFormatting>
  <conditionalFormatting sqref="D69:F70 E91:F91">
    <cfRule type="expression" dxfId="2243" priority="106">
      <formula>$E$91 &gt; 0</formula>
    </cfRule>
    <cfRule type="expression" dxfId="2242" priority="107">
      <formula>$E$91 = 0</formula>
    </cfRule>
    <cfRule type="expression" dxfId="2241" priority="108">
      <formula>$E$91 &lt; 0</formula>
    </cfRule>
  </conditionalFormatting>
  <conditionalFormatting sqref="G69:I70 H91:I91">
    <cfRule type="expression" dxfId="2240" priority="103">
      <formula>$H$91 &gt; 0</formula>
    </cfRule>
    <cfRule type="expression" dxfId="2239" priority="104">
      <formula>$H$91 = 0</formula>
    </cfRule>
    <cfRule type="expression" dxfId="2238" priority="105">
      <formula>$H$91 &lt; 0</formula>
    </cfRule>
  </conditionalFormatting>
  <conditionalFormatting sqref="J69:L70 K91:L91">
    <cfRule type="expression" dxfId="2237" priority="100">
      <formula>$K$91 &gt; 0</formula>
    </cfRule>
    <cfRule type="expression" dxfId="2236" priority="101">
      <formula>$K$91 = 0</formula>
    </cfRule>
    <cfRule type="expression" dxfId="2235" priority="102">
      <formula>$K$91 &lt; 0</formula>
    </cfRule>
  </conditionalFormatting>
  <conditionalFormatting sqref="M69:O70 N91:O91">
    <cfRule type="expression" dxfId="2234" priority="97">
      <formula>$N$91 &gt; 0</formula>
    </cfRule>
    <cfRule type="expression" dxfId="2233" priority="98">
      <formula>$N$91 = 0</formula>
    </cfRule>
    <cfRule type="expression" dxfId="2232" priority="99">
      <formula>$N$91 &lt; 0</formula>
    </cfRule>
  </conditionalFormatting>
  <conditionalFormatting sqref="A98:C117 M98:O117">
    <cfRule type="expression" dxfId="2231" priority="85">
      <formula>AND($N98 &gt; 0, ISNUMBER($N98))</formula>
    </cfRule>
    <cfRule type="expression" dxfId="2230" priority="86">
      <formula>AND($N98 = 0 * ISNUMBER($N98))</formula>
    </cfRule>
    <cfRule type="expression" dxfId="2229" priority="87">
      <formula>AND($N98 &lt; 0, ISNUMBER($N98))</formula>
    </cfRule>
  </conditionalFormatting>
  <conditionalFormatting sqref="A98:F117">
    <cfRule type="expression" dxfId="2228" priority="94">
      <formula>AND($E98 &gt; 0, ISNUMBER($E98))</formula>
    </cfRule>
    <cfRule type="expression" dxfId="2227" priority="95">
      <formula>AND($E98 = 0 * ISNUMBER($E98))</formula>
    </cfRule>
    <cfRule type="expression" dxfId="2226" priority="96">
      <formula>AND($E98 &lt; 0, ISNUMBER($E98))</formula>
    </cfRule>
  </conditionalFormatting>
  <conditionalFormatting sqref="A98:C117 G98:I117">
    <cfRule type="expression" dxfId="2225" priority="91">
      <formula>AND($H98 &gt; 0, ISNUMBER($H98))</formula>
    </cfRule>
    <cfRule type="expression" dxfId="2224" priority="92">
      <formula>AND($H98 = 0 * ISNUMBER($H98))</formula>
    </cfRule>
    <cfRule type="expression" dxfId="2223" priority="93">
      <formula>AND($H98 &lt; 0, ISNUMBER($H98))</formula>
    </cfRule>
  </conditionalFormatting>
  <conditionalFormatting sqref="A98:C117 J98:L117">
    <cfRule type="expression" dxfId="2222" priority="88">
      <formula>AND($K98 &gt; 0, ISNUMBER($K98))</formula>
    </cfRule>
    <cfRule type="expression" dxfId="2221" priority="89">
      <formula>AND($K98 = 0 * ISNUMBER($K98))</formula>
    </cfRule>
    <cfRule type="expression" dxfId="2220" priority="90">
      <formula>AND($K98 &lt; 0, ISNUMBER($K98))</formula>
    </cfRule>
  </conditionalFormatting>
  <conditionalFormatting sqref="D96:F97 E118:F118">
    <cfRule type="expression" dxfId="2219" priority="82">
      <formula>$E$118 &gt; 0</formula>
    </cfRule>
    <cfRule type="expression" dxfId="2218" priority="83">
      <formula>$E$118 = 0</formula>
    </cfRule>
    <cfRule type="expression" dxfId="2217" priority="84">
      <formula>$E$118 &lt; 0</formula>
    </cfRule>
  </conditionalFormatting>
  <conditionalFormatting sqref="G96:I97 H118:I118">
    <cfRule type="expression" dxfId="2216" priority="79">
      <formula>$H$118 &gt; 0</formula>
    </cfRule>
    <cfRule type="expression" dxfId="2215" priority="80">
      <formula>$H$118 = 0</formula>
    </cfRule>
    <cfRule type="expression" dxfId="2214" priority="81">
      <formula>$H$118 &lt; 0</formula>
    </cfRule>
  </conditionalFormatting>
  <conditionalFormatting sqref="J96:L97 K118:L118">
    <cfRule type="expression" dxfId="2213" priority="76">
      <formula>$K$118 &gt; 0</formula>
    </cfRule>
    <cfRule type="expression" dxfId="2212" priority="77">
      <formula>$K$118 = 0</formula>
    </cfRule>
    <cfRule type="expression" dxfId="2211" priority="78">
      <formula>$K$118 &lt; 0</formula>
    </cfRule>
  </conditionalFormatting>
  <conditionalFormatting sqref="M96:O97 N118:O118">
    <cfRule type="expression" dxfId="2210" priority="73">
      <formula>$N$118 &gt; 0</formula>
    </cfRule>
    <cfRule type="expression" dxfId="2209" priority="74">
      <formula>$N$118 = 0</formula>
    </cfRule>
    <cfRule type="expression" dxfId="2208" priority="75">
      <formula>$N$118 &lt; 0</formula>
    </cfRule>
  </conditionalFormatting>
  <conditionalFormatting sqref="A125:C144 M125:O144">
    <cfRule type="expression" dxfId="2207" priority="61">
      <formula>AND($N125 &gt; 0, ISNUMBER($N125))</formula>
    </cfRule>
    <cfRule type="expression" dxfId="2206" priority="62">
      <formula>AND($N125 = 0 * ISNUMBER($N125))</formula>
    </cfRule>
    <cfRule type="expression" dxfId="2205" priority="63">
      <formula>AND($N125 &lt; 0, ISNUMBER($N125))</formula>
    </cfRule>
  </conditionalFormatting>
  <conditionalFormatting sqref="A125:F144">
    <cfRule type="expression" dxfId="2204" priority="70">
      <formula>AND($E125 &gt; 0, ISNUMBER($E125))</formula>
    </cfRule>
    <cfRule type="expression" dxfId="2203" priority="71">
      <formula>AND($E125 = 0 * ISNUMBER($E125))</formula>
    </cfRule>
    <cfRule type="expression" dxfId="2202" priority="72">
      <formula>AND($E125 &lt; 0, ISNUMBER($E125))</formula>
    </cfRule>
  </conditionalFormatting>
  <conditionalFormatting sqref="A125:C144 G125:I144">
    <cfRule type="expression" dxfId="2201" priority="67">
      <formula>AND($H125 &gt; 0, ISNUMBER($H125))</formula>
    </cfRule>
    <cfRule type="expression" dxfId="2200" priority="68">
      <formula>AND($H125 = 0 * ISNUMBER($H125))</formula>
    </cfRule>
    <cfRule type="expression" dxfId="2199" priority="69">
      <formula>AND($H125 &lt; 0, ISNUMBER($H125))</formula>
    </cfRule>
  </conditionalFormatting>
  <conditionalFormatting sqref="A125:C144 J125:L144">
    <cfRule type="expression" dxfId="2198" priority="64">
      <formula>AND($K125 &gt; 0, ISNUMBER($K125))</formula>
    </cfRule>
    <cfRule type="expression" dxfId="2197" priority="65">
      <formula>AND($K125 = 0 * ISNUMBER($K125))</formula>
    </cfRule>
    <cfRule type="expression" dxfId="2196" priority="66">
      <formula>AND($K125 &lt; 0, ISNUMBER($K125))</formula>
    </cfRule>
  </conditionalFormatting>
  <conditionalFormatting sqref="D123:F124 E145:F145">
    <cfRule type="expression" dxfId="2195" priority="58">
      <formula>$E$145 &gt; 0</formula>
    </cfRule>
    <cfRule type="expression" dxfId="2194" priority="59">
      <formula>$E$145 = 0</formula>
    </cfRule>
    <cfRule type="expression" dxfId="2193" priority="60">
      <formula>$E$145 &lt; 0</formula>
    </cfRule>
  </conditionalFormatting>
  <conditionalFormatting sqref="G123:I124 H145:I145">
    <cfRule type="expression" dxfId="2192" priority="55">
      <formula>$H$145 &gt; 0</formula>
    </cfRule>
    <cfRule type="expression" dxfId="2191" priority="56">
      <formula>$H$145 = 0</formula>
    </cfRule>
    <cfRule type="expression" dxfId="2190" priority="57">
      <formula>$H$145 &lt; 0</formula>
    </cfRule>
  </conditionalFormatting>
  <conditionalFormatting sqref="J123:L124 K145:L145">
    <cfRule type="expression" dxfId="2189" priority="52">
      <formula>$K$145 &gt; 0</formula>
    </cfRule>
    <cfRule type="expression" dxfId="2188" priority="53">
      <formula>$K$145 = 0</formula>
    </cfRule>
    <cfRule type="expression" dxfId="2187" priority="54">
      <formula>$K$145 &lt; 0</formula>
    </cfRule>
  </conditionalFormatting>
  <conditionalFormatting sqref="M123:O124 N145:O145">
    <cfRule type="expression" dxfId="2186" priority="49">
      <formula>$N$145 &gt; 0</formula>
    </cfRule>
    <cfRule type="expression" dxfId="2185" priority="50">
      <formula>$N$145 = 0</formula>
    </cfRule>
    <cfRule type="expression" dxfId="2184" priority="51">
      <formula>$N$145 &lt; 0</formula>
    </cfRule>
  </conditionalFormatting>
  <conditionalFormatting sqref="A152:C171 M152:O171">
    <cfRule type="expression" dxfId="2183" priority="37">
      <formula>AND($N152 &gt; 0, ISNUMBER($N152))</formula>
    </cfRule>
    <cfRule type="expression" dxfId="2182" priority="38">
      <formula>AND($N152 = 0 * ISNUMBER($N152))</formula>
    </cfRule>
    <cfRule type="expression" dxfId="2181" priority="39">
      <formula>AND($N152 &lt; 0, ISNUMBER($N152))</formula>
    </cfRule>
  </conditionalFormatting>
  <conditionalFormatting sqref="A152:F171">
    <cfRule type="expression" dxfId="2180" priority="46">
      <formula>AND($E152 &gt; 0, ISNUMBER($E152))</formula>
    </cfRule>
    <cfRule type="expression" dxfId="2179" priority="47">
      <formula>AND($E152 = 0 * ISNUMBER($E152))</formula>
    </cfRule>
    <cfRule type="expression" dxfId="2178" priority="48">
      <formula>AND($E152 &lt; 0, ISNUMBER($E152))</formula>
    </cfRule>
  </conditionalFormatting>
  <conditionalFormatting sqref="A152:C171 G152:I171">
    <cfRule type="expression" dxfId="2177" priority="43">
      <formula>AND($H152 &gt; 0, ISNUMBER($H152))</formula>
    </cfRule>
    <cfRule type="expression" dxfId="2176" priority="44">
      <formula>AND($H152 = 0 * ISNUMBER($H152))</formula>
    </cfRule>
    <cfRule type="expression" dxfId="2175" priority="45">
      <formula>AND($H152 &lt; 0, ISNUMBER($H152))</formula>
    </cfRule>
  </conditionalFormatting>
  <conditionalFormatting sqref="A152:C171 J152:L171">
    <cfRule type="expression" dxfId="2174" priority="40">
      <formula>AND($K152 &gt; 0, ISNUMBER($K152))</formula>
    </cfRule>
    <cfRule type="expression" dxfId="2173" priority="41">
      <formula>AND($K152 = 0 * ISNUMBER($K152))</formula>
    </cfRule>
    <cfRule type="expression" dxfId="2172" priority="42">
      <formula>AND($K152 &lt; 0, ISNUMBER($K152))</formula>
    </cfRule>
  </conditionalFormatting>
  <conditionalFormatting sqref="D150:F151 E172:F172">
    <cfRule type="expression" dxfId="2171" priority="34">
      <formula>$E$172 &gt; 0</formula>
    </cfRule>
    <cfRule type="expression" dxfId="2170" priority="35">
      <formula>$E$172 = 0</formula>
    </cfRule>
    <cfRule type="expression" dxfId="2169" priority="36">
      <formula>$E$172 &lt; 0</formula>
    </cfRule>
  </conditionalFormatting>
  <conditionalFormatting sqref="G150:I151 H172:I172">
    <cfRule type="expression" dxfId="2168" priority="31">
      <formula>$H$172 &gt; 0</formula>
    </cfRule>
    <cfRule type="expression" dxfId="2167" priority="32">
      <formula>$H$172 = 0</formula>
    </cfRule>
    <cfRule type="expression" dxfId="2166" priority="33">
      <formula>$H$172 &lt; 0</formula>
    </cfRule>
  </conditionalFormatting>
  <conditionalFormatting sqref="J150:L151 K172:L172">
    <cfRule type="expression" dxfId="2165" priority="28">
      <formula>$K$172 &gt; 0</formula>
    </cfRule>
    <cfRule type="expression" dxfId="2164" priority="29">
      <formula>$K$172 = 0</formula>
    </cfRule>
    <cfRule type="expression" dxfId="2163" priority="30">
      <formula>$K$172 &lt; 0</formula>
    </cfRule>
  </conditionalFormatting>
  <conditionalFormatting sqref="M150:O151 N172:O172">
    <cfRule type="expression" dxfId="2162" priority="25">
      <formula>$N$172 &gt; 0</formula>
    </cfRule>
    <cfRule type="expression" dxfId="2161" priority="26">
      <formula>$N$172 = 0</formula>
    </cfRule>
    <cfRule type="expression" dxfId="2160" priority="27">
      <formula>$N$172 &lt; 0</formula>
    </cfRule>
  </conditionalFormatting>
  <conditionalFormatting sqref="A179:C198 M179:O198">
    <cfRule type="expression" dxfId="2159" priority="13">
      <formula>AND($N179 &gt; 0, ISNUMBER($N179))</formula>
    </cfRule>
    <cfRule type="expression" dxfId="2158" priority="14">
      <formula>AND($N179 = 0 * ISNUMBER($N179))</formula>
    </cfRule>
    <cfRule type="expression" dxfId="2157" priority="15">
      <formula>AND($N179 &lt; 0, ISNUMBER($N179))</formula>
    </cfRule>
  </conditionalFormatting>
  <conditionalFormatting sqref="A179:F198">
    <cfRule type="expression" dxfId="2156" priority="22">
      <formula>AND($E179 &gt; 0, ISNUMBER($E179))</formula>
    </cfRule>
    <cfRule type="expression" dxfId="2155" priority="23">
      <formula>AND($E179 = 0 * ISNUMBER($E179))</formula>
    </cfRule>
    <cfRule type="expression" dxfId="2154" priority="24">
      <formula>AND($E179 &lt; 0, ISNUMBER($E179))</formula>
    </cfRule>
  </conditionalFormatting>
  <conditionalFormatting sqref="A179:C198 G179:I198">
    <cfRule type="expression" dxfId="2153" priority="19">
      <formula>AND($H179 &gt; 0, ISNUMBER($H179))</formula>
    </cfRule>
    <cfRule type="expression" dxfId="2152" priority="20">
      <formula>AND($H179 = 0 * ISNUMBER($H179))</formula>
    </cfRule>
    <cfRule type="expression" dxfId="2151" priority="21">
      <formula>AND($H179 &lt; 0, ISNUMBER($H179))</formula>
    </cfRule>
  </conditionalFormatting>
  <conditionalFormatting sqref="A179:C198 J179:L198">
    <cfRule type="expression" dxfId="2150" priority="16">
      <formula>AND($K179 &gt; 0, ISNUMBER($K179))</formula>
    </cfRule>
    <cfRule type="expression" dxfId="2149" priority="17">
      <formula>AND($K179 = 0 * ISNUMBER($K179))</formula>
    </cfRule>
    <cfRule type="expression" dxfId="2148" priority="18">
      <formula>AND($K179 &lt; 0, ISNUMBER($K179))</formula>
    </cfRule>
  </conditionalFormatting>
  <conditionalFormatting sqref="D177:F178 E199:F199">
    <cfRule type="expression" dxfId="2147" priority="10">
      <formula>$E$199 &gt; 0</formula>
    </cfRule>
    <cfRule type="expression" dxfId="2146" priority="11">
      <formula>$E$199 = 0</formula>
    </cfRule>
    <cfRule type="expression" dxfId="2145" priority="12">
      <formula>$E$199 &lt; 0</formula>
    </cfRule>
  </conditionalFormatting>
  <conditionalFormatting sqref="G177:I178 H199:I199">
    <cfRule type="expression" dxfId="2144" priority="7">
      <formula>$H$199 &gt; 0</formula>
    </cfRule>
    <cfRule type="expression" dxfId="2143" priority="8">
      <formula>$H$199 = 0</formula>
    </cfRule>
    <cfRule type="expression" dxfId="2142" priority="9">
      <formula>$H$199 &lt; 0</formula>
    </cfRule>
  </conditionalFormatting>
  <conditionalFormatting sqref="J177:L178 K199:L199">
    <cfRule type="expression" dxfId="2141" priority="4">
      <formula>$K$199 &gt; 0</formula>
    </cfRule>
    <cfRule type="expression" dxfId="2140" priority="5">
      <formula>$K$199 = 0</formula>
    </cfRule>
    <cfRule type="expression" dxfId="2139" priority="6">
      <formula>$K$199 &lt; 0</formula>
    </cfRule>
  </conditionalFormatting>
  <conditionalFormatting sqref="M177:O178 N199:O199">
    <cfRule type="expression" dxfId="2138" priority="1">
      <formula>$N$199 &gt; 0</formula>
    </cfRule>
    <cfRule type="expression" dxfId="2137" priority="2">
      <formula>$N$199 = 0</formula>
    </cfRule>
    <cfRule type="expression" dxfId="21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2FD99-CFB0-47C5-AD52-529C89ED9F0E}">
  <sheetPr codeName="Sheet11"/>
  <dimension ref="A1:S199"/>
  <sheetViews>
    <sheetView topLeftCell="A90" zoomScaleNormal="100" workbookViewId="0">
      <selection activeCell="A100" sqref="A100:A10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6" t="s">
        <v>0</v>
      </c>
      <c r="B1" s="247"/>
      <c r="C1" s="247"/>
      <c r="D1" s="247"/>
      <c r="E1" s="247"/>
      <c r="F1" s="248"/>
      <c r="G1" s="277">
        <v>44352</v>
      </c>
      <c r="H1" s="278"/>
      <c r="I1" s="279"/>
      <c r="J1" s="246" t="s">
        <v>1</v>
      </c>
      <c r="K1" s="247"/>
      <c r="L1" s="247"/>
      <c r="M1" s="247"/>
      <c r="N1" s="247"/>
      <c r="O1" s="248"/>
      <c r="Q1" s="246" t="s">
        <v>2</v>
      </c>
      <c r="R1" s="248"/>
    </row>
    <row r="2" spans="1:19" ht="17.25" customHeight="1">
      <c r="A2" s="117" t="s">
        <v>3</v>
      </c>
      <c r="B2" s="280" t="s">
        <v>8</v>
      </c>
      <c r="C2" s="281"/>
      <c r="D2" s="281"/>
      <c r="E2" s="281"/>
      <c r="F2" s="282"/>
      <c r="G2" s="274" t="s">
        <v>46</v>
      </c>
      <c r="H2" s="275"/>
      <c r="I2" s="276"/>
      <c r="J2" s="1" t="s">
        <v>3</v>
      </c>
      <c r="K2" s="280" t="s">
        <v>350</v>
      </c>
      <c r="L2" s="281"/>
      <c r="M2" s="281"/>
      <c r="N2" s="281"/>
      <c r="O2" s="282"/>
      <c r="Q2" s="2" t="s">
        <v>6</v>
      </c>
      <c r="R2" s="3">
        <v>0.375</v>
      </c>
    </row>
    <row r="3" spans="1:19" ht="17.25" customHeight="1" thickBot="1">
      <c r="A3" s="118" t="s">
        <v>7</v>
      </c>
      <c r="B3" s="271" t="s">
        <v>358</v>
      </c>
      <c r="C3" s="272"/>
      <c r="D3" s="272"/>
      <c r="E3" s="272"/>
      <c r="F3" s="273"/>
      <c r="G3" s="26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-5,908 KRW (-0.30%)</v>
      </c>
      <c r="H3" s="268"/>
      <c r="I3" s="269"/>
      <c r="J3" s="4" t="s">
        <v>7</v>
      </c>
      <c r="K3" s="271" t="s">
        <v>351</v>
      </c>
      <c r="L3" s="272"/>
      <c r="M3" s="272"/>
      <c r="N3" s="272"/>
      <c r="O3" s="27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1" t="s">
        <v>16</v>
      </c>
      <c r="C4" s="272"/>
      <c r="D4" s="272"/>
      <c r="E4" s="272"/>
      <c r="F4" s="273"/>
      <c r="G4" s="274" t="s">
        <v>44</v>
      </c>
      <c r="H4" s="275"/>
      <c r="I4" s="276"/>
      <c r="J4" s="4" t="s">
        <v>11</v>
      </c>
      <c r="K4" s="271" t="s">
        <v>352</v>
      </c>
      <c r="L4" s="272"/>
      <c r="M4" s="272"/>
      <c r="N4" s="272"/>
      <c r="O4" s="27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1" t="s">
        <v>349</v>
      </c>
      <c r="C5" s="272"/>
      <c r="D5" s="272"/>
      <c r="E5" s="272"/>
      <c r="F5" s="273"/>
      <c r="G5" s="26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8,893 KRW (0.44%)</v>
      </c>
      <c r="H5" s="268"/>
      <c r="I5" s="269"/>
      <c r="J5" s="4" t="s">
        <v>15</v>
      </c>
      <c r="K5" s="271" t="s">
        <v>353</v>
      </c>
      <c r="L5" s="272"/>
      <c r="M5" s="272"/>
      <c r="N5" s="272"/>
      <c r="O5" s="273"/>
    </row>
    <row r="6" spans="1:19">
      <c r="A6" s="118" t="s">
        <v>18</v>
      </c>
      <c r="B6" s="271"/>
      <c r="C6" s="272"/>
      <c r="D6" s="272"/>
      <c r="E6" s="272"/>
      <c r="F6" s="273"/>
      <c r="G6" s="274" t="s">
        <v>45</v>
      </c>
      <c r="H6" s="275"/>
      <c r="I6" s="276"/>
      <c r="J6" s="4" t="s">
        <v>18</v>
      </c>
      <c r="K6" s="271" t="s">
        <v>354</v>
      </c>
      <c r="L6" s="272"/>
      <c r="M6" s="272"/>
      <c r="N6" s="272"/>
      <c r="O6" s="273"/>
    </row>
    <row r="7" spans="1:19" ht="17.25" thickBot="1">
      <c r="A7" s="118" t="s">
        <v>21</v>
      </c>
      <c r="B7" s="271"/>
      <c r="C7" s="272"/>
      <c r="D7" s="272"/>
      <c r="E7" s="272"/>
      <c r="F7" s="273"/>
      <c r="G7" s="26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-12,056 KRW (-0.60%)</v>
      </c>
      <c r="H7" s="268"/>
      <c r="I7" s="269"/>
      <c r="J7" s="4" t="s">
        <v>21</v>
      </c>
      <c r="K7" s="271" t="s">
        <v>355</v>
      </c>
      <c r="L7" s="272"/>
      <c r="M7" s="272"/>
      <c r="N7" s="272"/>
      <c r="O7" s="273"/>
    </row>
    <row r="8" spans="1:19" ht="17.25" thickBot="1">
      <c r="A8" s="118" t="s">
        <v>24</v>
      </c>
      <c r="B8" s="271"/>
      <c r="C8" s="272"/>
      <c r="D8" s="272"/>
      <c r="E8" s="272"/>
      <c r="F8" s="273"/>
      <c r="G8" s="274" t="s">
        <v>285</v>
      </c>
      <c r="H8" s="275"/>
      <c r="I8" s="276"/>
      <c r="J8" s="4" t="s">
        <v>24</v>
      </c>
      <c r="K8" s="271"/>
      <c r="L8" s="272"/>
      <c r="M8" s="272"/>
      <c r="N8" s="272"/>
      <c r="O8" s="273"/>
      <c r="Q8" s="246" t="s">
        <v>27</v>
      </c>
      <c r="R8" s="248"/>
    </row>
    <row r="9" spans="1:19" ht="17.25" thickBot="1">
      <c r="A9" s="118" t="s">
        <v>28</v>
      </c>
      <c r="B9" s="271"/>
      <c r="C9" s="272"/>
      <c r="D9" s="272"/>
      <c r="E9" s="272"/>
      <c r="F9" s="273"/>
      <c r="G9" s="26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-44,493 KRW (-2.22%)</v>
      </c>
      <c r="H9" s="268"/>
      <c r="I9" s="269"/>
      <c r="J9" s="4" t="s">
        <v>28</v>
      </c>
      <c r="K9" s="271"/>
      <c r="L9" s="272"/>
      <c r="M9" s="272"/>
      <c r="N9" s="272"/>
      <c r="O9" s="273"/>
      <c r="Q9" s="2" t="s">
        <v>29</v>
      </c>
      <c r="R9" s="6">
        <v>10</v>
      </c>
    </row>
    <row r="10" spans="1:19">
      <c r="A10" s="118" t="s">
        <v>30</v>
      </c>
      <c r="B10" s="271"/>
      <c r="C10" s="272"/>
      <c r="D10" s="272"/>
      <c r="E10" s="272"/>
      <c r="F10" s="273"/>
      <c r="G10" s="274" t="s">
        <v>47</v>
      </c>
      <c r="H10" s="275"/>
      <c r="I10" s="276"/>
      <c r="J10" s="4" t="s">
        <v>30</v>
      </c>
      <c r="K10" s="271" t="s">
        <v>356</v>
      </c>
      <c r="L10" s="272"/>
      <c r="M10" s="272"/>
      <c r="N10" s="272"/>
      <c r="O10" s="273"/>
      <c r="Q10" s="2" t="s">
        <v>31</v>
      </c>
      <c r="R10" s="6">
        <v>100</v>
      </c>
    </row>
    <row r="11" spans="1:19" ht="17.25" thickBot="1">
      <c r="A11" s="119" t="s">
        <v>32</v>
      </c>
      <c r="B11" s="264" t="s">
        <v>357</v>
      </c>
      <c r="C11" s="265"/>
      <c r="D11" s="265"/>
      <c r="E11" s="265"/>
      <c r="F11" s="266"/>
      <c r="G11" s="26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5,429 KRW (1.09%)</v>
      </c>
      <c r="H11" s="268"/>
      <c r="I11" s="269"/>
      <c r="J11" s="7" t="s">
        <v>32</v>
      </c>
      <c r="K11" s="264" t="s">
        <v>348</v>
      </c>
      <c r="L11" s="265"/>
      <c r="M11" s="265"/>
      <c r="N11" s="265"/>
      <c r="O11" s="266"/>
      <c r="Q11" s="65" t="s">
        <v>33</v>
      </c>
      <c r="R11" s="8">
        <v>1000</v>
      </c>
    </row>
    <row r="12" spans="1:19" ht="17.25" thickBot="1"/>
    <row r="13" spans="1:19" ht="17.25" customHeight="1" thickBot="1">
      <c r="A13" s="246" t="s">
        <v>34</v>
      </c>
      <c r="B13" s="247"/>
      <c r="C13" s="247"/>
      <c r="D13" s="247"/>
      <c r="E13" s="247"/>
      <c r="F13" s="247"/>
      <c r="G13" s="247"/>
      <c r="H13" s="247"/>
      <c r="I13" s="247"/>
      <c r="J13" s="247"/>
      <c r="K13" s="247"/>
      <c r="L13" s="247"/>
      <c r="M13" s="247"/>
      <c r="N13" s="247"/>
      <c r="O13" s="248"/>
      <c r="Q13" s="245"/>
      <c r="R13" s="245"/>
      <c r="S13" s="245"/>
    </row>
    <row r="14" spans="1:19" ht="17.25" customHeight="1" thickBot="1">
      <c r="A14" s="176" t="s">
        <v>35</v>
      </c>
      <c r="B14" s="246" t="s">
        <v>36</v>
      </c>
      <c r="C14" s="248"/>
      <c r="D14" s="246" t="s">
        <v>37</v>
      </c>
      <c r="E14" s="247"/>
      <c r="F14" s="248"/>
      <c r="G14" s="249">
        <f>_xlfn.IFNA(VLOOKUP(B14, 현재가테이블!$B$2:$D$200, 2, FALSE), "-")</f>
        <v>45335000</v>
      </c>
      <c r="H14" s="250"/>
      <c r="I14" s="251"/>
      <c r="J14" s="246" t="s">
        <v>38</v>
      </c>
      <c r="K14" s="247"/>
      <c r="L14" s="248"/>
      <c r="M14" s="252">
        <f>_xlfn.IFNA(VLOOKUP(B14, 현재가테이블!$B$2:$D$200, 3, FALSE), "-")</f>
        <v>-2.27209037E-2</v>
      </c>
      <c r="N14" s="253"/>
      <c r="O14" s="254"/>
      <c r="Q14" s="245"/>
      <c r="R14" s="245"/>
      <c r="S14" s="245"/>
    </row>
    <row r="15" spans="1:19" ht="17.25" customHeight="1" thickBot="1">
      <c r="A15" s="283" t="s">
        <v>39</v>
      </c>
      <c r="B15" s="284" t="str">
        <f>TEXT($G$1, "[$-ko-KR]yyyy-mm-dd(ddd) ") &amp; "오전 00:00"</f>
        <v>2021-06-05(토) 오전 00:00</v>
      </c>
      <c r="C15" s="285"/>
      <c r="D15" s="259" t="str">
        <f>TEXT($G$1, "[$-ko-KR]yyyy-mm-dd(ddd) ") &amp; "오후 14:00"</f>
        <v>2021-06-05(토) 오후 14:00</v>
      </c>
      <c r="E15" s="260"/>
      <c r="F15" s="261"/>
      <c r="G15" s="259" t="str">
        <f>TEXT($G$1, "[$-ko-KR]yyyy-mm-dd(ddd) ") &amp; "오후 19:00"</f>
        <v>2021-06-05(토) 오후 19:00</v>
      </c>
      <c r="H15" s="260"/>
      <c r="I15" s="261"/>
      <c r="J15" s="259" t="str">
        <f>TEXT($G$1, "[$-ko-KR]yyyy-mm-dd(ddd) ") &amp; "오후 21:00"</f>
        <v>2021-06-05(토) 오후 21:00</v>
      </c>
      <c r="K15" s="260"/>
      <c r="L15" s="261"/>
      <c r="M15" s="259" t="str">
        <f>TEXT($G$1+1, "[$-ko-KR]yyyy-mm-dd(ddd) ") &amp; "오전 00:00"</f>
        <v>2021-06-06(일) 오전 00:00</v>
      </c>
      <c r="N15" s="260"/>
      <c r="O15" s="261"/>
      <c r="Q15" s="245"/>
      <c r="R15" s="245"/>
      <c r="S15" s="245"/>
    </row>
    <row r="16" spans="1:19" ht="17.25" customHeight="1" thickBot="1">
      <c r="A16" s="28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7" t="s">
        <v>37</v>
      </c>
      <c r="H16" s="178" t="s">
        <v>40</v>
      </c>
      <c r="I16" s="17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5"/>
      <c r="R16" s="235"/>
      <c r="S16" s="235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93.2</v>
      </c>
      <c r="C17" s="76">
        <f>IF(NOT(ISBLANK(_xlfn.IFNA(VLOOKUP($A17, $A$40:$O$199, 3, FALSE), ))), _xlfn.IFNA(VLOOKUP($A17, $A$40:$O$199, 3, FALSE), ), "")</f>
        <v>-6.0483871000000002E-2</v>
      </c>
      <c r="D17" s="13">
        <f>IF(NOT(ISBLANK(_xlfn.IFNA(VLOOKUP($A17, $A$40:$O$199, 4, FALSE), ))), _xlfn.IFNA(VLOOKUP($A17, $A$40:$O$199, 4, FALSE), ), "")</f>
        <v>97.3</v>
      </c>
      <c r="E17" s="14">
        <f>IF(NOT(ISBLANK(_xlfn.IFNA(VLOOKUP($A17, $A$40:$O$199, 5, FALSE), ))), _xlfn.IFNA(VLOOKUP($A17, $A$40:$O$199, 5, FALSE), ), "")</f>
        <v>4.3991416309012814E-2</v>
      </c>
      <c r="F17" s="16">
        <f>IF(NOT(ISBLANK(_xlfn.IFNA(VLOOKUP($A17, $A$40:$O$199, 6, FALSE), ))), _xlfn.IFNA(VLOOKUP($A17, $A$40:$O$199, 6, FALSE), ), "")</f>
        <v>4399.1416309012811</v>
      </c>
      <c r="G17" s="29">
        <f>IF(NOT(ISBLANK(_xlfn.IFNA(VLOOKUP($A17, $A$40:$O$199, 7, FALSE), ))), _xlfn.IFNA(VLOOKUP($A17, $A$40:$O$199, 7, FALSE), ), "")</f>
        <v>99.9</v>
      </c>
      <c r="H17" s="14">
        <f>IF(NOT(ISBLANK(_xlfn.IFNA(VLOOKUP($A17, $A$40:$O$199, 8, FALSE), ))), _xlfn.IFNA(VLOOKUP($A17, $A$40:$O$199, 8, FALSE), ), "")</f>
        <v>7.1888412017167405E-2</v>
      </c>
      <c r="I17" s="100">
        <f>IF(NOT(ISBLANK(_xlfn.IFNA(VLOOKUP($A17, $A$40:$O$199, 9, FALSE), ))), _xlfn.IFNA(VLOOKUP($A17, $A$40:$O$199, 9, FALSE), ), "")</f>
        <v>7188.8412017167402</v>
      </c>
      <c r="J17" s="13">
        <f>IF(NOT(ISBLANK(_xlfn.IFNA(VLOOKUP($A17, $A$40:$O$199, 10, FALSE), ))), _xlfn.IFNA(VLOOKUP($A17, $A$40:$O$199, 10, FALSE), ), "")</f>
        <v>102</v>
      </c>
      <c r="K17" s="14">
        <f>IF(NOT(ISBLANK(_xlfn.IFNA(VLOOKUP($A17, $A$40:$O$199, 11, FALSE), ))), _xlfn.IFNA(VLOOKUP($A17, $A$40:$O$199, 11, FALSE), ), "")</f>
        <v>9.4420600858369064E-2</v>
      </c>
      <c r="L17" s="16">
        <f>IF(NOT(ISBLANK(_xlfn.IFNA(VLOOKUP($A17, $A$40:$O$199, 12, FALSE), ))), _xlfn.IFNA(VLOOKUP($A17, $A$40:$O$199, 12, FALSE), ), "")</f>
        <v>9442.0600858369071</v>
      </c>
      <c r="M17" s="29">
        <f>IF(NOT(ISBLANK(_xlfn.IFNA(VLOOKUP($A17, $A$40:$O$199, 13, FALSE), ))), _xlfn.IFNA(VLOOKUP($A17, $A$40:$O$199, 13, FALSE), ), "")</f>
        <v>100</v>
      </c>
      <c r="N17" s="14">
        <f>IF(NOT(ISBLANK(_xlfn.IFNA(VLOOKUP($A17, $A$40:$O$199, 14, FALSE), ))), _xlfn.IFNA(VLOOKUP($A17, $A$40:$O$199, 14, FALSE), ), "")</f>
        <v>7.2961373390557901E-2</v>
      </c>
      <c r="O17" s="16">
        <f>IF(NOT(ISBLANK(_xlfn.IFNA(VLOOKUP($A17, $A$40:$O$199, 15, FALSE), ))), _xlfn.IFNA(VLOOKUP($A17, $A$40:$O$199, 15, FALSE), ), "")</f>
        <v>7296.1373390557901</v>
      </c>
      <c r="Q17" s="245"/>
      <c r="R17" s="245"/>
      <c r="S17" s="245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81.099999999999994</v>
      </c>
      <c r="C18" s="77">
        <f t="shared" ref="C18:C36" si="1">IF(NOT(ISBLANK(_xlfn.IFNA(VLOOKUP($A18, $A$40:$O$199, 3, FALSE), ))), _xlfn.IFNA(VLOOKUP($A18, $A$40:$O$199, 3, FALSE), ), "")</f>
        <v>-8.5574572000000002E-3</v>
      </c>
      <c r="D18" s="15">
        <f t="shared" ref="D18:D36" si="2">IF(NOT(ISBLANK(_xlfn.IFNA(VLOOKUP($A18, $A$40:$O$199, 4, FALSE), ))), _xlfn.IFNA(VLOOKUP($A18, $A$40:$O$199, 4, FALSE), ), "")</f>
        <v>81.7</v>
      </c>
      <c r="E18" s="32">
        <f t="shared" ref="E18:E36" si="3">IF(NOT(ISBLANK(_xlfn.IFNA(VLOOKUP($A18, $A$40:$O$199, 5, FALSE), ))), _xlfn.IFNA(VLOOKUP($A18, $A$40:$O$199, 5, FALSE), ), "")</f>
        <v>7.3982737361283427E-3</v>
      </c>
      <c r="F18" s="18">
        <f t="shared" ref="F18:F36" si="4">IF(NOT(ISBLANK(_xlfn.IFNA(VLOOKUP($A18, $A$40:$O$199, 6, FALSE), ))), _xlfn.IFNA(VLOOKUP($A18, $A$40:$O$199, 6, FALSE), ), "")</f>
        <v>739.82737361283432</v>
      </c>
      <c r="G18" s="31">
        <f t="shared" ref="G18:G36" si="5">IF(NOT(ISBLANK(_xlfn.IFNA(VLOOKUP($A18, $A$40:$O$199, 7, FALSE), ))), _xlfn.IFNA(VLOOKUP($A18, $A$40:$O$199, 7, FALSE), ), "")</f>
        <v>80.2</v>
      </c>
      <c r="H18" s="32">
        <f t="shared" ref="H18:H36" si="6">IF(NOT(ISBLANK(_xlfn.IFNA(VLOOKUP($A18, $A$40:$O$199, 8, FALSE), ))), _xlfn.IFNA(VLOOKUP($A18, $A$40:$O$199, 8, FALSE), ), "")</f>
        <v>-1.109741060419225E-2</v>
      </c>
      <c r="I18" s="101">
        <f t="shared" ref="I18:I36" si="7">IF(NOT(ISBLANK(_xlfn.IFNA(VLOOKUP($A18, $A$40:$O$199, 9, FALSE), ))), _xlfn.IFNA(VLOOKUP($A18, $A$40:$O$199, 9, FALSE), ), "")</f>
        <v>-1109.7410604192251</v>
      </c>
      <c r="J18" s="15">
        <f t="shared" ref="J18:J36" si="8">IF(NOT(ISBLANK(_xlfn.IFNA(VLOOKUP($A18, $A$40:$O$199, 10, FALSE), ))), _xlfn.IFNA(VLOOKUP($A18, $A$40:$O$199, 10, FALSE), ), "")</f>
        <v>78.3</v>
      </c>
      <c r="K18" s="32">
        <f t="shared" ref="K18:K36" si="9">IF(NOT(ISBLANK(_xlfn.IFNA(VLOOKUP($A18, $A$40:$O$199, 11, FALSE), ))), _xlfn.IFNA(VLOOKUP($A18, $A$40:$O$199, 11, FALSE), ), "")</f>
        <v>-3.4525277435265074E-2</v>
      </c>
      <c r="L18" s="18">
        <f t="shared" ref="L18:L36" si="10">IF(NOT(ISBLANK(_xlfn.IFNA(VLOOKUP($A18, $A$40:$O$199, 12, FALSE), ))), _xlfn.IFNA(VLOOKUP($A18, $A$40:$O$199, 12, FALSE), ), "")</f>
        <v>-3452.5277435265075</v>
      </c>
      <c r="M18" s="31">
        <f t="shared" ref="M18:M36" si="11">IF(NOT(ISBLANK(_xlfn.IFNA(VLOOKUP($A18, $A$40:$O$199, 13, FALSE), ))), _xlfn.IFNA(VLOOKUP($A18, $A$40:$O$199, 13, FALSE), ), "")</f>
        <v>79.099999999999994</v>
      </c>
      <c r="N18" s="32">
        <f t="shared" ref="N18:N36" si="12">IF(NOT(ISBLANK(_xlfn.IFNA(VLOOKUP($A18, $A$40:$O$199, 14, FALSE), ))), _xlfn.IFNA(VLOOKUP($A18, $A$40:$O$199, 14, FALSE), ), "")</f>
        <v>-2.4660912453760789E-2</v>
      </c>
      <c r="O18" s="18">
        <f t="shared" ref="O18:O36" si="13">IF(NOT(ISBLANK(_xlfn.IFNA(VLOOKUP($A18, $A$40:$O$199, 15, FALSE), ))), _xlfn.IFNA(VLOOKUP($A18, $A$40:$O$199, 15, FALSE), ), "")</f>
        <v>-2466.0912453760789</v>
      </c>
      <c r="Q18" s="245"/>
      <c r="R18" s="245"/>
      <c r="S18" s="245"/>
    </row>
    <row r="19" spans="1:19" ht="17.25" customHeight="1" thickBot="1">
      <c r="A19" s="162" t="s">
        <v>202</v>
      </c>
      <c r="B19" s="126">
        <f t="shared" si="0"/>
        <v>123</v>
      </c>
      <c r="C19" s="77">
        <f t="shared" si="1"/>
        <v>-6.8181818199999994E-2</v>
      </c>
      <c r="D19" s="15">
        <f t="shared" si="2"/>
        <v>125</v>
      </c>
      <c r="E19" s="32">
        <f t="shared" si="3"/>
        <v>1.6260162601626018E-2</v>
      </c>
      <c r="F19" s="18">
        <f t="shared" si="4"/>
        <v>1626.0162601626018</v>
      </c>
      <c r="G19" s="31">
        <f t="shared" si="5"/>
        <v>125</v>
      </c>
      <c r="H19" s="32">
        <f t="shared" si="6"/>
        <v>1.6260162601626018E-2</v>
      </c>
      <c r="I19" s="101">
        <f t="shared" si="7"/>
        <v>1626.0162601626018</v>
      </c>
      <c r="J19" s="15">
        <f t="shared" si="8"/>
        <v>121</v>
      </c>
      <c r="K19" s="32">
        <f t="shared" si="9"/>
        <v>-1.6260162601626018E-2</v>
      </c>
      <c r="L19" s="18">
        <f t="shared" si="10"/>
        <v>-1626.0162601626018</v>
      </c>
      <c r="M19" s="31">
        <f t="shared" si="11"/>
        <v>123</v>
      </c>
      <c r="N19" s="32">
        <f t="shared" si="12"/>
        <v>0</v>
      </c>
      <c r="O19" s="18">
        <f t="shared" si="13"/>
        <v>0</v>
      </c>
      <c r="Q19" s="235"/>
      <c r="R19" s="235"/>
      <c r="S19" s="235"/>
    </row>
    <row r="20" spans="1:19" ht="17.25" customHeight="1" thickBot="1">
      <c r="A20" s="162" t="s">
        <v>120</v>
      </c>
      <c r="B20" s="126">
        <f t="shared" si="0"/>
        <v>142</v>
      </c>
      <c r="C20" s="77">
        <f t="shared" si="1"/>
        <v>-5.9602649000000001E-2</v>
      </c>
      <c r="D20" s="15">
        <f t="shared" si="2"/>
        <v>143</v>
      </c>
      <c r="E20" s="32">
        <f t="shared" si="3"/>
        <v>7.0422535211267607E-3</v>
      </c>
      <c r="F20" s="18">
        <f t="shared" si="4"/>
        <v>704.22535211267609</v>
      </c>
      <c r="G20" s="31">
        <f t="shared" si="5"/>
        <v>143</v>
      </c>
      <c r="H20" s="32">
        <f t="shared" si="6"/>
        <v>7.0422535211267607E-3</v>
      </c>
      <c r="I20" s="101">
        <f t="shared" si="7"/>
        <v>704.22535211267609</v>
      </c>
      <c r="J20" s="15">
        <f t="shared" si="8"/>
        <v>141</v>
      </c>
      <c r="K20" s="32">
        <f t="shared" si="9"/>
        <v>-7.0422535211267607E-3</v>
      </c>
      <c r="L20" s="18">
        <f t="shared" si="10"/>
        <v>-704.22535211267609</v>
      </c>
      <c r="M20" s="31">
        <f t="shared" si="11"/>
        <v>141</v>
      </c>
      <c r="N20" s="32">
        <f t="shared" si="12"/>
        <v>-7.0422535211267607E-3</v>
      </c>
      <c r="O20" s="18">
        <f t="shared" si="13"/>
        <v>-704.22535211267609</v>
      </c>
      <c r="Q20" s="235"/>
      <c r="R20" s="235"/>
      <c r="S20" s="235"/>
    </row>
    <row r="21" spans="1:19" ht="17.25" customHeight="1" thickBot="1">
      <c r="A21" s="163" t="s">
        <v>246</v>
      </c>
      <c r="B21" s="128">
        <f t="shared" si="0"/>
        <v>307</v>
      </c>
      <c r="C21" s="78">
        <f t="shared" si="1"/>
        <v>-4.95356037E-2</v>
      </c>
      <c r="D21" s="20">
        <f t="shared" si="2"/>
        <v>310</v>
      </c>
      <c r="E21" s="21">
        <f t="shared" si="3"/>
        <v>9.7719869706840382E-3</v>
      </c>
      <c r="F21" s="22">
        <f t="shared" si="4"/>
        <v>977.19869706840382</v>
      </c>
      <c r="G21" s="30">
        <f t="shared" si="5"/>
        <v>312</v>
      </c>
      <c r="H21" s="21">
        <f t="shared" si="6"/>
        <v>1.6286644951140065E-2</v>
      </c>
      <c r="I21" s="105">
        <f t="shared" si="7"/>
        <v>1628.6644951140065</v>
      </c>
      <c r="J21" s="20">
        <f t="shared" si="8"/>
        <v>306</v>
      </c>
      <c r="K21" s="21">
        <f t="shared" si="9"/>
        <v>-3.2573289902280132E-3</v>
      </c>
      <c r="L21" s="22">
        <f t="shared" si="10"/>
        <v>-325.73289902280129</v>
      </c>
      <c r="M21" s="30">
        <f t="shared" si="11"/>
        <v>311</v>
      </c>
      <c r="N21" s="21">
        <f t="shared" si="12"/>
        <v>1.3029315960912053E-2</v>
      </c>
      <c r="O21" s="22">
        <f t="shared" si="13"/>
        <v>1302.9315960912052</v>
      </c>
      <c r="Q21" s="235"/>
      <c r="R21" s="235"/>
      <c r="S21" s="235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5"/>
      <c r="R22" s="235"/>
      <c r="S22" s="235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5"/>
      <c r="R23" s="235"/>
      <c r="S23" s="235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5"/>
      <c r="R24" s="235"/>
      <c r="S24" s="235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6"/>
      <c r="R26" s="237"/>
      <c r="S26" s="238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9"/>
      <c r="R27" s="240"/>
      <c r="S27" s="241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2"/>
      <c r="R28" s="243"/>
      <c r="S28" s="244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5"/>
      <c r="R29" s="235"/>
      <c r="S29" s="235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5"/>
      <c r="R30" s="245"/>
      <c r="S30" s="245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5"/>
      <c r="R31" s="245"/>
      <c r="S31" s="24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5"/>
      <c r="R32" s="235"/>
      <c r="S32" s="235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5"/>
      <c r="R33" s="235"/>
      <c r="S33" s="235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5"/>
      <c r="R34" s="235"/>
      <c r="S34" s="235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4"/>
      <c r="R35" s="225"/>
      <c r="S35" s="22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7"/>
      <c r="R36" s="228"/>
      <c r="S36" s="229"/>
    </row>
    <row r="37" spans="1:19" ht="17.25" customHeight="1" thickBot="1">
      <c r="A37" s="132" t="s">
        <v>42</v>
      </c>
      <c r="B37" s="288">
        <v>100000</v>
      </c>
      <c r="C37" s="289"/>
      <c r="D37" s="26" t="s">
        <v>43</v>
      </c>
      <c r="E37" s="27">
        <f>IF(COUNT(E17:E36), SUM(E17:E36) / COUNT(E17:E36), 0)</f>
        <v>1.6892818627715599E-2</v>
      </c>
      <c r="F37" s="28">
        <f>SUM(F17:F36)</f>
        <v>8446.4093138577955</v>
      </c>
      <c r="G37" s="26" t="s">
        <v>43</v>
      </c>
      <c r="H37" s="27">
        <f>IF(COUNT(H17:H36), SUM(H17:H36) / COUNT(H17:H36), 0)</f>
        <v>2.0076012497373601E-2</v>
      </c>
      <c r="I37" s="28">
        <f>SUM(I17:I36)</f>
        <v>10038.006248686799</v>
      </c>
      <c r="J37" s="26" t="s">
        <v>43</v>
      </c>
      <c r="K37" s="27">
        <f>IF(COUNT(K17:K36), SUM(K17:K36) / COUNT(K17:K36), 0)</f>
        <v>6.6671156620246403E-3</v>
      </c>
      <c r="L37" s="28">
        <f>SUM(L17:L36)</f>
        <v>3333.5578310123215</v>
      </c>
      <c r="M37" s="26" t="s">
        <v>43</v>
      </c>
      <c r="N37" s="27">
        <f>IF(COUNT(N17:N36), SUM(N17:N36) / COUNT(N17:N36), 0)</f>
        <v>1.0857504675316482E-2</v>
      </c>
      <c r="O37" s="28">
        <f>SUM(O17:O36)</f>
        <v>5428.7523376582412</v>
      </c>
      <c r="Q37" s="230"/>
      <c r="R37" s="231"/>
      <c r="S37" s="232"/>
    </row>
    <row r="38" spans="1:19" ht="17.25" customHeight="1"/>
    <row r="39" spans="1:19" ht="17.25" customHeight="1" thickBot="1"/>
    <row r="40" spans="1:19" ht="17.25" customHeight="1" thickBot="1">
      <c r="A40" s="246" t="s">
        <v>44</v>
      </c>
      <c r="B40" s="247"/>
      <c r="C40" s="247"/>
      <c r="D40" s="247"/>
      <c r="E40" s="247"/>
      <c r="F40" s="247"/>
      <c r="G40" s="247"/>
      <c r="H40" s="247"/>
      <c r="I40" s="247"/>
      <c r="J40" s="247"/>
      <c r="K40" s="247"/>
      <c r="L40" s="247"/>
      <c r="M40" s="247"/>
      <c r="N40" s="247"/>
      <c r="O40" s="248"/>
      <c r="Q40" s="245"/>
      <c r="R40" s="245"/>
      <c r="S40" s="245"/>
    </row>
    <row r="41" spans="1:19" ht="17.25" customHeight="1" thickBot="1">
      <c r="A41" s="176" t="s">
        <v>297</v>
      </c>
      <c r="B41" s="246" t="s">
        <v>49</v>
      </c>
      <c r="C41" s="248"/>
      <c r="D41" s="246" t="s">
        <v>58</v>
      </c>
      <c r="E41" s="247"/>
      <c r="F41" s="248"/>
      <c r="G41" s="249">
        <f>_xlfn.IFNA(VLOOKUP(B41, 현재가테이블!$B$2:$D$200, 2, FALSE), "-")</f>
        <v>45335000</v>
      </c>
      <c r="H41" s="250"/>
      <c r="I41" s="251"/>
      <c r="J41" s="246" t="s">
        <v>59</v>
      </c>
      <c r="K41" s="247"/>
      <c r="L41" s="248"/>
      <c r="M41" s="252">
        <f>_xlfn.IFNA(VLOOKUP(B41, 현재가테이블!$B$2:$D$200, 3, FALSE), "-")</f>
        <v>-2.27209037E-2</v>
      </c>
      <c r="N41" s="253"/>
      <c r="O41" s="254"/>
      <c r="Q41" s="245"/>
      <c r="R41" s="245"/>
      <c r="S41" s="245"/>
    </row>
    <row r="42" spans="1:19" ht="17.25" customHeight="1" thickBot="1">
      <c r="A42" s="290" t="s">
        <v>55</v>
      </c>
      <c r="B42" s="286" t="str">
        <f>TEXT($G$1, "[$-ko-KR]yyyy-mm-dd(ddd) ") &amp; "오전 00:00"</f>
        <v>2021-06-05(토) 오전 00:00</v>
      </c>
      <c r="C42" s="287"/>
      <c r="D42" s="259" t="str">
        <f>TEXT($G$1, "[$-ko-KR]yyyy-mm-dd(ddd) ") &amp; "오후 14:00"</f>
        <v>2021-06-05(토) 오후 14:00</v>
      </c>
      <c r="E42" s="260"/>
      <c r="F42" s="261"/>
      <c r="G42" s="259" t="str">
        <f>TEXT($G$1, "[$-ko-KR]yyyy-mm-dd(ddd) ") &amp; "오후 19:00"</f>
        <v>2021-06-05(토) 오후 19:00</v>
      </c>
      <c r="H42" s="260"/>
      <c r="I42" s="261"/>
      <c r="J42" s="259" t="str">
        <f>TEXT($G$1, "[$-ko-KR]yyyy-mm-dd(ddd) ") &amp; "오후 21:00"</f>
        <v>2021-06-05(토) 오후 21:00</v>
      </c>
      <c r="K42" s="260"/>
      <c r="L42" s="261"/>
      <c r="M42" s="259" t="str">
        <f>TEXT($G$1+1, "[$-ko-KR]yyyy-mm-dd(ddd) ") &amp; "오전 00:00"</f>
        <v>2021-06-06(일) 오전 00:00</v>
      </c>
      <c r="N42" s="260"/>
      <c r="O42" s="261"/>
      <c r="Q42" s="245"/>
      <c r="R42" s="245"/>
      <c r="S42" s="245"/>
    </row>
    <row r="43" spans="1:19" ht="17.25" customHeight="1" thickBot="1">
      <c r="A43" s="291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77" t="s">
        <v>58</v>
      </c>
      <c r="H43" s="178" t="s">
        <v>298</v>
      </c>
      <c r="I43" s="179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5"/>
      <c r="R43" s="235"/>
      <c r="S43" s="235"/>
    </row>
    <row r="44" spans="1:19" ht="17.25" customHeight="1" thickBot="1">
      <c r="A44" s="161" t="s">
        <v>186</v>
      </c>
      <c r="B44" s="124">
        <v>16.399999999999999</v>
      </c>
      <c r="C44" s="76">
        <v>0.13103448279999999</v>
      </c>
      <c r="D44" s="13">
        <v>21.7</v>
      </c>
      <c r="E44" s="14">
        <f>IF(ISNUMBER(D44), (D44 - $B44) / $B44, "")</f>
        <v>0.32317073170731714</v>
      </c>
      <c r="F44" s="16">
        <f>IF(ISNUMBER(D44), $B64 * E44, "")</f>
        <v>32317.073170731714</v>
      </c>
      <c r="G44" s="29">
        <v>19.5</v>
      </c>
      <c r="H44" s="14">
        <f>IF(ISNUMBER(G44), (G44 - $B44) / $B44, "")</f>
        <v>0.18902439024390255</v>
      </c>
      <c r="I44" s="100">
        <f>IF(ISNUMBER(G44), $B64 * H44, "")</f>
        <v>18902.439024390256</v>
      </c>
      <c r="J44" s="13">
        <v>19.3</v>
      </c>
      <c r="K44" s="14">
        <f>IF(ISNUMBER(J44), (J44 - $B44) / $B44, "")</f>
        <v>0.17682926829268308</v>
      </c>
      <c r="L44" s="16">
        <f>IF(ISNUMBER(J44), $B64 * K44, "")</f>
        <v>17682.926829268308</v>
      </c>
      <c r="M44" s="29">
        <v>19.899999999999999</v>
      </c>
      <c r="N44" s="14">
        <f>IF(ISNUMBER(M44), (M44 - $B44) / $B44, "")</f>
        <v>0.21341463414634149</v>
      </c>
      <c r="O44" s="16">
        <f>IF(ISNUMBER(M44), $B64 * N44, "")</f>
        <v>21341.463414634149</v>
      </c>
      <c r="Q44" s="245"/>
      <c r="R44" s="245"/>
      <c r="S44" s="245"/>
    </row>
    <row r="45" spans="1:19" ht="17.25" customHeight="1" thickBot="1">
      <c r="A45" s="162" t="s">
        <v>212</v>
      </c>
      <c r="B45" s="126">
        <v>81.099999999999994</v>
      </c>
      <c r="C45" s="77">
        <v>-8.5574572000000002E-3</v>
      </c>
      <c r="D45" s="15">
        <v>81.7</v>
      </c>
      <c r="E45" s="32">
        <f t="shared" ref="E45:E48" si="14">IF(ISNUMBER(D45), (D45 - $B45) / $B45, "")</f>
        <v>7.3982737361283427E-3</v>
      </c>
      <c r="F45" s="18">
        <f>IF(ISNUMBER(D45), $B64 * E45, "")</f>
        <v>739.82737361283432</v>
      </c>
      <c r="G45" s="31">
        <v>80.2</v>
      </c>
      <c r="H45" s="32">
        <f t="shared" ref="H45:H48" si="15">IF(ISNUMBER(G45), (G45 - $B45) / $B45, "")</f>
        <v>-1.109741060419225E-2</v>
      </c>
      <c r="I45" s="101">
        <f>IF(ISNUMBER(G45), $B64 * H45, "")</f>
        <v>-1109.7410604192251</v>
      </c>
      <c r="J45" s="15">
        <v>78.3</v>
      </c>
      <c r="K45" s="32">
        <f t="shared" ref="K45:K48" si="16">IF(ISNUMBER(J45), (J45 - $B45) / $B45, "")</f>
        <v>-3.4525277435265074E-2</v>
      </c>
      <c r="L45" s="18">
        <f>IF(ISNUMBER(J45), $B64 * K45, "")</f>
        <v>-3452.5277435265075</v>
      </c>
      <c r="M45" s="31">
        <v>79.099999999999994</v>
      </c>
      <c r="N45" s="32">
        <f t="shared" ref="N45:N48" si="17">IF(ISNUMBER(M45), (M45 - $B45) / $B45, "")</f>
        <v>-2.4660912453760789E-2</v>
      </c>
      <c r="O45" s="18">
        <f>IF(ISNUMBER(M45), $B64 * N45, "")</f>
        <v>-2466.0912453760789</v>
      </c>
      <c r="Q45" s="245"/>
      <c r="R45" s="245"/>
      <c r="S45" s="245"/>
    </row>
    <row r="46" spans="1:19" ht="17.25" customHeight="1" thickBot="1">
      <c r="A46" s="162" t="s">
        <v>100</v>
      </c>
      <c r="B46" s="126">
        <v>4.74</v>
      </c>
      <c r="C46" s="77">
        <v>-3.8539553800000001E-2</v>
      </c>
      <c r="D46" s="15">
        <v>4.9000000000000004</v>
      </c>
      <c r="E46" s="32">
        <f t="shared" si="14"/>
        <v>3.3755274261603407E-2</v>
      </c>
      <c r="F46" s="18">
        <f>IF(ISNUMBER(D46), $B64 * E46, "")</f>
        <v>3375.5274261603408</v>
      </c>
      <c r="G46" s="31">
        <v>4.8</v>
      </c>
      <c r="H46" s="32">
        <f t="shared" si="15"/>
        <v>1.2658227848101182E-2</v>
      </c>
      <c r="I46" s="101">
        <f>IF(ISNUMBER(G46), $B64 * H46, "")</f>
        <v>1265.8227848101183</v>
      </c>
      <c r="J46" s="15">
        <v>4.66</v>
      </c>
      <c r="K46" s="32">
        <f t="shared" si="16"/>
        <v>-1.6877637130801704E-2</v>
      </c>
      <c r="L46" s="18">
        <f>IF(ISNUMBER(J46), $B64 * K46, "")</f>
        <v>-1687.7637130801704</v>
      </c>
      <c r="M46" s="31">
        <v>4.71</v>
      </c>
      <c r="N46" s="32">
        <f t="shared" si="17"/>
        <v>-6.3291139240506849E-3</v>
      </c>
      <c r="O46" s="18">
        <f>IF(ISNUMBER(M46), $B64 * N46, "")</f>
        <v>-632.91139240506845</v>
      </c>
      <c r="Q46" s="235"/>
      <c r="R46" s="235"/>
      <c r="S46" s="235"/>
    </row>
    <row r="47" spans="1:19" ht="17.25" customHeight="1" thickBot="1">
      <c r="A47" s="162" t="s">
        <v>198</v>
      </c>
      <c r="B47" s="126">
        <v>16.7</v>
      </c>
      <c r="C47" s="77">
        <v>-5.1136363599999998E-2</v>
      </c>
      <c r="D47" s="15">
        <v>17</v>
      </c>
      <c r="E47" s="32">
        <f t="shared" si="14"/>
        <v>1.796407185628747E-2</v>
      </c>
      <c r="F47" s="18">
        <f>IF(ISNUMBER(D47), $B64 * E47, "")</f>
        <v>1796.4071856287469</v>
      </c>
      <c r="G47" s="31">
        <v>16.600000000000001</v>
      </c>
      <c r="H47" s="32">
        <f t="shared" si="15"/>
        <v>-5.9880239520956812E-3</v>
      </c>
      <c r="I47" s="101">
        <f>IF(ISNUMBER(G47), $B64 * H47, "")</f>
        <v>-598.80239520956809</v>
      </c>
      <c r="J47" s="15">
        <v>16.3</v>
      </c>
      <c r="K47" s="32">
        <f t="shared" si="16"/>
        <v>-2.3952095808383148E-2</v>
      </c>
      <c r="L47" s="18">
        <f>IF(ISNUMBER(J47), $B64 * K47, "")</f>
        <v>-2395.2095808383147</v>
      </c>
      <c r="M47" s="31">
        <v>16.5</v>
      </c>
      <c r="N47" s="32">
        <f t="shared" si="17"/>
        <v>-1.1976047904191574E-2</v>
      </c>
      <c r="O47" s="18">
        <f>IF(ISNUMBER(M47), $B64 * N47, "")</f>
        <v>-1197.6047904191573</v>
      </c>
      <c r="Q47" s="235"/>
      <c r="R47" s="235"/>
      <c r="S47" s="235"/>
    </row>
    <row r="48" spans="1:19" ht="17.25" customHeight="1" thickBot="1">
      <c r="A48" s="163" t="s">
        <v>254</v>
      </c>
      <c r="B48" s="128">
        <v>52.2</v>
      </c>
      <c r="C48" s="78">
        <v>-5.2631578900000003E-2</v>
      </c>
      <c r="D48" s="20">
        <v>52.6</v>
      </c>
      <c r="E48" s="21">
        <f t="shared" si="14"/>
        <v>7.6628352490421183E-3</v>
      </c>
      <c r="F48" s="22">
        <f>IF(ISNUMBER(D48), $B64 * E48, "")</f>
        <v>766.28352490421184</v>
      </c>
      <c r="G48" s="30">
        <v>51.9</v>
      </c>
      <c r="H48" s="21">
        <f t="shared" si="15"/>
        <v>-5.7471264367816906E-3</v>
      </c>
      <c r="I48" s="105">
        <f>IF(ISNUMBER(G48), $B64 * H48, "")</f>
        <v>-574.71264367816912</v>
      </c>
      <c r="J48" s="20">
        <v>51.2</v>
      </c>
      <c r="K48" s="21">
        <f t="shared" si="16"/>
        <v>-1.9157088122605363E-2</v>
      </c>
      <c r="L48" s="22">
        <f>IF(ISNUMBER(J48), $B64 * K48, "")</f>
        <v>-1915.7088122605362</v>
      </c>
      <c r="M48" s="30">
        <v>51.3</v>
      </c>
      <c r="N48" s="21">
        <f t="shared" si="17"/>
        <v>-1.7241379310344935E-2</v>
      </c>
      <c r="O48" s="22">
        <f>IF(ISNUMBER(M48), $B64 * N48, "")</f>
        <v>-1724.1379310344935</v>
      </c>
      <c r="Q48" s="235"/>
      <c r="R48" s="235"/>
      <c r="S48" s="235"/>
    </row>
    <row r="49" spans="1:19" ht="17.25" customHeight="1" thickBot="1">
      <c r="A49" s="162" t="s">
        <v>156</v>
      </c>
      <c r="B49" s="129">
        <v>89.8</v>
      </c>
      <c r="C49" s="80">
        <v>-5.5730809700000002E-2</v>
      </c>
      <c r="D49" s="106">
        <v>91.1</v>
      </c>
      <c r="E49" s="107">
        <f>IF(ISNUMBER(D49), (D49 - $B49) / $B49, "")</f>
        <v>1.4476614699331817E-2</v>
      </c>
      <c r="F49" s="108">
        <f>IF(ISNUMBER(D49), $B64 * E49, "")</f>
        <v>1447.6614699331817</v>
      </c>
      <c r="G49" s="109">
        <v>90.3</v>
      </c>
      <c r="H49" s="107">
        <f>IF(ISNUMBER(G49), (G49 - $B49) / $B49, "")</f>
        <v>5.5679287305122494E-3</v>
      </c>
      <c r="I49" s="110">
        <f>IF(ISNUMBER(G49), $B64 * H49, "")</f>
        <v>556.79287305122489</v>
      </c>
      <c r="J49" s="106">
        <v>88.5</v>
      </c>
      <c r="K49" s="107">
        <f>IF(ISNUMBER(J49), (J49 - $B49) / $B49, "")</f>
        <v>-1.4476614699331817E-2</v>
      </c>
      <c r="L49" s="108">
        <f>IF(ISNUMBER(J49), $B64 * K49, "")</f>
        <v>-1447.6614699331817</v>
      </c>
      <c r="M49" s="109">
        <v>88.7</v>
      </c>
      <c r="N49" s="107">
        <f>IF(ISNUMBER(M49), (M49 - $B49) / $B49, "")</f>
        <v>-1.2249443207126886E-2</v>
      </c>
      <c r="O49" s="108">
        <f>IF(ISNUMBER(M49), $B64 * N49, "")</f>
        <v>-1224.9443207126885</v>
      </c>
      <c r="Q49" s="235"/>
      <c r="R49" s="235"/>
      <c r="S49" s="235"/>
    </row>
    <row r="50" spans="1:19" ht="17.25" customHeight="1" thickBot="1">
      <c r="A50" s="162" t="s">
        <v>218</v>
      </c>
      <c r="B50" s="126">
        <v>16.7</v>
      </c>
      <c r="C50" s="77">
        <v>-5.6497175099999998E-2</v>
      </c>
      <c r="D50" s="15">
        <v>16.899999999999999</v>
      </c>
      <c r="E50" s="32">
        <f t="shared" ref="E50:E53" si="18">IF(ISNUMBER(D50), (D50 - $B50) / $B50, "")</f>
        <v>1.1976047904191574E-2</v>
      </c>
      <c r="F50" s="18">
        <f>IF(ISNUMBER(D50), $B64 * E50, "")</f>
        <v>1197.6047904191573</v>
      </c>
      <c r="G50" s="31">
        <v>16.7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16.5</v>
      </c>
      <c r="K50" s="32">
        <f t="shared" ref="K50:K53" si="20">IF(ISNUMBER(J50), (J50 - $B50) / $B50, "")</f>
        <v>-1.1976047904191574E-2</v>
      </c>
      <c r="L50" s="18">
        <f>IF(ISNUMBER(J50), $B64 * K50, "")</f>
        <v>-1197.6047904191573</v>
      </c>
      <c r="M50" s="31">
        <v>16.600000000000001</v>
      </c>
      <c r="N50" s="32">
        <f t="shared" ref="N50:N53" si="21">IF(ISNUMBER(M50), (M50 - $B50) / $B50, "")</f>
        <v>-5.9880239520956812E-3</v>
      </c>
      <c r="O50" s="18">
        <f>IF(ISNUMBER(M50), $B64 * N50, "")</f>
        <v>-598.80239520956809</v>
      </c>
      <c r="Q50" s="235"/>
      <c r="R50" s="235"/>
      <c r="S50" s="235"/>
    </row>
    <row r="51" spans="1:19" ht="17.25" customHeight="1" thickBot="1">
      <c r="A51" s="162" t="s">
        <v>222</v>
      </c>
      <c r="B51" s="126">
        <v>11.5</v>
      </c>
      <c r="C51" s="77">
        <v>-5.7377049200000002E-2</v>
      </c>
      <c r="D51" s="15">
        <v>11.7</v>
      </c>
      <c r="E51" s="32">
        <f t="shared" si="18"/>
        <v>1.7391304347826025E-2</v>
      </c>
      <c r="F51" s="18">
        <f>IF(ISNUMBER(D51), $B64 * E51, "")</f>
        <v>1739.1304347826024</v>
      </c>
      <c r="G51" s="31">
        <v>11.5</v>
      </c>
      <c r="H51" s="32">
        <f t="shared" si="19"/>
        <v>0</v>
      </c>
      <c r="I51" s="101">
        <f>IF(ISNUMBER(G51), $B64 * H51, "")</f>
        <v>0</v>
      </c>
      <c r="J51" s="15">
        <v>11.4</v>
      </c>
      <c r="K51" s="32">
        <f t="shared" si="20"/>
        <v>-8.6956521739130124E-3</v>
      </c>
      <c r="L51" s="18">
        <f>IF(ISNUMBER(J51), $B64 * K51, "")</f>
        <v>-869.56521739130119</v>
      </c>
      <c r="M51" s="31">
        <v>11.4</v>
      </c>
      <c r="N51" s="32">
        <f t="shared" si="21"/>
        <v>-8.6956521739130124E-3</v>
      </c>
      <c r="O51" s="18">
        <f>IF(ISNUMBER(M51), $B64 * N51, "")</f>
        <v>-869.56521739130119</v>
      </c>
      <c r="Q51" s="235"/>
      <c r="R51" s="235"/>
      <c r="S51" s="235"/>
    </row>
    <row r="52" spans="1:19" ht="17.25" customHeight="1" thickBot="1">
      <c r="A52" s="162" t="s">
        <v>278</v>
      </c>
      <c r="B52" s="126">
        <v>81.400000000000006</v>
      </c>
      <c r="C52" s="77">
        <v>-5.7870370400000003E-2</v>
      </c>
      <c r="D52" s="15">
        <v>83.3</v>
      </c>
      <c r="E52" s="32">
        <f t="shared" si="18"/>
        <v>2.3341523341523236E-2</v>
      </c>
      <c r="F52" s="18">
        <f>IF(ISNUMBER(D52), $B64 * E52, "")</f>
        <v>2334.1523341523234</v>
      </c>
      <c r="G52" s="31">
        <v>81.5</v>
      </c>
      <c r="H52" s="32">
        <f t="shared" si="19"/>
        <v>1.2285012285011586E-3</v>
      </c>
      <c r="I52" s="101">
        <f>IF(ISNUMBER(G52), $B64 * H52, "")</f>
        <v>122.85012285011587</v>
      </c>
      <c r="J52" s="15">
        <v>79.8</v>
      </c>
      <c r="K52" s="32">
        <f t="shared" si="20"/>
        <v>-1.965601965601976E-2</v>
      </c>
      <c r="L52" s="18">
        <f>IF(ISNUMBER(J52), $B64 * K52, "")</f>
        <v>-1965.601965601976</v>
      </c>
      <c r="M52" s="31">
        <v>79.099999999999994</v>
      </c>
      <c r="N52" s="32">
        <f t="shared" si="21"/>
        <v>-2.8255528255528392E-2</v>
      </c>
      <c r="O52" s="18">
        <f>IF(ISNUMBER(M52), $B64 * N52, "")</f>
        <v>-2825.5528255528393</v>
      </c>
      <c r="Q52" s="33"/>
      <c r="R52" s="33"/>
    </row>
    <row r="53" spans="1:19" ht="17.25" customHeight="1" thickBot="1">
      <c r="A53" s="130" t="s">
        <v>134</v>
      </c>
      <c r="B53" s="131">
        <v>93.2</v>
      </c>
      <c r="C53" s="79">
        <v>-6.0483871000000002E-2</v>
      </c>
      <c r="D53" s="24">
        <v>97.3</v>
      </c>
      <c r="E53" s="25">
        <f t="shared" si="18"/>
        <v>4.3991416309012814E-2</v>
      </c>
      <c r="F53" s="104">
        <f>IF(ISNUMBER(D53), $B64 * E53, "")</f>
        <v>4399.1416309012811</v>
      </c>
      <c r="G53" s="102">
        <v>99.9</v>
      </c>
      <c r="H53" s="25">
        <f t="shared" si="19"/>
        <v>7.1888412017167405E-2</v>
      </c>
      <c r="I53" s="103">
        <f>IF(ISNUMBER(G53), $B64 * H53, "")</f>
        <v>7188.8412017167402</v>
      </c>
      <c r="J53" s="24">
        <v>102</v>
      </c>
      <c r="K53" s="25">
        <f t="shared" si="20"/>
        <v>9.4420600858369064E-2</v>
      </c>
      <c r="L53" s="104">
        <f>IF(ISNUMBER(J53), $B64 * K53, "")</f>
        <v>9442.0600858369071</v>
      </c>
      <c r="M53" s="102">
        <v>100</v>
      </c>
      <c r="N53" s="25">
        <f t="shared" si="21"/>
        <v>7.2961373390557901E-2</v>
      </c>
      <c r="O53" s="104">
        <f>IF(ISNUMBER(M53), $B64 * N53, "")</f>
        <v>7296.1373390557901</v>
      </c>
      <c r="Q53" s="236"/>
      <c r="R53" s="237"/>
      <c r="S53" s="238"/>
    </row>
    <row r="54" spans="1:19" ht="17.25" customHeight="1">
      <c r="A54" s="161" t="s">
        <v>260</v>
      </c>
      <c r="B54" s="124">
        <v>77.900000000000006</v>
      </c>
      <c r="C54" s="76">
        <v>-6.3701923100000002E-2</v>
      </c>
      <c r="D54" s="13">
        <v>78.400000000000006</v>
      </c>
      <c r="E54" s="14">
        <f>IF(ISNUMBER(D54), (D54 - $B54) / $B54, "")</f>
        <v>6.4184852374839533E-3</v>
      </c>
      <c r="F54" s="16">
        <f>IF(ISNUMBER(D54), $B64 * E54, "")</f>
        <v>641.84852374839534</v>
      </c>
      <c r="G54" s="29">
        <v>77.5</v>
      </c>
      <c r="H54" s="14">
        <f>IF(ISNUMBER(G54), (G54 - $B54) / $B54, "")</f>
        <v>-5.1347881899872355E-3</v>
      </c>
      <c r="I54" s="100">
        <f>IF(ISNUMBER(G54), $B64 * H54, "")</f>
        <v>-513.47881899872357</v>
      </c>
      <c r="J54" s="13">
        <v>76.099999999999994</v>
      </c>
      <c r="K54" s="14">
        <f>IF(ISNUMBER(J54), (J54 - $B54) / $B54, "")</f>
        <v>-2.3106546854942379E-2</v>
      </c>
      <c r="L54" s="16">
        <f>IF(ISNUMBER(J54), $B64 * K54, "")</f>
        <v>-2310.654685494238</v>
      </c>
      <c r="M54" s="29">
        <v>75.7</v>
      </c>
      <c r="N54" s="14">
        <f>IF(ISNUMBER(M54), (M54 - $B54) / $B54, "")</f>
        <v>-2.8241335044929431E-2</v>
      </c>
      <c r="O54" s="16">
        <f>IF(ISNUMBER(M54), $B64 * N54, "")</f>
        <v>-2824.1335044929433</v>
      </c>
      <c r="Q54" s="239"/>
      <c r="R54" s="240"/>
      <c r="S54" s="241"/>
    </row>
    <row r="55" spans="1:19" ht="17.25" customHeight="1" thickBot="1">
      <c r="A55" s="162" t="s">
        <v>196</v>
      </c>
      <c r="B55" s="126">
        <v>11.6</v>
      </c>
      <c r="C55" s="77">
        <v>-6.4516129000000005E-2</v>
      </c>
      <c r="D55" s="15">
        <v>11.8</v>
      </c>
      <c r="E55" s="32">
        <f t="shared" ref="E55:E58" si="22">IF(ISNUMBER(D55), (D55 - $B55) / $B55, "")</f>
        <v>1.7241379310344921E-2</v>
      </c>
      <c r="F55" s="18">
        <f>IF(ISNUMBER(D55), $B64 * E55, "")</f>
        <v>1724.1379310344921</v>
      </c>
      <c r="G55" s="31">
        <v>11.7</v>
      </c>
      <c r="H55" s="32">
        <f t="shared" ref="H55:H58" si="23">IF(ISNUMBER(G55), (G55 - $B55) / $B55, "")</f>
        <v>8.6206896551723842E-3</v>
      </c>
      <c r="I55" s="101">
        <f>IF(ISNUMBER(G55), $B64 * H55, "")</f>
        <v>862.06896551723844</v>
      </c>
      <c r="J55" s="15">
        <v>11.6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11.5</v>
      </c>
      <c r="N55" s="32">
        <f t="shared" ref="N55:N58" si="25">IF(ISNUMBER(M55), (M55 - $B55) / $B55, "")</f>
        <v>-8.6206896551723842E-3</v>
      </c>
      <c r="O55" s="18">
        <f>IF(ISNUMBER(M55), $B64 * N55, "")</f>
        <v>-862.06896551723844</v>
      </c>
      <c r="Q55" s="242"/>
      <c r="R55" s="243"/>
      <c r="S55" s="244"/>
    </row>
    <row r="56" spans="1:19" ht="17.25" customHeight="1" thickBot="1">
      <c r="A56" s="162" t="s">
        <v>122</v>
      </c>
      <c r="B56" s="126">
        <v>67.599999999999994</v>
      </c>
      <c r="C56" s="77">
        <v>-6.7586206900000001E-2</v>
      </c>
      <c r="D56" s="15">
        <v>68.599999999999994</v>
      </c>
      <c r="E56" s="32">
        <f t="shared" si="22"/>
        <v>1.4792899408284025E-2</v>
      </c>
      <c r="F56" s="18">
        <f>IF(ISNUMBER(D56), $B64 * E56, "")</f>
        <v>1479.2899408284025</v>
      </c>
      <c r="G56" s="31">
        <v>67.3</v>
      </c>
      <c r="H56" s="32">
        <f t="shared" si="23"/>
        <v>-4.4378698224851656E-3</v>
      </c>
      <c r="I56" s="101">
        <f>IF(ISNUMBER(G56), $B64 * H56, "")</f>
        <v>-443.78698224851655</v>
      </c>
      <c r="J56" s="15">
        <v>65.5</v>
      </c>
      <c r="K56" s="32">
        <f t="shared" si="24"/>
        <v>-3.1065088757396369E-2</v>
      </c>
      <c r="L56" s="18">
        <f>IF(ISNUMBER(J56), $B64 * K56, "")</f>
        <v>-3106.508875739637</v>
      </c>
      <c r="M56" s="31">
        <v>65.900000000000006</v>
      </c>
      <c r="N56" s="32">
        <f t="shared" si="25"/>
        <v>-2.5147928994082674E-2</v>
      </c>
      <c r="O56" s="18">
        <f>IF(ISNUMBER(M56), $B64 * N56, "")</f>
        <v>-2514.7928994082672</v>
      </c>
      <c r="Q56" s="235"/>
      <c r="R56" s="235"/>
      <c r="S56" s="235"/>
    </row>
    <row r="57" spans="1:19" ht="17.25" customHeight="1" thickBot="1">
      <c r="A57" s="162" t="s">
        <v>228</v>
      </c>
      <c r="B57" s="126">
        <v>10.5</v>
      </c>
      <c r="C57" s="77">
        <v>-7.0796460199999994E-2</v>
      </c>
      <c r="D57" s="15">
        <v>10.7</v>
      </c>
      <c r="E57" s="32">
        <f t="shared" si="22"/>
        <v>1.904761904761898E-2</v>
      </c>
      <c r="F57" s="18">
        <f>IF(ISNUMBER(D57), $B64 * E57, "")</f>
        <v>1904.761904761898</v>
      </c>
      <c r="G57" s="31">
        <v>10.6</v>
      </c>
      <c r="H57" s="32">
        <f t="shared" si="23"/>
        <v>9.52380952380949E-3</v>
      </c>
      <c r="I57" s="101">
        <f>IF(ISNUMBER(G57), $B64 * H57, "")</f>
        <v>952.380952380949</v>
      </c>
      <c r="J57" s="15">
        <v>10.5</v>
      </c>
      <c r="K57" s="32">
        <f t="shared" si="24"/>
        <v>0</v>
      </c>
      <c r="L57" s="18">
        <f>IF(ISNUMBER(J57), $B64 * K57, "")</f>
        <v>0</v>
      </c>
      <c r="M57" s="31">
        <v>10.4</v>
      </c>
      <c r="N57" s="32">
        <f t="shared" si="25"/>
        <v>-9.52380952380949E-3</v>
      </c>
      <c r="O57" s="18">
        <f>IF(ISNUMBER(M57), $B64 * N57, "")</f>
        <v>-952.380952380949</v>
      </c>
      <c r="Q57" s="245"/>
      <c r="R57" s="245"/>
      <c r="S57" s="245"/>
    </row>
    <row r="58" spans="1:19" ht="17.25" customHeight="1" thickBot="1">
      <c r="A58" s="163" t="s">
        <v>236</v>
      </c>
      <c r="B58" s="128">
        <v>51.8</v>
      </c>
      <c r="C58" s="78">
        <v>-7.3345259400000001E-2</v>
      </c>
      <c r="D58" s="20">
        <v>52.7</v>
      </c>
      <c r="E58" s="21">
        <f t="shared" si="22"/>
        <v>1.7374517374517486E-2</v>
      </c>
      <c r="F58" s="22">
        <f>IF(ISNUMBER(D58), $B64 * E58, "")</f>
        <v>1737.4517374517486</v>
      </c>
      <c r="G58" s="30">
        <v>51.8</v>
      </c>
      <c r="H58" s="21">
        <f t="shared" si="23"/>
        <v>0</v>
      </c>
      <c r="I58" s="105">
        <f>IF(ISNUMBER(G58), $B64 * H58, "")</f>
        <v>0</v>
      </c>
      <c r="J58" s="20">
        <v>50.9</v>
      </c>
      <c r="K58" s="21">
        <f t="shared" si="24"/>
        <v>-1.7374517374517347E-2</v>
      </c>
      <c r="L58" s="22">
        <f>IF(ISNUMBER(J58), $B64 * K58, "")</f>
        <v>-1737.4517374517347</v>
      </c>
      <c r="M58" s="30">
        <v>51.5</v>
      </c>
      <c r="N58" s="21">
        <f t="shared" si="25"/>
        <v>-5.7915057915057366E-3</v>
      </c>
      <c r="O58" s="22">
        <f>IF(ISNUMBER(M58), $B64 * N58, "")</f>
        <v>-579.15057915057366</v>
      </c>
      <c r="Q58" s="245"/>
      <c r="R58" s="245"/>
      <c r="S58" s="245"/>
    </row>
    <row r="59" spans="1:19" ht="17.25" customHeight="1" thickBot="1">
      <c r="A59" s="162" t="s">
        <v>266</v>
      </c>
      <c r="B59" s="129">
        <v>58</v>
      </c>
      <c r="C59" s="80">
        <v>-7.3482428099999997E-2</v>
      </c>
      <c r="D59" s="106">
        <v>61.3</v>
      </c>
      <c r="E59" s="107">
        <f>IF(ISNUMBER(D59), (D59 - $B59) / $B59, "")</f>
        <v>5.6896551724137885E-2</v>
      </c>
      <c r="F59" s="108">
        <f>IF(ISNUMBER(D59), $B64 * E59, "")</f>
        <v>5689.6551724137889</v>
      </c>
      <c r="G59" s="109">
        <v>58</v>
      </c>
      <c r="H59" s="107">
        <f>IF(ISNUMBER(G59), (G59 - $B59) / $B59, "")</f>
        <v>0</v>
      </c>
      <c r="I59" s="110">
        <f>IF(ISNUMBER(G59), $B64 * H59, "")</f>
        <v>0</v>
      </c>
      <c r="J59" s="106">
        <v>57.8</v>
      </c>
      <c r="K59" s="107">
        <f>IF(ISNUMBER(J59), (J59 - $B59) / $B59, "")</f>
        <v>-3.4482758620690145E-3</v>
      </c>
      <c r="L59" s="108">
        <f>IF(ISNUMBER(J59), $B64 * K59, "")</f>
        <v>-344.82758620690146</v>
      </c>
      <c r="M59" s="109">
        <v>57.2</v>
      </c>
      <c r="N59" s="107">
        <f>IF(ISNUMBER(M59), (M59 - $B59) / $B59, "")</f>
        <v>-1.3793103448275813E-2</v>
      </c>
      <c r="O59" s="108">
        <f>IF(ISNUMBER(M59), $B64 * N59, "")</f>
        <v>-1379.3103448275813</v>
      </c>
      <c r="Q59" s="235"/>
      <c r="R59" s="235"/>
      <c r="S59" s="235"/>
    </row>
    <row r="60" spans="1:19" ht="17.25" customHeight="1" thickBot="1">
      <c r="A60" s="162" t="s">
        <v>214</v>
      </c>
      <c r="B60" s="126">
        <v>13.8</v>
      </c>
      <c r="C60" s="77">
        <v>-7.3825503400000006E-2</v>
      </c>
      <c r="D60" s="15">
        <v>14.2</v>
      </c>
      <c r="E60" s="32">
        <f t="shared" ref="E60:E63" si="26">IF(ISNUMBER(D60), (D60 - $B60) / $B60, "")</f>
        <v>2.8985507246376708E-2</v>
      </c>
      <c r="F60" s="18">
        <f>IF(ISNUMBER(D60), $B64 * E60, "")</f>
        <v>2898.550724637671</v>
      </c>
      <c r="G60" s="31">
        <v>13.9</v>
      </c>
      <c r="H60" s="32">
        <f t="shared" ref="H60:H63" si="27">IF(ISNUMBER(G60), (G60 - $B60) / $B60, "")</f>
        <v>7.246376811594177E-3</v>
      </c>
      <c r="I60" s="101">
        <f>IF(ISNUMBER(G60), $B64 * H60, "")</f>
        <v>724.63768115941775</v>
      </c>
      <c r="J60" s="15">
        <v>13.6</v>
      </c>
      <c r="K60" s="32">
        <f t="shared" ref="K60:K63" si="28">IF(ISNUMBER(J60), (J60 - $B60) / $B60, "")</f>
        <v>-1.4492753623188482E-2</v>
      </c>
      <c r="L60" s="18">
        <f>IF(ISNUMBER(J60), $B64 * K60, "")</f>
        <v>-1449.2753623188482</v>
      </c>
      <c r="M60" s="31">
        <v>13.7</v>
      </c>
      <c r="N60" s="32">
        <f t="shared" ref="N60:N63" si="29">IF(ISNUMBER(M60), (M60 - $B60) / $B60, "")</f>
        <v>-7.2463768115943053E-3</v>
      </c>
      <c r="O60" s="18">
        <f>IF(ISNUMBER(M60), $B64 * N60, "")</f>
        <v>-724.63768115943049</v>
      </c>
      <c r="Q60" s="235"/>
      <c r="R60" s="235"/>
      <c r="S60" s="235"/>
    </row>
    <row r="61" spans="1:19" ht="17.25" customHeight="1" thickBot="1">
      <c r="A61" s="162" t="s">
        <v>268</v>
      </c>
      <c r="B61" s="126">
        <v>52.3</v>
      </c>
      <c r="C61" s="77">
        <v>-7.4336283200000006E-2</v>
      </c>
      <c r="D61" s="15">
        <v>53</v>
      </c>
      <c r="E61" s="32">
        <f t="shared" si="26"/>
        <v>1.3384321223709424E-2</v>
      </c>
      <c r="F61" s="18">
        <f>IF(ISNUMBER(D61), $B64 * E61, "")</f>
        <v>1338.4321223709424</v>
      </c>
      <c r="G61" s="31">
        <v>52.9</v>
      </c>
      <c r="H61" s="32">
        <f t="shared" si="27"/>
        <v>1.1472275334608059E-2</v>
      </c>
      <c r="I61" s="101">
        <f>IF(ISNUMBER(G61), $B64 * H61, "")</f>
        <v>1147.2275334608059</v>
      </c>
      <c r="J61" s="15">
        <v>51.7</v>
      </c>
      <c r="K61" s="32">
        <f t="shared" si="28"/>
        <v>-1.1472275334607922E-2</v>
      </c>
      <c r="L61" s="18">
        <f>IF(ISNUMBER(J61), $B64 * K61, "")</f>
        <v>-1147.2275334607921</v>
      </c>
      <c r="M61" s="31">
        <v>52.1</v>
      </c>
      <c r="N61" s="32">
        <f t="shared" si="29"/>
        <v>-3.8240917782025956E-3</v>
      </c>
      <c r="O61" s="18">
        <f>IF(ISNUMBER(M61), $B64 * N61, "")</f>
        <v>-382.40917782025957</v>
      </c>
      <c r="Q61" s="235"/>
      <c r="R61" s="235"/>
      <c r="S61" s="235"/>
    </row>
    <row r="62" spans="1:19" ht="17.25" customHeight="1">
      <c r="A62" s="162" t="s">
        <v>172</v>
      </c>
      <c r="B62" s="126">
        <v>14.9</v>
      </c>
      <c r="C62" s="77">
        <v>-7.4534161500000001E-2</v>
      </c>
      <c r="D62" s="15">
        <v>15.2</v>
      </c>
      <c r="E62" s="32">
        <f t="shared" si="26"/>
        <v>2.0134228187919392E-2</v>
      </c>
      <c r="F62" s="18">
        <f>IF(ISNUMBER(D62), $B64 * E62, "")</f>
        <v>2013.4228187919393</v>
      </c>
      <c r="G62" s="31">
        <v>15</v>
      </c>
      <c r="H62" s="32">
        <f t="shared" si="27"/>
        <v>6.7114093959731299E-3</v>
      </c>
      <c r="I62" s="101">
        <f>IF(ISNUMBER(G62), $B64 * H62, "")</f>
        <v>671.14093959731304</v>
      </c>
      <c r="J62" s="15">
        <v>14.9</v>
      </c>
      <c r="K62" s="32">
        <f t="shared" si="28"/>
        <v>0</v>
      </c>
      <c r="L62" s="18">
        <f>IF(ISNUMBER(J62), $B64 * K62, "")</f>
        <v>0</v>
      </c>
      <c r="M62" s="31">
        <v>15.2</v>
      </c>
      <c r="N62" s="32">
        <f t="shared" si="29"/>
        <v>2.0134228187919392E-2</v>
      </c>
      <c r="O62" s="18">
        <f>IF(ISNUMBER(M62), $B64 * N62, "")</f>
        <v>2013.4228187919393</v>
      </c>
      <c r="Q62" s="224"/>
      <c r="R62" s="225"/>
      <c r="S62" s="226"/>
    </row>
    <row r="63" spans="1:19" ht="17.25" customHeight="1" thickBot="1">
      <c r="A63" s="130" t="s">
        <v>154</v>
      </c>
      <c r="B63" s="131">
        <v>10.9</v>
      </c>
      <c r="C63" s="79">
        <v>-7.6271186399999996E-2</v>
      </c>
      <c r="D63" s="24">
        <v>11.2</v>
      </c>
      <c r="E63" s="25">
        <f t="shared" si="26"/>
        <v>2.7522935779816415E-2</v>
      </c>
      <c r="F63" s="104">
        <f>IF(ISNUMBER(D63), $B64 * E63, "")</f>
        <v>2752.2935779816416</v>
      </c>
      <c r="G63" s="102">
        <v>10.9</v>
      </c>
      <c r="H63" s="25">
        <f t="shared" si="27"/>
        <v>0</v>
      </c>
      <c r="I63" s="103">
        <f>IF(ISNUMBER(G63), $B64 * H63, "")</f>
        <v>0</v>
      </c>
      <c r="J63" s="24">
        <v>10.8</v>
      </c>
      <c r="K63" s="25">
        <f t="shared" si="28"/>
        <v>-9.1743119266054721E-3</v>
      </c>
      <c r="L63" s="104">
        <f>IF(ISNUMBER(J63), $B64 * K63, "")</f>
        <v>-917.43119266054725</v>
      </c>
      <c r="M63" s="102">
        <v>10.9</v>
      </c>
      <c r="N63" s="25">
        <f t="shared" si="29"/>
        <v>0</v>
      </c>
      <c r="O63" s="104">
        <f>IF(ISNUMBER(M63), $B64 * N63, "")</f>
        <v>0</v>
      </c>
      <c r="Q63" s="227"/>
      <c r="R63" s="228"/>
      <c r="S63" s="229"/>
    </row>
    <row r="64" spans="1:19" ht="17.25" customHeight="1" thickBot="1">
      <c r="A64" s="132" t="s">
        <v>300</v>
      </c>
      <c r="B64" s="288">
        <f>$B$37</f>
        <v>100000</v>
      </c>
      <c r="C64" s="289"/>
      <c r="D64" s="26" t="s">
        <v>301</v>
      </c>
      <c r="E64" s="27">
        <f>IF(COUNT(E44:E63), SUM(E44:E63) / COUNT(E44:E63), 0)</f>
        <v>3.6146326897623662E-2</v>
      </c>
      <c r="F64" s="28">
        <f>SUM(F44:F63)</f>
        <v>72292.653795247315</v>
      </c>
      <c r="G64" s="26" t="s">
        <v>301</v>
      </c>
      <c r="H64" s="27">
        <f>IF(COUNT(H44:H63), SUM(H44:H63) / COUNT(H44:H63), 0)</f>
        <v>1.4576840089189988E-2</v>
      </c>
      <c r="I64" s="28">
        <f>SUM(I44:I63)</f>
        <v>29153.680178379978</v>
      </c>
      <c r="J64" s="26" t="s">
        <v>301</v>
      </c>
      <c r="K64" s="27">
        <f>IF(COUNT(K44:K63), SUM(K44:K63) / COUNT(K44:K63), 0)</f>
        <v>5.8998332436068597E-4</v>
      </c>
      <c r="L64" s="28">
        <f>SUM(L44:L63)</f>
        <v>1179.9666487213722</v>
      </c>
      <c r="M64" s="26" t="s">
        <v>301</v>
      </c>
      <c r="N64" s="27">
        <f>IF(COUNT(N44:N63), SUM(N44:N63) / COUNT(N44:N63), 0)</f>
        <v>4.4462646748117179E-3</v>
      </c>
      <c r="O64" s="28">
        <f>SUM(O44:O63)</f>
        <v>8892.529349623439</v>
      </c>
      <c r="Q64" s="230"/>
      <c r="R64" s="231"/>
      <c r="S64" s="232"/>
    </row>
    <row r="65" spans="1:19" ht="17.25" customHeight="1"/>
    <row r="66" spans="1:19" ht="17.25" customHeight="1" thickBot="1"/>
    <row r="67" spans="1:19" ht="17.25" thickBot="1">
      <c r="A67" s="246" t="s">
        <v>45</v>
      </c>
      <c r="B67" s="247"/>
      <c r="C67" s="247"/>
      <c r="D67" s="247"/>
      <c r="E67" s="247"/>
      <c r="F67" s="247"/>
      <c r="G67" s="247"/>
      <c r="H67" s="247"/>
      <c r="I67" s="247"/>
      <c r="J67" s="247"/>
      <c r="K67" s="247"/>
      <c r="L67" s="247"/>
      <c r="M67" s="247"/>
      <c r="N67" s="247"/>
      <c r="O67" s="248"/>
      <c r="Q67" s="245"/>
      <c r="R67" s="245"/>
      <c r="S67" s="245"/>
    </row>
    <row r="68" spans="1:19" ht="17.25" thickBot="1">
      <c r="A68" s="176" t="s">
        <v>297</v>
      </c>
      <c r="B68" s="246" t="s">
        <v>49</v>
      </c>
      <c r="C68" s="248"/>
      <c r="D68" s="246" t="s">
        <v>58</v>
      </c>
      <c r="E68" s="247"/>
      <c r="F68" s="248"/>
      <c r="G68" s="249">
        <f>_xlfn.IFNA(VLOOKUP(B68, 현재가테이블!$B$2:$D$200, 2, FALSE), "-")</f>
        <v>45335000</v>
      </c>
      <c r="H68" s="250"/>
      <c r="I68" s="251"/>
      <c r="J68" s="246" t="s">
        <v>59</v>
      </c>
      <c r="K68" s="247"/>
      <c r="L68" s="248"/>
      <c r="M68" s="252">
        <f>_xlfn.IFNA(VLOOKUP(B68, 현재가테이블!$B$2:$D$200, 3, FALSE), "-")</f>
        <v>-2.27209037E-2</v>
      </c>
      <c r="N68" s="253"/>
      <c r="O68" s="254"/>
      <c r="Q68" s="245"/>
      <c r="R68" s="245"/>
      <c r="S68" s="245"/>
    </row>
    <row r="69" spans="1:19" ht="17.25" thickBot="1">
      <c r="A69" s="290" t="s">
        <v>55</v>
      </c>
      <c r="B69" s="286" t="str">
        <f>TEXT($G$1, "[$-ko-KR]yyyy-mm-dd(ddd) ") &amp; "오전 00:00"</f>
        <v>2021-06-05(토) 오전 00:00</v>
      </c>
      <c r="C69" s="287"/>
      <c r="D69" s="259" t="str">
        <f>TEXT($G$1, "[$-ko-KR]yyyy-mm-dd(ddd) ") &amp; "오후 14:00"</f>
        <v>2021-06-05(토) 오후 14:00</v>
      </c>
      <c r="E69" s="260"/>
      <c r="F69" s="261"/>
      <c r="G69" s="259" t="str">
        <f>TEXT($G$1, "[$-ko-KR]yyyy-mm-dd(ddd) ") &amp; "오후 19:00"</f>
        <v>2021-06-05(토) 오후 19:00</v>
      </c>
      <c r="H69" s="260"/>
      <c r="I69" s="261"/>
      <c r="J69" s="259" t="str">
        <f>TEXT($G$1, "[$-ko-KR]yyyy-mm-dd(ddd) ") &amp; "오후 21:00"</f>
        <v>2021-06-05(토) 오후 21:00</v>
      </c>
      <c r="K69" s="260"/>
      <c r="L69" s="261"/>
      <c r="M69" s="259" t="str">
        <f>TEXT($G$1+1, "[$-ko-KR]yyyy-mm-dd(ddd) ") &amp; "오전 00:00"</f>
        <v>2021-06-06(일) 오전 00:00</v>
      </c>
      <c r="N69" s="260"/>
      <c r="O69" s="261"/>
      <c r="Q69" s="245"/>
      <c r="R69" s="245"/>
      <c r="S69" s="245"/>
    </row>
    <row r="70" spans="1:19" ht="17.25" thickBot="1">
      <c r="A70" s="291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77" t="s">
        <v>58</v>
      </c>
      <c r="H70" s="178" t="s">
        <v>298</v>
      </c>
      <c r="I70" s="179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5"/>
      <c r="R70" s="235"/>
      <c r="S70" s="235"/>
    </row>
    <row r="71" spans="1:19" ht="17.25" thickBot="1">
      <c r="A71" s="161" t="s">
        <v>112</v>
      </c>
      <c r="B71" s="124">
        <v>196</v>
      </c>
      <c r="C71" s="76">
        <v>4.81283422E-2</v>
      </c>
      <c r="D71" s="13">
        <v>198</v>
      </c>
      <c r="E71" s="14">
        <f>IF(ISNUMBER(D71), (D71 - $B71) / $B71, "")</f>
        <v>1.020408163265306E-2</v>
      </c>
      <c r="F71" s="16">
        <f>IF(ISNUMBER(D71), $B91 * E71, "")</f>
        <v>1020.408163265306</v>
      </c>
      <c r="G71" s="29">
        <v>191</v>
      </c>
      <c r="H71" s="14">
        <f>IF(ISNUMBER(G71), (G71 - $B71) / $B71, "")</f>
        <v>-2.5510204081632654E-2</v>
      </c>
      <c r="I71" s="100">
        <f>IF(ISNUMBER(G71), $B91 * H71, "")</f>
        <v>-2551.0204081632655</v>
      </c>
      <c r="J71" s="13">
        <v>195</v>
      </c>
      <c r="K71" s="14">
        <f>IF(ISNUMBER(J71), (J71 - $B71) / $B71, "")</f>
        <v>-5.1020408163265302E-3</v>
      </c>
      <c r="L71" s="16">
        <f>IF(ISNUMBER(J71), $B91 * K71, "")</f>
        <v>-510.20408163265301</v>
      </c>
      <c r="M71" s="29">
        <v>202</v>
      </c>
      <c r="N71" s="14">
        <f>IF(ISNUMBER(M71), (M71 - $B71) / $B71, "")</f>
        <v>3.0612244897959183E-2</v>
      </c>
      <c r="O71" s="16">
        <f>IF(ISNUMBER(M71), $B91 * N71, "")</f>
        <v>3061.2244897959181</v>
      </c>
      <c r="Q71" s="245"/>
      <c r="R71" s="245"/>
      <c r="S71" s="245"/>
    </row>
    <row r="72" spans="1:19" ht="17.25" thickBot="1">
      <c r="A72" s="162" t="s">
        <v>142</v>
      </c>
      <c r="B72" s="126">
        <v>488</v>
      </c>
      <c r="C72" s="77">
        <v>8.2644628000000005E-3</v>
      </c>
      <c r="D72" s="15">
        <v>523</v>
      </c>
      <c r="E72" s="32">
        <f t="shared" ref="E72:E75" si="30">IF(ISNUMBER(D72), (D72 - $B72) / $B72, "")</f>
        <v>7.1721311475409832E-2</v>
      </c>
      <c r="F72" s="18">
        <f>IF(ISNUMBER(D72), $B91 * E72, "")</f>
        <v>7172.131147540983</v>
      </c>
      <c r="G72" s="31">
        <v>521</v>
      </c>
      <c r="H72" s="32">
        <f t="shared" ref="H72:H75" si="31">IF(ISNUMBER(G72), (G72 - $B72) / $B72, "")</f>
        <v>6.7622950819672137E-2</v>
      </c>
      <c r="I72" s="101">
        <f>IF(ISNUMBER(G72), $B91 * H72, "")</f>
        <v>6762.2950819672133</v>
      </c>
      <c r="J72" s="15">
        <v>514</v>
      </c>
      <c r="K72" s="32">
        <f t="shared" ref="K72:K75" si="32">IF(ISNUMBER(J72), (J72 - $B72) / $B72, "")</f>
        <v>5.3278688524590161E-2</v>
      </c>
      <c r="L72" s="18">
        <f>IF(ISNUMBER(J72), $B91 * K72, "")</f>
        <v>5327.8688524590161</v>
      </c>
      <c r="M72" s="31">
        <v>525</v>
      </c>
      <c r="N72" s="32">
        <f t="shared" ref="N72:N75" si="33">IF(ISNUMBER(M72), (M72 - $B72) / $B72, "")</f>
        <v>7.5819672131147542E-2</v>
      </c>
      <c r="O72" s="18">
        <f>IF(ISNUMBER(M72), $B91 * N72, "")</f>
        <v>7581.9672131147545</v>
      </c>
      <c r="Q72" s="245"/>
      <c r="R72" s="245"/>
      <c r="S72" s="245"/>
    </row>
    <row r="73" spans="1:19" ht="17.25" thickBot="1">
      <c r="A73" s="162" t="s">
        <v>200</v>
      </c>
      <c r="B73" s="126">
        <v>225</v>
      </c>
      <c r="C73" s="77">
        <v>0</v>
      </c>
      <c r="D73" s="15">
        <v>218</v>
      </c>
      <c r="E73" s="32">
        <f t="shared" si="30"/>
        <v>-3.111111111111111E-2</v>
      </c>
      <c r="F73" s="18">
        <f>IF(ISNUMBER(D73), $B91 * E73, "")</f>
        <v>-3111.1111111111109</v>
      </c>
      <c r="G73" s="31">
        <v>212</v>
      </c>
      <c r="H73" s="32">
        <f t="shared" si="31"/>
        <v>-5.7777777777777775E-2</v>
      </c>
      <c r="I73" s="101">
        <f>IF(ISNUMBER(G73), $B91 * H73, "")</f>
        <v>-5777.7777777777774</v>
      </c>
      <c r="J73" s="15">
        <v>207</v>
      </c>
      <c r="K73" s="32">
        <f t="shared" si="32"/>
        <v>-0.08</v>
      </c>
      <c r="L73" s="18">
        <f>IF(ISNUMBER(J73), $B91 * K73, "")</f>
        <v>-8000</v>
      </c>
      <c r="M73" s="31">
        <v>210</v>
      </c>
      <c r="N73" s="32">
        <f t="shared" si="33"/>
        <v>-6.6666666666666666E-2</v>
      </c>
      <c r="O73" s="18">
        <f>IF(ISNUMBER(M73), $B91 * N73, "")</f>
        <v>-6666.666666666667</v>
      </c>
      <c r="Q73" s="235"/>
      <c r="R73" s="235"/>
      <c r="S73" s="235"/>
    </row>
    <row r="74" spans="1:19" ht="17.25" thickBot="1">
      <c r="A74" s="162" t="s">
        <v>252</v>
      </c>
      <c r="B74" s="126">
        <v>311</v>
      </c>
      <c r="C74" s="77">
        <v>-2.2012578599999999E-2</v>
      </c>
      <c r="D74" s="15">
        <v>317</v>
      </c>
      <c r="E74" s="32">
        <f t="shared" si="30"/>
        <v>1.9292604501607719E-2</v>
      </c>
      <c r="F74" s="18">
        <f>IF(ISNUMBER(D74), $B91 * E74, "")</f>
        <v>1929.2604501607718</v>
      </c>
      <c r="G74" s="31">
        <v>315</v>
      </c>
      <c r="H74" s="32">
        <f t="shared" si="31"/>
        <v>1.2861736334405145E-2</v>
      </c>
      <c r="I74" s="101">
        <f>IF(ISNUMBER(G74), $B91 * H74, "")</f>
        <v>1286.1736334405145</v>
      </c>
      <c r="J74" s="15">
        <v>311</v>
      </c>
      <c r="K74" s="32">
        <f t="shared" si="32"/>
        <v>0</v>
      </c>
      <c r="L74" s="18">
        <f>IF(ISNUMBER(J74), $B91 * K74, "")</f>
        <v>0</v>
      </c>
      <c r="M74" s="31">
        <v>311</v>
      </c>
      <c r="N74" s="32">
        <f t="shared" si="33"/>
        <v>0</v>
      </c>
      <c r="O74" s="18">
        <f>IF(ISNUMBER(M74), $B91 * N74, "")</f>
        <v>0</v>
      </c>
      <c r="Q74" s="235"/>
      <c r="R74" s="235"/>
      <c r="S74" s="235"/>
    </row>
    <row r="75" spans="1:19" ht="17.25" thickBot="1">
      <c r="A75" s="163" t="s">
        <v>226</v>
      </c>
      <c r="B75" s="128">
        <v>301</v>
      </c>
      <c r="C75" s="78">
        <v>-4.14012739E-2</v>
      </c>
      <c r="D75" s="20">
        <v>301</v>
      </c>
      <c r="E75" s="21">
        <f t="shared" si="30"/>
        <v>0</v>
      </c>
      <c r="F75" s="22">
        <f>IF(ISNUMBER(D75), $B91 * E75, "")</f>
        <v>0</v>
      </c>
      <c r="G75" s="30">
        <v>297</v>
      </c>
      <c r="H75" s="21">
        <f t="shared" si="31"/>
        <v>-1.3289036544850499E-2</v>
      </c>
      <c r="I75" s="105">
        <f>IF(ISNUMBER(G75), $B91 * H75, "")</f>
        <v>-1328.9036544850499</v>
      </c>
      <c r="J75" s="20">
        <v>292</v>
      </c>
      <c r="K75" s="21">
        <f t="shared" si="32"/>
        <v>-2.9900332225913623E-2</v>
      </c>
      <c r="L75" s="22">
        <f>IF(ISNUMBER(J75), $B91 * K75, "")</f>
        <v>-2990.0332225913621</v>
      </c>
      <c r="M75" s="30">
        <v>294</v>
      </c>
      <c r="N75" s="21">
        <f t="shared" si="33"/>
        <v>-2.3255813953488372E-2</v>
      </c>
      <c r="O75" s="22">
        <f>IF(ISNUMBER(M75), $B91 * N75, "")</f>
        <v>-2325.5813953488373</v>
      </c>
      <c r="Q75" s="235"/>
      <c r="R75" s="235"/>
      <c r="S75" s="235"/>
    </row>
    <row r="76" spans="1:19" ht="17.25" thickBot="1">
      <c r="A76" s="162" t="s">
        <v>246</v>
      </c>
      <c r="B76" s="129">
        <v>307</v>
      </c>
      <c r="C76" s="80">
        <v>-4.95356037E-2</v>
      </c>
      <c r="D76" s="106">
        <v>310</v>
      </c>
      <c r="E76" s="107">
        <f>IF(ISNUMBER(D76), (D76 - $B76) / $B76, "")</f>
        <v>9.7719869706840382E-3</v>
      </c>
      <c r="F76" s="108">
        <f>IF(ISNUMBER(D76), $B91 * E76, "")</f>
        <v>977.19869706840382</v>
      </c>
      <c r="G76" s="109">
        <v>312</v>
      </c>
      <c r="H76" s="107">
        <f>IF(ISNUMBER(G76), (G76 - $B76) / $B76, "")</f>
        <v>1.6286644951140065E-2</v>
      </c>
      <c r="I76" s="110">
        <f>IF(ISNUMBER(G76), $B91 * H76, "")</f>
        <v>1628.6644951140065</v>
      </c>
      <c r="J76" s="106">
        <v>306</v>
      </c>
      <c r="K76" s="107">
        <f>IF(ISNUMBER(J76), (J76 - $B76) / $B76, "")</f>
        <v>-3.2573289902280132E-3</v>
      </c>
      <c r="L76" s="108">
        <f>IF(ISNUMBER(J76), $B91 * K76, "")</f>
        <v>-325.73289902280129</v>
      </c>
      <c r="M76" s="109">
        <v>311</v>
      </c>
      <c r="N76" s="107">
        <f>IF(ISNUMBER(M76), (M76 - $B76) / $B76, "")</f>
        <v>1.3029315960912053E-2</v>
      </c>
      <c r="O76" s="108">
        <f>IF(ISNUMBER(M76), $B91 * N76, "")</f>
        <v>1302.9315960912052</v>
      </c>
      <c r="Q76" s="235"/>
      <c r="R76" s="235"/>
      <c r="S76" s="235"/>
    </row>
    <row r="77" spans="1:19" ht="17.25" thickBot="1">
      <c r="A77" s="162" t="s">
        <v>132</v>
      </c>
      <c r="B77" s="126">
        <v>157</v>
      </c>
      <c r="C77" s="77">
        <v>-5.4216867500000002E-2</v>
      </c>
      <c r="D77" s="15">
        <v>159</v>
      </c>
      <c r="E77" s="32">
        <f t="shared" ref="E77:E80" si="34">IF(ISNUMBER(D77), (D77 - $B77) / $B77, "")</f>
        <v>1.2738853503184714E-2</v>
      </c>
      <c r="F77" s="18">
        <f>IF(ISNUMBER(D77), $B91 * E77, "")</f>
        <v>1273.8853503184714</v>
      </c>
      <c r="G77" s="31">
        <v>157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152</v>
      </c>
      <c r="K77" s="32">
        <f t="shared" ref="K77:K80" si="36">IF(ISNUMBER(J77), (J77 - $B77) / $B77, "")</f>
        <v>-3.1847133757961783E-2</v>
      </c>
      <c r="L77" s="18">
        <f>IF(ISNUMBER(J77), $B91 * K77, "")</f>
        <v>-3184.7133757961783</v>
      </c>
      <c r="M77" s="31">
        <v>155</v>
      </c>
      <c r="N77" s="32">
        <f t="shared" ref="N77:N80" si="37">IF(ISNUMBER(M77), (M77 - $B77) / $B77, "")</f>
        <v>-1.2738853503184714E-2</v>
      </c>
      <c r="O77" s="18">
        <f>IF(ISNUMBER(M77), $B91 * N77, "")</f>
        <v>-1273.8853503184714</v>
      </c>
      <c r="Q77" s="235"/>
      <c r="R77" s="235"/>
      <c r="S77" s="235"/>
    </row>
    <row r="78" spans="1:19" ht="17.25" thickBot="1">
      <c r="A78" s="162" t="s">
        <v>174</v>
      </c>
      <c r="B78" s="126">
        <v>188</v>
      </c>
      <c r="C78" s="77">
        <v>-5.5276381899999998E-2</v>
      </c>
      <c r="D78" s="15">
        <v>189</v>
      </c>
      <c r="E78" s="32">
        <f t="shared" si="34"/>
        <v>5.3191489361702126E-3</v>
      </c>
      <c r="F78" s="18">
        <f>IF(ISNUMBER(D78), $B91 * E78, "")</f>
        <v>531.91489361702122</v>
      </c>
      <c r="G78" s="31">
        <v>186</v>
      </c>
      <c r="H78" s="32">
        <f t="shared" si="35"/>
        <v>-1.0638297872340425E-2</v>
      </c>
      <c r="I78" s="101">
        <f>IF(ISNUMBER(G78), $B91 * H78, "")</f>
        <v>-1063.8297872340424</v>
      </c>
      <c r="J78" s="15">
        <v>183</v>
      </c>
      <c r="K78" s="32">
        <f t="shared" si="36"/>
        <v>-2.6595744680851064E-2</v>
      </c>
      <c r="L78" s="18">
        <f>IF(ISNUMBER(J78), $B91 * K78, "")</f>
        <v>-2659.5744680851062</v>
      </c>
      <c r="M78" s="31">
        <v>184</v>
      </c>
      <c r="N78" s="32">
        <f t="shared" si="37"/>
        <v>-2.1276595744680851E-2</v>
      </c>
      <c r="O78" s="18">
        <f>IF(ISNUMBER(M78), $B91 * N78, "")</f>
        <v>-2127.6595744680849</v>
      </c>
      <c r="Q78" s="235"/>
      <c r="R78" s="235"/>
      <c r="S78" s="235"/>
    </row>
    <row r="79" spans="1:19" ht="17.25" thickBot="1">
      <c r="A79" s="162" t="s">
        <v>120</v>
      </c>
      <c r="B79" s="126">
        <v>142</v>
      </c>
      <c r="C79" s="77">
        <v>-5.9602649000000001E-2</v>
      </c>
      <c r="D79" s="15">
        <v>143</v>
      </c>
      <c r="E79" s="32">
        <f t="shared" si="34"/>
        <v>7.0422535211267607E-3</v>
      </c>
      <c r="F79" s="18">
        <f>IF(ISNUMBER(D79), $B91 * E79, "")</f>
        <v>704.22535211267609</v>
      </c>
      <c r="G79" s="31">
        <v>143</v>
      </c>
      <c r="H79" s="32">
        <f t="shared" si="35"/>
        <v>7.0422535211267607E-3</v>
      </c>
      <c r="I79" s="101">
        <f>IF(ISNUMBER(G79), $B91 * H79, "")</f>
        <v>704.22535211267609</v>
      </c>
      <c r="J79" s="15">
        <v>141</v>
      </c>
      <c r="K79" s="32">
        <f t="shared" si="36"/>
        <v>-7.0422535211267607E-3</v>
      </c>
      <c r="L79" s="18">
        <f>IF(ISNUMBER(J79), $B91 * K79, "")</f>
        <v>-704.22535211267609</v>
      </c>
      <c r="M79" s="31">
        <v>141</v>
      </c>
      <c r="N79" s="32">
        <f t="shared" si="37"/>
        <v>-7.0422535211267607E-3</v>
      </c>
      <c r="O79" s="18">
        <f>IF(ISNUMBER(M79), $B91 * N79, "")</f>
        <v>-704.22535211267609</v>
      </c>
      <c r="Q79" s="33"/>
      <c r="R79" s="33"/>
    </row>
    <row r="80" spans="1:19" ht="17.25" thickBot="1">
      <c r="A80" s="130" t="s">
        <v>282</v>
      </c>
      <c r="B80" s="131">
        <v>109</v>
      </c>
      <c r="C80" s="79">
        <v>-6.0344827599999998E-2</v>
      </c>
      <c r="D80" s="24">
        <v>109</v>
      </c>
      <c r="E80" s="25">
        <f t="shared" si="34"/>
        <v>0</v>
      </c>
      <c r="F80" s="104">
        <f>IF(ISNUMBER(D80), $B91 * E80, "")</f>
        <v>0</v>
      </c>
      <c r="G80" s="102">
        <v>108</v>
      </c>
      <c r="H80" s="25">
        <f t="shared" si="35"/>
        <v>-9.1743119266055051E-3</v>
      </c>
      <c r="I80" s="103">
        <f>IF(ISNUMBER(G80), $B91 * H80, "")</f>
        <v>-917.43119266055055</v>
      </c>
      <c r="J80" s="24">
        <v>107</v>
      </c>
      <c r="K80" s="25">
        <f t="shared" si="36"/>
        <v>-1.834862385321101E-2</v>
      </c>
      <c r="L80" s="104">
        <f>IF(ISNUMBER(J80), $B91 * K80, "")</f>
        <v>-1834.8623853211011</v>
      </c>
      <c r="M80" s="102">
        <v>108</v>
      </c>
      <c r="N80" s="25">
        <f t="shared" si="37"/>
        <v>-9.1743119266055051E-3</v>
      </c>
      <c r="O80" s="104">
        <f>IF(ISNUMBER(M80), $B91 * N80, "")</f>
        <v>-917.43119266055055</v>
      </c>
      <c r="Q80" s="236"/>
      <c r="R80" s="237"/>
      <c r="S80" s="238"/>
    </row>
    <row r="81" spans="1:19">
      <c r="A81" s="161" t="s">
        <v>256</v>
      </c>
      <c r="B81" s="124">
        <v>178</v>
      </c>
      <c r="C81" s="76">
        <v>-6.3157894699999995E-2</v>
      </c>
      <c r="D81" s="13">
        <v>179</v>
      </c>
      <c r="E81" s="14">
        <f>IF(ISNUMBER(D81), (D81 - $B81) / $B81, "")</f>
        <v>5.6179775280898875E-3</v>
      </c>
      <c r="F81" s="16">
        <f>IF(ISNUMBER(D81), $B91 * E81, "")</f>
        <v>561.79775280898878</v>
      </c>
      <c r="G81" s="29">
        <v>177</v>
      </c>
      <c r="H81" s="14">
        <f>IF(ISNUMBER(G81), (G81 - $B81) / $B81, "")</f>
        <v>-5.6179775280898875E-3</v>
      </c>
      <c r="I81" s="100">
        <f>IF(ISNUMBER(G81), $B91 * H81, "")</f>
        <v>-561.79775280898878</v>
      </c>
      <c r="J81" s="13">
        <v>174</v>
      </c>
      <c r="K81" s="14">
        <f>IF(ISNUMBER(J81), (J81 - $B81) / $B81, "")</f>
        <v>-2.247191011235955E-2</v>
      </c>
      <c r="L81" s="16">
        <f>IF(ISNUMBER(J81), $B91 * K81, "")</f>
        <v>-2247.1910112359551</v>
      </c>
      <c r="M81" s="29">
        <v>174</v>
      </c>
      <c r="N81" s="14">
        <f>IF(ISNUMBER(M81), (M81 - $B81) / $B81, "")</f>
        <v>-2.247191011235955E-2</v>
      </c>
      <c r="O81" s="16">
        <f>IF(ISNUMBER(M81), $B91 * N81, "")</f>
        <v>-2247.1910112359551</v>
      </c>
      <c r="Q81" s="239"/>
      <c r="R81" s="240"/>
      <c r="S81" s="241"/>
    </row>
    <row r="82" spans="1:19" ht="17.25" thickBot="1">
      <c r="A82" s="162" t="s">
        <v>80</v>
      </c>
      <c r="B82" s="126">
        <v>898</v>
      </c>
      <c r="C82" s="77">
        <v>-6.55567118E-2</v>
      </c>
      <c r="D82" s="15">
        <v>936</v>
      </c>
      <c r="E82" s="32">
        <f t="shared" ref="E82:E85" si="38">IF(ISNUMBER(D82), (D82 - $B82) / $B82, "")</f>
        <v>4.2316258351893093E-2</v>
      </c>
      <c r="F82" s="18">
        <f>IF(ISNUMBER(D82), $B91 * E82, "")</f>
        <v>4231.6258351893093</v>
      </c>
      <c r="G82" s="31">
        <v>903</v>
      </c>
      <c r="H82" s="32">
        <f t="shared" ref="H82:H85" si="39">IF(ISNUMBER(G82), (G82 - $B82) / $B82, "")</f>
        <v>5.5679287305122494E-3</v>
      </c>
      <c r="I82" s="101">
        <f>IF(ISNUMBER(G82), $B91 * H82, "")</f>
        <v>556.79287305122489</v>
      </c>
      <c r="J82" s="15">
        <v>893</v>
      </c>
      <c r="K82" s="32">
        <f t="shared" ref="K82:K85" si="40">IF(ISNUMBER(J82), (J82 - $B82) / $B82, "")</f>
        <v>-5.5679287305122494E-3</v>
      </c>
      <c r="L82" s="18">
        <f>IF(ISNUMBER(J82), $B91 * K82, "")</f>
        <v>-556.79287305122489</v>
      </c>
      <c r="M82" s="31">
        <v>887</v>
      </c>
      <c r="N82" s="32">
        <f t="shared" ref="N82:N85" si="41">IF(ISNUMBER(M82), (M82 - $B82) / $B82, "")</f>
        <v>-1.2249443207126948E-2</v>
      </c>
      <c r="O82" s="18">
        <f>IF(ISNUMBER(M82), $B91 * N82, "")</f>
        <v>-1224.9443207126949</v>
      </c>
      <c r="Q82" s="242"/>
      <c r="R82" s="243"/>
      <c r="S82" s="244"/>
    </row>
    <row r="83" spans="1:19" ht="17.25" thickBot="1">
      <c r="A83" s="162" t="s">
        <v>258</v>
      </c>
      <c r="B83" s="126">
        <v>490</v>
      </c>
      <c r="C83" s="77">
        <v>-6.6666666700000002E-2</v>
      </c>
      <c r="D83" s="15">
        <v>498</v>
      </c>
      <c r="E83" s="32">
        <f t="shared" si="38"/>
        <v>1.6326530612244899E-2</v>
      </c>
      <c r="F83" s="18">
        <f>IF(ISNUMBER(D83), $B91 * E83, "")</f>
        <v>1632.6530612244899</v>
      </c>
      <c r="G83" s="31">
        <v>487</v>
      </c>
      <c r="H83" s="32">
        <f t="shared" si="39"/>
        <v>-6.1224489795918364E-3</v>
      </c>
      <c r="I83" s="101">
        <f>IF(ISNUMBER(G83), $B91 * H83, "")</f>
        <v>-612.24489795918362</v>
      </c>
      <c r="J83" s="15">
        <v>479</v>
      </c>
      <c r="K83" s="32">
        <f t="shared" si="40"/>
        <v>-2.2448979591836733E-2</v>
      </c>
      <c r="L83" s="18">
        <f>IF(ISNUMBER(J83), $B91 * K83, "")</f>
        <v>-2244.8979591836733</v>
      </c>
      <c r="M83" s="31">
        <v>485</v>
      </c>
      <c r="N83" s="32">
        <f t="shared" si="41"/>
        <v>-1.020408163265306E-2</v>
      </c>
      <c r="O83" s="18">
        <f>IF(ISNUMBER(M83), $B91 * N83, "")</f>
        <v>-1020.408163265306</v>
      </c>
      <c r="Q83" s="235"/>
      <c r="R83" s="235"/>
      <c r="S83" s="235"/>
    </row>
    <row r="84" spans="1:19" ht="17.25" thickBot="1">
      <c r="A84" s="162" t="s">
        <v>230</v>
      </c>
      <c r="B84" s="126">
        <v>112</v>
      </c>
      <c r="C84" s="77">
        <v>-6.6666666700000002E-2</v>
      </c>
      <c r="D84" s="15">
        <v>113</v>
      </c>
      <c r="E84" s="32">
        <f t="shared" si="38"/>
        <v>8.9285714285714281E-3</v>
      </c>
      <c r="F84" s="18">
        <f>IF(ISNUMBER(D84), $B91 * E84, "")</f>
        <v>892.85714285714278</v>
      </c>
      <c r="G84" s="31">
        <v>112</v>
      </c>
      <c r="H84" s="32">
        <f t="shared" si="39"/>
        <v>0</v>
      </c>
      <c r="I84" s="101">
        <f>IF(ISNUMBER(G84), $B91 * H84, "")</f>
        <v>0</v>
      </c>
      <c r="J84" s="15">
        <v>110</v>
      </c>
      <c r="K84" s="32">
        <f t="shared" si="40"/>
        <v>-1.7857142857142856E-2</v>
      </c>
      <c r="L84" s="18">
        <f>IF(ISNUMBER(J84), $B91 * K84, "")</f>
        <v>-1785.7142857142856</v>
      </c>
      <c r="M84" s="31">
        <v>111</v>
      </c>
      <c r="N84" s="32">
        <f t="shared" si="41"/>
        <v>-8.9285714285714281E-3</v>
      </c>
      <c r="O84" s="18">
        <f>IF(ISNUMBER(M84), $B91 * N84, "")</f>
        <v>-892.85714285714278</v>
      </c>
      <c r="Q84" s="245"/>
      <c r="R84" s="245"/>
      <c r="S84" s="245"/>
    </row>
    <row r="85" spans="1:19" ht="17.25" thickBot="1">
      <c r="A85" s="163" t="s">
        <v>202</v>
      </c>
      <c r="B85" s="128">
        <v>123</v>
      </c>
      <c r="C85" s="78">
        <v>-6.8181818199999994E-2</v>
      </c>
      <c r="D85" s="20">
        <v>125</v>
      </c>
      <c r="E85" s="21">
        <f t="shared" si="38"/>
        <v>1.6260162601626018E-2</v>
      </c>
      <c r="F85" s="22">
        <f>IF(ISNUMBER(D85), $B91 * E85, "")</f>
        <v>1626.0162601626018</v>
      </c>
      <c r="G85" s="30">
        <v>125</v>
      </c>
      <c r="H85" s="21">
        <f t="shared" si="39"/>
        <v>1.6260162601626018E-2</v>
      </c>
      <c r="I85" s="105">
        <f>IF(ISNUMBER(G85), $B91 * H85, "")</f>
        <v>1626.0162601626018</v>
      </c>
      <c r="J85" s="20">
        <v>121</v>
      </c>
      <c r="K85" s="21">
        <f t="shared" si="40"/>
        <v>-1.6260162601626018E-2</v>
      </c>
      <c r="L85" s="22">
        <f>IF(ISNUMBER(J85), $B91 * K85, "")</f>
        <v>-1626.0162601626018</v>
      </c>
      <c r="M85" s="30">
        <v>123</v>
      </c>
      <c r="N85" s="21">
        <f t="shared" si="41"/>
        <v>0</v>
      </c>
      <c r="O85" s="22">
        <f>IF(ISNUMBER(M85), $B91 * N85, "")</f>
        <v>0</v>
      </c>
      <c r="Q85" s="245"/>
      <c r="R85" s="245"/>
      <c r="S85" s="245"/>
    </row>
    <row r="86" spans="1:19" ht="17.25" thickBot="1">
      <c r="A86" s="162" t="s">
        <v>170</v>
      </c>
      <c r="B86" s="129">
        <v>296</v>
      </c>
      <c r="C86" s="80">
        <v>-6.9182389900000002E-2</v>
      </c>
      <c r="D86" s="106">
        <v>298</v>
      </c>
      <c r="E86" s="107">
        <f>IF(ISNUMBER(D86), (D86 - $B86) / $B86, "")</f>
        <v>6.7567567567567571E-3</v>
      </c>
      <c r="F86" s="108">
        <f>IF(ISNUMBER(D86), $B91 * E86, "")</f>
        <v>675.67567567567573</v>
      </c>
      <c r="G86" s="109">
        <v>295</v>
      </c>
      <c r="H86" s="107">
        <f>IF(ISNUMBER(G86), (G86 - $B86) / $B86, "")</f>
        <v>-3.3783783783783786E-3</v>
      </c>
      <c r="I86" s="110">
        <f>IF(ISNUMBER(G86), $B91 * H86, "")</f>
        <v>-337.83783783783787</v>
      </c>
      <c r="J86" s="106">
        <v>292</v>
      </c>
      <c r="K86" s="107">
        <f>IF(ISNUMBER(J86), (J86 - $B86) / $B86, "")</f>
        <v>-1.3513513513513514E-2</v>
      </c>
      <c r="L86" s="108">
        <f>IF(ISNUMBER(J86), $B91 * K86, "")</f>
        <v>-1351.3513513513515</v>
      </c>
      <c r="M86" s="109">
        <v>294</v>
      </c>
      <c r="N86" s="107">
        <f>IF(ISNUMBER(M86), (M86 - $B86) / $B86, "")</f>
        <v>-6.7567567567567571E-3</v>
      </c>
      <c r="O86" s="108">
        <f>IF(ISNUMBER(M86), $B91 * N86, "")</f>
        <v>-675.67567567567573</v>
      </c>
      <c r="Q86" s="235"/>
      <c r="R86" s="235"/>
      <c r="S86" s="235"/>
    </row>
    <row r="87" spans="1:19" ht="17.25" thickBot="1">
      <c r="A87" s="162" t="s">
        <v>148</v>
      </c>
      <c r="B87" s="126">
        <v>120</v>
      </c>
      <c r="C87" s="77">
        <v>-6.9767441900000005E-2</v>
      </c>
      <c r="D87" s="15">
        <v>121</v>
      </c>
      <c r="E87" s="32">
        <f t="shared" ref="E87:E90" si="42">IF(ISNUMBER(D87), (D87 - $B87) / $B87, "")</f>
        <v>8.3333333333333332E-3</v>
      </c>
      <c r="F87" s="18">
        <f>IF(ISNUMBER(D87), $B91 * E87, "")</f>
        <v>833.33333333333337</v>
      </c>
      <c r="G87" s="31">
        <v>119</v>
      </c>
      <c r="H87" s="32">
        <f t="shared" ref="H87:H90" si="43">IF(ISNUMBER(G87), (G87 - $B87) / $B87, "")</f>
        <v>-8.3333333333333332E-3</v>
      </c>
      <c r="I87" s="101">
        <f>IF(ISNUMBER(G87), $B91 * H87, "")</f>
        <v>-833.33333333333337</v>
      </c>
      <c r="J87" s="15">
        <v>117</v>
      </c>
      <c r="K87" s="32">
        <f t="shared" ref="K87:K90" si="44">IF(ISNUMBER(J87), (J87 - $B87) / $B87, "")</f>
        <v>-2.5000000000000001E-2</v>
      </c>
      <c r="L87" s="18">
        <f>IF(ISNUMBER(J87), $B91 * K87, "")</f>
        <v>-2500</v>
      </c>
      <c r="M87" s="31">
        <v>117</v>
      </c>
      <c r="N87" s="32">
        <f t="shared" ref="N87:N90" si="45">IF(ISNUMBER(M87), (M87 - $B87) / $B87, "")</f>
        <v>-2.5000000000000001E-2</v>
      </c>
      <c r="O87" s="18">
        <f>IF(ISNUMBER(M87), $B91 * N87, "")</f>
        <v>-2500</v>
      </c>
      <c r="Q87" s="235"/>
      <c r="R87" s="235"/>
      <c r="S87" s="235"/>
    </row>
    <row r="88" spans="1:19" ht="17.25" thickBot="1">
      <c r="A88" s="162" t="s">
        <v>270</v>
      </c>
      <c r="B88" s="126">
        <v>366</v>
      </c>
      <c r="C88" s="77">
        <v>-7.1065989800000007E-2</v>
      </c>
      <c r="D88" s="15">
        <v>369</v>
      </c>
      <c r="E88" s="32">
        <f t="shared" si="42"/>
        <v>8.1967213114754103E-3</v>
      </c>
      <c r="F88" s="18">
        <f>IF(ISNUMBER(D88), $B91 * E88, "")</f>
        <v>819.67213114754099</v>
      </c>
      <c r="G88" s="31">
        <v>361</v>
      </c>
      <c r="H88" s="32">
        <f t="shared" si="43"/>
        <v>-1.3661202185792349E-2</v>
      </c>
      <c r="I88" s="101">
        <f>IF(ISNUMBER(G88), $B91 * H88, "")</f>
        <v>-1366.1202185792349</v>
      </c>
      <c r="J88" s="15">
        <v>353</v>
      </c>
      <c r="K88" s="32">
        <f t="shared" si="44"/>
        <v>-3.5519125683060107E-2</v>
      </c>
      <c r="L88" s="18">
        <f>IF(ISNUMBER(J88), $B91 * K88, "")</f>
        <v>-3551.9125683060106</v>
      </c>
      <c r="M88" s="31">
        <v>356</v>
      </c>
      <c r="N88" s="32">
        <f t="shared" si="45"/>
        <v>-2.7322404371584699E-2</v>
      </c>
      <c r="O88" s="18">
        <f>IF(ISNUMBER(M88), $B91 * N88, "")</f>
        <v>-2732.2404371584698</v>
      </c>
      <c r="Q88" s="235"/>
      <c r="R88" s="235"/>
      <c r="S88" s="235"/>
    </row>
    <row r="89" spans="1:19">
      <c r="A89" s="162" t="s">
        <v>240</v>
      </c>
      <c r="B89" s="126">
        <v>128</v>
      </c>
      <c r="C89" s="77">
        <v>-7.2463768100000006E-2</v>
      </c>
      <c r="D89" s="15">
        <v>129</v>
      </c>
      <c r="E89" s="32">
        <f t="shared" si="42"/>
        <v>7.8125E-3</v>
      </c>
      <c r="F89" s="18">
        <f>IF(ISNUMBER(D89), $B91 * E89, "")</f>
        <v>781.25</v>
      </c>
      <c r="G89" s="31">
        <v>127</v>
      </c>
      <c r="H89" s="32">
        <f t="shared" si="43"/>
        <v>-7.8125E-3</v>
      </c>
      <c r="I89" s="101">
        <f>IF(ISNUMBER(G89), $B91 * H89, "")</f>
        <v>-781.25</v>
      </c>
      <c r="J89" s="15">
        <v>125</v>
      </c>
      <c r="K89" s="32">
        <f t="shared" si="44"/>
        <v>-2.34375E-2</v>
      </c>
      <c r="L89" s="18">
        <f>IF(ISNUMBER(J89), $B91 * K89, "")</f>
        <v>-2343.75</v>
      </c>
      <c r="M89" s="31">
        <v>127</v>
      </c>
      <c r="N89" s="32">
        <f t="shared" si="45"/>
        <v>-7.8125E-3</v>
      </c>
      <c r="O89" s="18">
        <f>IF(ISNUMBER(M89), $B91 * N89, "")</f>
        <v>-781.25</v>
      </c>
      <c r="Q89" s="224"/>
      <c r="R89" s="225"/>
      <c r="S89" s="226"/>
    </row>
    <row r="90" spans="1:19" ht="17.25" thickBot="1">
      <c r="A90" s="130" t="s">
        <v>296</v>
      </c>
      <c r="B90" s="131">
        <v>431</v>
      </c>
      <c r="C90" s="79">
        <v>-7.3118279600000002E-2</v>
      </c>
      <c r="D90" s="24">
        <v>444</v>
      </c>
      <c r="E90" s="25">
        <f t="shared" si="42"/>
        <v>3.0162412993039442E-2</v>
      </c>
      <c r="F90" s="104">
        <f>IF(ISNUMBER(D90), $B91 * E90, "")</f>
        <v>3016.2412993039443</v>
      </c>
      <c r="G90" s="102">
        <v>440</v>
      </c>
      <c r="H90" s="25">
        <f t="shared" si="43"/>
        <v>2.0881670533642691E-2</v>
      </c>
      <c r="I90" s="103">
        <f>IF(ISNUMBER(G90), $B91 * H90, "")</f>
        <v>2088.1670533642691</v>
      </c>
      <c r="J90" s="24">
        <v>427</v>
      </c>
      <c r="K90" s="25">
        <f t="shared" si="44"/>
        <v>-9.2807424593967514E-3</v>
      </c>
      <c r="L90" s="104">
        <f>IF(ISNUMBER(J90), $B91 * K90, "")</f>
        <v>-928.07424593967517</v>
      </c>
      <c r="M90" s="102">
        <v>440</v>
      </c>
      <c r="N90" s="25">
        <f t="shared" si="45"/>
        <v>2.0881670533642691E-2</v>
      </c>
      <c r="O90" s="104">
        <f>IF(ISNUMBER(M90), $B91 * N90, "")</f>
        <v>2088.1670533642691</v>
      </c>
      <c r="Q90" s="227"/>
      <c r="R90" s="228"/>
      <c r="S90" s="229"/>
    </row>
    <row r="91" spans="1:19" ht="17.25" thickBot="1">
      <c r="A91" s="132" t="s">
        <v>300</v>
      </c>
      <c r="B91" s="288">
        <f>$B$37</f>
        <v>100000</v>
      </c>
      <c r="C91" s="289"/>
      <c r="D91" s="26" t="s">
        <v>301</v>
      </c>
      <c r="E91" s="27">
        <f>IF(COUNT(E71:E90), SUM(E71:E90) / COUNT(E71:E90), 0)</f>
        <v>1.2784517717337776E-2</v>
      </c>
      <c r="F91" s="28">
        <f>SUM(F71:F90)</f>
        <v>25569.035434675548</v>
      </c>
      <c r="G91" s="26" t="s">
        <v>301</v>
      </c>
      <c r="H91" s="27">
        <f>IF(COUNT(H71:H90), SUM(H71:H90) / COUNT(H71:H90), 0)</f>
        <v>-7.3960605581337884E-4</v>
      </c>
      <c r="I91" s="28">
        <f>SUM(I71:I90)</f>
        <v>-1479.2121116267581</v>
      </c>
      <c r="J91" s="26" t="s">
        <v>301</v>
      </c>
      <c r="K91" s="27">
        <f>IF(COUNT(K71:K90), SUM(K71:K90) / COUNT(K71:K90), 0)</f>
        <v>-1.700858874352382E-2</v>
      </c>
      <c r="L91" s="28">
        <f>SUM(L71:L90)</f>
        <v>-34017.177487047637</v>
      </c>
      <c r="M91" s="26" t="s">
        <v>301</v>
      </c>
      <c r="N91" s="27">
        <f>IF(COUNT(N71:N90), SUM(N71:N90) / COUNT(N71:N90), 0)</f>
        <v>-6.0278629650571923E-3</v>
      </c>
      <c r="O91" s="28">
        <f>SUM(O71:O90)</f>
        <v>-12055.725930114386</v>
      </c>
      <c r="Q91" s="230"/>
      <c r="R91" s="231"/>
      <c r="S91" s="232"/>
    </row>
    <row r="93" spans="1:19" ht="17.25" thickBot="1"/>
    <row r="94" spans="1:19" ht="17.25" thickBot="1">
      <c r="A94" s="246" t="s">
        <v>46</v>
      </c>
      <c r="B94" s="247"/>
      <c r="C94" s="247"/>
      <c r="D94" s="247"/>
      <c r="E94" s="247"/>
      <c r="F94" s="247"/>
      <c r="G94" s="247"/>
      <c r="H94" s="247"/>
      <c r="I94" s="247"/>
      <c r="J94" s="247"/>
      <c r="K94" s="247"/>
      <c r="L94" s="247"/>
      <c r="M94" s="247"/>
      <c r="N94" s="247"/>
      <c r="O94" s="248"/>
      <c r="Q94" s="245"/>
      <c r="R94" s="245"/>
      <c r="S94" s="245"/>
    </row>
    <row r="95" spans="1:19" ht="17.25" thickBot="1">
      <c r="A95" s="176" t="s">
        <v>297</v>
      </c>
      <c r="B95" s="246" t="s">
        <v>49</v>
      </c>
      <c r="C95" s="248"/>
      <c r="D95" s="246" t="s">
        <v>58</v>
      </c>
      <c r="E95" s="247"/>
      <c r="F95" s="248"/>
      <c r="G95" s="249">
        <f>_xlfn.IFNA(VLOOKUP(B95, 현재가테이블!$B$2:$D$200, 2, FALSE), "-")</f>
        <v>45335000</v>
      </c>
      <c r="H95" s="250"/>
      <c r="I95" s="251"/>
      <c r="J95" s="246" t="s">
        <v>59</v>
      </c>
      <c r="K95" s="247"/>
      <c r="L95" s="248"/>
      <c r="M95" s="252">
        <f>_xlfn.IFNA(VLOOKUP(B95, 현재가테이블!$B$2:$D$200, 3, FALSE), "-")</f>
        <v>-2.27209037E-2</v>
      </c>
      <c r="N95" s="253"/>
      <c r="O95" s="254"/>
      <c r="Q95" s="245"/>
      <c r="R95" s="245"/>
      <c r="S95" s="245"/>
    </row>
    <row r="96" spans="1:19" ht="17.25" thickBot="1">
      <c r="A96" s="290" t="s">
        <v>55</v>
      </c>
      <c r="B96" s="286" t="str">
        <f>TEXT($G$1, "[$-ko-KR]yyyy-mm-dd(ddd) ") &amp; "오전 00:00"</f>
        <v>2021-06-05(토) 오전 00:00</v>
      </c>
      <c r="C96" s="287"/>
      <c r="D96" s="259" t="str">
        <f>TEXT($G$1, "[$-ko-KR]yyyy-mm-dd(ddd) ") &amp; "오후 14:00"</f>
        <v>2021-06-05(토) 오후 14:00</v>
      </c>
      <c r="E96" s="260"/>
      <c r="F96" s="261"/>
      <c r="G96" s="259" t="str">
        <f>TEXT($G$1, "[$-ko-KR]yyyy-mm-dd(ddd) ") &amp; "오후 19:00"</f>
        <v>2021-06-05(토) 오후 19:00</v>
      </c>
      <c r="H96" s="260"/>
      <c r="I96" s="261"/>
      <c r="J96" s="259" t="str">
        <f>TEXT($G$1, "[$-ko-KR]yyyy-mm-dd(ddd) ") &amp; "오후 21:00"</f>
        <v>2021-06-05(토) 오후 21:00</v>
      </c>
      <c r="K96" s="260"/>
      <c r="L96" s="261"/>
      <c r="M96" s="259" t="str">
        <f>TEXT($G$1+1, "[$-ko-KR]yyyy-mm-dd(ddd) ") &amp; "오전 00:00"</f>
        <v>2021-06-06(일) 오전 00:00</v>
      </c>
      <c r="N96" s="260"/>
      <c r="O96" s="261"/>
      <c r="Q96" s="245"/>
      <c r="R96" s="245"/>
      <c r="S96" s="245"/>
    </row>
    <row r="97" spans="1:19" ht="17.25" thickBot="1">
      <c r="A97" s="291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77" t="s">
        <v>58</v>
      </c>
      <c r="H97" s="178" t="s">
        <v>298</v>
      </c>
      <c r="I97" s="179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5"/>
      <c r="R97" s="235"/>
      <c r="S97" s="235"/>
    </row>
    <row r="98" spans="1:19" ht="17.25" thickBot="1">
      <c r="A98" s="161" t="s">
        <v>186</v>
      </c>
      <c r="B98" s="124">
        <v>16.399999999999999</v>
      </c>
      <c r="C98" s="76">
        <v>0.13103448279999999</v>
      </c>
      <c r="D98" s="13">
        <v>21.7</v>
      </c>
      <c r="E98" s="14">
        <f>IF(ISNUMBER(D98), (D98 - $B98) / $B98, "")</f>
        <v>0.32317073170731714</v>
      </c>
      <c r="F98" s="16">
        <f>IF(ISNUMBER(D98), $B118 * E98, "")</f>
        <v>32317.073170731714</v>
      </c>
      <c r="G98" s="29">
        <v>19.5</v>
      </c>
      <c r="H98" s="14">
        <f>IF(ISNUMBER(G98), (G98 - $B98) / $B98, "")</f>
        <v>0.18902439024390255</v>
      </c>
      <c r="I98" s="100">
        <f>IF(ISNUMBER(G98), $B118 * H98, "")</f>
        <v>18902.439024390256</v>
      </c>
      <c r="J98" s="13">
        <v>19.3</v>
      </c>
      <c r="K98" s="14">
        <f>IF(ISNUMBER(J98), (J98 - $B98) / $B98, "")</f>
        <v>0.17682926829268308</v>
      </c>
      <c r="L98" s="16">
        <f>IF(ISNUMBER(J98), $B118 * K98, "")</f>
        <v>17682.926829268308</v>
      </c>
      <c r="M98" s="29">
        <v>19.899999999999999</v>
      </c>
      <c r="N98" s="14">
        <f>IF(ISNUMBER(M98), (M98 - $B98) / $B98, "")</f>
        <v>0.21341463414634149</v>
      </c>
      <c r="O98" s="16">
        <f>IF(ISNUMBER(M98), $B118 * N98, "")</f>
        <v>21341.463414634149</v>
      </c>
      <c r="Q98" s="245"/>
      <c r="R98" s="245"/>
      <c r="S98" s="245"/>
    </row>
    <row r="99" spans="1:19" ht="17.25" thickBot="1">
      <c r="A99" s="162" t="s">
        <v>112</v>
      </c>
      <c r="B99" s="126">
        <v>196</v>
      </c>
      <c r="C99" s="77">
        <v>4.81283422E-2</v>
      </c>
      <c r="D99" s="15">
        <v>198</v>
      </c>
      <c r="E99" s="32">
        <f t="shared" ref="E99:E102" si="46">IF(ISNUMBER(D99), (D99 - $B99) / $B99, "")</f>
        <v>1.020408163265306E-2</v>
      </c>
      <c r="F99" s="18">
        <f>IF(ISNUMBER(D99), $B118 * E99, "")</f>
        <v>1020.408163265306</v>
      </c>
      <c r="G99" s="31">
        <v>191</v>
      </c>
      <c r="H99" s="32">
        <f t="shared" ref="H99:H102" si="47">IF(ISNUMBER(G99), (G99 - $B99) / $B99, "")</f>
        <v>-2.5510204081632654E-2</v>
      </c>
      <c r="I99" s="101">
        <f>IF(ISNUMBER(G99), $B118 * H99, "")</f>
        <v>-2551.0204081632655</v>
      </c>
      <c r="J99" s="15">
        <v>195</v>
      </c>
      <c r="K99" s="32">
        <f t="shared" ref="K99:K102" si="48">IF(ISNUMBER(J99), (J99 - $B99) / $B99, "")</f>
        <v>-5.1020408163265302E-3</v>
      </c>
      <c r="L99" s="18">
        <f>IF(ISNUMBER(J99), $B118 * K99, "")</f>
        <v>-510.20408163265301</v>
      </c>
      <c r="M99" s="31">
        <v>202</v>
      </c>
      <c r="N99" s="32">
        <f t="shared" ref="N99:N102" si="49">IF(ISNUMBER(M99), (M99 - $B99) / $B99, "")</f>
        <v>3.0612244897959183E-2</v>
      </c>
      <c r="O99" s="18">
        <f>IF(ISNUMBER(M99), $B118 * N99, "")</f>
        <v>3061.2244897959181</v>
      </c>
      <c r="Q99" s="245"/>
      <c r="R99" s="245"/>
      <c r="S99" s="245"/>
    </row>
    <row r="100" spans="1:19" ht="17.25" thickBot="1">
      <c r="A100" s="162" t="s">
        <v>114</v>
      </c>
      <c r="B100" s="126">
        <v>11440</v>
      </c>
      <c r="C100" s="77">
        <v>3.5294117600000001E-2</v>
      </c>
      <c r="D100" s="15">
        <v>11080</v>
      </c>
      <c r="E100" s="32">
        <f t="shared" si="46"/>
        <v>-3.1468531468531472E-2</v>
      </c>
      <c r="F100" s="18">
        <f>IF(ISNUMBER(D100), $B118 * E100, "")</f>
        <v>-3146.8531468531473</v>
      </c>
      <c r="G100" s="31">
        <v>10690</v>
      </c>
      <c r="H100" s="32">
        <f t="shared" si="47"/>
        <v>-6.555944055944056E-2</v>
      </c>
      <c r="I100" s="101">
        <f>IF(ISNUMBER(G100), $B118 * H100, "")</f>
        <v>-6555.9440559440563</v>
      </c>
      <c r="J100" s="15">
        <v>10590</v>
      </c>
      <c r="K100" s="32">
        <f t="shared" si="48"/>
        <v>-7.4300699300699297E-2</v>
      </c>
      <c r="L100" s="18">
        <f>IF(ISNUMBER(J100), $B118 * K100, "")</f>
        <v>-7430.0699300699298</v>
      </c>
      <c r="M100" s="31">
        <v>10760</v>
      </c>
      <c r="N100" s="32">
        <f t="shared" si="49"/>
        <v>-5.944055944055944E-2</v>
      </c>
      <c r="O100" s="18">
        <f>IF(ISNUMBER(M100), $B118 * N100, "")</f>
        <v>-5944.0559440559437</v>
      </c>
      <c r="Q100" s="235"/>
      <c r="R100" s="235"/>
      <c r="S100" s="235"/>
    </row>
    <row r="101" spans="1:19" ht="17.25" thickBot="1">
      <c r="A101" s="162" t="s">
        <v>206</v>
      </c>
      <c r="B101" s="126">
        <v>17540</v>
      </c>
      <c r="C101" s="77">
        <v>2.15492137E-2</v>
      </c>
      <c r="D101" s="15">
        <v>17360</v>
      </c>
      <c r="E101" s="32">
        <f t="shared" si="46"/>
        <v>-1.0262257696693273E-2</v>
      </c>
      <c r="F101" s="18">
        <f>IF(ISNUMBER(D101), $B118 * E101, "")</f>
        <v>-1026.2257696693273</v>
      </c>
      <c r="G101" s="31">
        <v>16980</v>
      </c>
      <c r="H101" s="32">
        <f t="shared" si="47"/>
        <v>-3.192702394526796E-2</v>
      </c>
      <c r="I101" s="101">
        <f>IF(ISNUMBER(G101), $B118 * H101, "")</f>
        <v>-3192.7023945267961</v>
      </c>
      <c r="J101" s="15">
        <v>16530</v>
      </c>
      <c r="K101" s="32">
        <f t="shared" si="48"/>
        <v>-5.758266818700114E-2</v>
      </c>
      <c r="L101" s="18">
        <f>IF(ISNUMBER(J101), $B118 * K101, "")</f>
        <v>-5758.2668187001136</v>
      </c>
      <c r="M101" s="31">
        <v>16630</v>
      </c>
      <c r="N101" s="32">
        <f t="shared" si="49"/>
        <v>-5.1881413911060437E-2</v>
      </c>
      <c r="O101" s="18">
        <f>IF(ISNUMBER(M101), $B118 * N101, "")</f>
        <v>-5188.1413911060436</v>
      </c>
      <c r="Q101" s="235"/>
      <c r="R101" s="235"/>
      <c r="S101" s="235"/>
    </row>
    <row r="102" spans="1:19" ht="17.25" thickBot="1">
      <c r="A102" s="163" t="s">
        <v>142</v>
      </c>
      <c r="B102" s="128">
        <v>488</v>
      </c>
      <c r="C102" s="78">
        <v>8.2644628000000005E-3</v>
      </c>
      <c r="D102" s="20">
        <v>523</v>
      </c>
      <c r="E102" s="21">
        <f t="shared" si="46"/>
        <v>7.1721311475409832E-2</v>
      </c>
      <c r="F102" s="22">
        <f>IF(ISNUMBER(D102), $B118 * E102, "")</f>
        <v>7172.131147540983</v>
      </c>
      <c r="G102" s="30">
        <v>521</v>
      </c>
      <c r="H102" s="21">
        <f t="shared" si="47"/>
        <v>6.7622950819672137E-2</v>
      </c>
      <c r="I102" s="105">
        <f>IF(ISNUMBER(G102), $B118 * H102, "")</f>
        <v>6762.2950819672133</v>
      </c>
      <c r="J102" s="20">
        <v>514</v>
      </c>
      <c r="K102" s="21">
        <f t="shared" si="48"/>
        <v>5.3278688524590161E-2</v>
      </c>
      <c r="L102" s="22">
        <f>IF(ISNUMBER(J102), $B118 * K102, "")</f>
        <v>5327.8688524590161</v>
      </c>
      <c r="M102" s="30">
        <v>525</v>
      </c>
      <c r="N102" s="21">
        <f t="shared" si="49"/>
        <v>7.5819672131147542E-2</v>
      </c>
      <c r="O102" s="22">
        <f>IF(ISNUMBER(M102), $B118 * N102, "")</f>
        <v>7581.9672131147545</v>
      </c>
      <c r="Q102" s="235"/>
      <c r="R102" s="235"/>
      <c r="S102" s="235"/>
    </row>
    <row r="103" spans="1:19" ht="17.25" thickBot="1">
      <c r="A103" s="162" t="s">
        <v>67</v>
      </c>
      <c r="B103" s="129">
        <v>5770</v>
      </c>
      <c r="C103" s="80">
        <v>7.8602619999999998E-3</v>
      </c>
      <c r="D103" s="106">
        <v>5720</v>
      </c>
      <c r="E103" s="107">
        <f>IF(ISNUMBER(D103), (D103 - $B103) / $B103, "")</f>
        <v>-8.6655112651646445E-3</v>
      </c>
      <c r="F103" s="108">
        <f>IF(ISNUMBER(D103), $B118 * E103, "")</f>
        <v>-866.55112651646448</v>
      </c>
      <c r="G103" s="109">
        <v>5575</v>
      </c>
      <c r="H103" s="107">
        <f>IF(ISNUMBER(G103), (G103 - $B103) / $B103, "")</f>
        <v>-3.3795493934142114E-2</v>
      </c>
      <c r="I103" s="110">
        <f>IF(ISNUMBER(G103), $B118 * H103, "")</f>
        <v>-3379.5493934142114</v>
      </c>
      <c r="J103" s="106">
        <v>5510</v>
      </c>
      <c r="K103" s="107">
        <f>IF(ISNUMBER(J103), (J103 - $B103) / $B103, "")</f>
        <v>-4.5060658578856154E-2</v>
      </c>
      <c r="L103" s="108">
        <f>IF(ISNUMBER(J103), $B118 * K103, "")</f>
        <v>-4506.0658578856155</v>
      </c>
      <c r="M103" s="109">
        <v>5535</v>
      </c>
      <c r="N103" s="107">
        <f>IF(ISNUMBER(M103), (M103 - $B103) / $B103, "")</f>
        <v>-4.0727902946273833E-2</v>
      </c>
      <c r="O103" s="108">
        <f>IF(ISNUMBER(M103), $B118 * N103, "")</f>
        <v>-4072.7902946273834</v>
      </c>
      <c r="Q103" s="235"/>
      <c r="R103" s="235"/>
      <c r="S103" s="235"/>
    </row>
    <row r="104" spans="1:19" ht="17.25" thickBot="1">
      <c r="A104" s="162" t="s">
        <v>200</v>
      </c>
      <c r="B104" s="126">
        <v>225</v>
      </c>
      <c r="C104" s="77">
        <v>0</v>
      </c>
      <c r="D104" s="15">
        <v>218</v>
      </c>
      <c r="E104" s="32">
        <f t="shared" ref="E104:E107" si="50">IF(ISNUMBER(D104), (D104 - $B104) / $B104, "")</f>
        <v>-3.111111111111111E-2</v>
      </c>
      <c r="F104" s="18">
        <f>IF(ISNUMBER(D104), $B118 * E104, "")</f>
        <v>-3111.1111111111109</v>
      </c>
      <c r="G104" s="31">
        <v>212</v>
      </c>
      <c r="H104" s="32">
        <f t="shared" ref="H104:H107" si="51">IF(ISNUMBER(G104), (G104 - $B104) / $B104, "")</f>
        <v>-5.7777777777777775E-2</v>
      </c>
      <c r="I104" s="101">
        <f>IF(ISNUMBER(G104), $B118 * H104, "")</f>
        <v>-5777.7777777777774</v>
      </c>
      <c r="J104" s="15">
        <v>207</v>
      </c>
      <c r="K104" s="32">
        <f t="shared" ref="K104:K107" si="52">IF(ISNUMBER(J104), (J104 - $B104) / $B104, "")</f>
        <v>-0.08</v>
      </c>
      <c r="L104" s="18">
        <f>IF(ISNUMBER(J104), $B118 * K104, "")</f>
        <v>-8000</v>
      </c>
      <c r="M104" s="31">
        <v>210</v>
      </c>
      <c r="N104" s="32">
        <f t="shared" ref="N104:N107" si="53">IF(ISNUMBER(M104), (M104 - $B104) / $B104, "")</f>
        <v>-6.6666666666666666E-2</v>
      </c>
      <c r="O104" s="18">
        <f>IF(ISNUMBER(M104), $B118 * N104, "")</f>
        <v>-6666.666666666667</v>
      </c>
      <c r="Q104" s="235"/>
      <c r="R104" s="235"/>
      <c r="S104" s="235"/>
    </row>
    <row r="105" spans="1:19" ht="17.25" thickBot="1">
      <c r="A105" s="162" t="s">
        <v>212</v>
      </c>
      <c r="B105" s="126">
        <v>81.099999999999994</v>
      </c>
      <c r="C105" s="77">
        <v>-8.5574572000000002E-3</v>
      </c>
      <c r="D105" s="15">
        <v>81.7</v>
      </c>
      <c r="E105" s="32">
        <f t="shared" si="50"/>
        <v>7.3982737361283427E-3</v>
      </c>
      <c r="F105" s="18">
        <f>IF(ISNUMBER(D105), $B118 * E105, "")</f>
        <v>739.82737361283432</v>
      </c>
      <c r="G105" s="31">
        <v>80.2</v>
      </c>
      <c r="H105" s="32">
        <f t="shared" si="51"/>
        <v>-1.109741060419225E-2</v>
      </c>
      <c r="I105" s="101">
        <f>IF(ISNUMBER(G105), $B118 * H105, "")</f>
        <v>-1109.7410604192251</v>
      </c>
      <c r="J105" s="15">
        <v>78.3</v>
      </c>
      <c r="K105" s="32">
        <f t="shared" si="52"/>
        <v>-3.4525277435265074E-2</v>
      </c>
      <c r="L105" s="18">
        <f>IF(ISNUMBER(J105), $B118 * K105, "")</f>
        <v>-3452.5277435265075</v>
      </c>
      <c r="M105" s="31">
        <v>79.099999999999994</v>
      </c>
      <c r="N105" s="32">
        <f t="shared" si="53"/>
        <v>-2.4660912453760789E-2</v>
      </c>
      <c r="O105" s="18">
        <f>IF(ISNUMBER(M105), $B118 * N105, "")</f>
        <v>-2466.0912453760789</v>
      </c>
      <c r="Q105" s="235"/>
      <c r="R105" s="235"/>
      <c r="S105" s="235"/>
    </row>
    <row r="106" spans="1:19" ht="17.25" thickBot="1">
      <c r="A106" s="162" t="s">
        <v>176</v>
      </c>
      <c r="B106" s="126">
        <v>1190</v>
      </c>
      <c r="C106" s="77">
        <v>-2.05761317E-2</v>
      </c>
      <c r="D106" s="15">
        <v>1190</v>
      </c>
      <c r="E106" s="32">
        <f t="shared" si="50"/>
        <v>0</v>
      </c>
      <c r="F106" s="18">
        <f>IF(ISNUMBER(D106), $B118 * E106, "")</f>
        <v>0</v>
      </c>
      <c r="G106" s="31">
        <v>1175</v>
      </c>
      <c r="H106" s="32">
        <f t="shared" si="51"/>
        <v>-1.2605042016806723E-2</v>
      </c>
      <c r="I106" s="101">
        <f>IF(ISNUMBER(G106), $B118 * H106, "")</f>
        <v>-1260.5042016806724</v>
      </c>
      <c r="J106" s="15">
        <v>1150</v>
      </c>
      <c r="K106" s="32">
        <f t="shared" si="52"/>
        <v>-3.3613445378151259E-2</v>
      </c>
      <c r="L106" s="18">
        <f>IF(ISNUMBER(J106), $B118 * K106, "")</f>
        <v>-3361.3445378151259</v>
      </c>
      <c r="M106" s="31">
        <v>1160</v>
      </c>
      <c r="N106" s="32">
        <f t="shared" si="53"/>
        <v>-2.5210084033613446E-2</v>
      </c>
      <c r="O106" s="18">
        <f>IF(ISNUMBER(M106), $B118 * N106, "")</f>
        <v>-2521.0084033613448</v>
      </c>
      <c r="Q106" s="33"/>
      <c r="R106" s="33"/>
    </row>
    <row r="107" spans="1:19" ht="17.25" thickBot="1">
      <c r="A107" s="130" t="s">
        <v>252</v>
      </c>
      <c r="B107" s="131">
        <v>311</v>
      </c>
      <c r="C107" s="79">
        <v>-2.2012578599999999E-2</v>
      </c>
      <c r="D107" s="24">
        <v>317</v>
      </c>
      <c r="E107" s="25">
        <f t="shared" si="50"/>
        <v>1.9292604501607719E-2</v>
      </c>
      <c r="F107" s="104">
        <f>IF(ISNUMBER(D107), $B118 * E107, "")</f>
        <v>1929.2604501607718</v>
      </c>
      <c r="G107" s="102">
        <v>315</v>
      </c>
      <c r="H107" s="25">
        <f t="shared" si="51"/>
        <v>1.2861736334405145E-2</v>
      </c>
      <c r="I107" s="103">
        <f>IF(ISNUMBER(G107), $B118 * H107, "")</f>
        <v>1286.1736334405145</v>
      </c>
      <c r="J107" s="24">
        <v>311</v>
      </c>
      <c r="K107" s="25">
        <f t="shared" si="52"/>
        <v>0</v>
      </c>
      <c r="L107" s="104">
        <f>IF(ISNUMBER(J107), $B118 * K107, "")</f>
        <v>0</v>
      </c>
      <c r="M107" s="102">
        <v>311</v>
      </c>
      <c r="N107" s="25">
        <f t="shared" si="53"/>
        <v>0</v>
      </c>
      <c r="O107" s="104">
        <f>IF(ISNUMBER(M107), $B118 * N107, "")</f>
        <v>0</v>
      </c>
      <c r="Q107" s="236"/>
      <c r="R107" s="237"/>
      <c r="S107" s="238"/>
    </row>
    <row r="108" spans="1:19">
      <c r="A108" s="161" t="s">
        <v>100</v>
      </c>
      <c r="B108" s="124">
        <v>4.74</v>
      </c>
      <c r="C108" s="76">
        <v>-3.8539553800000001E-2</v>
      </c>
      <c r="D108" s="13">
        <v>4.9000000000000004</v>
      </c>
      <c r="E108" s="14">
        <f>IF(ISNUMBER(D108), (D108 - $B108) / $B108, "")</f>
        <v>3.3755274261603407E-2</v>
      </c>
      <c r="F108" s="16">
        <f>IF(ISNUMBER(D108), $B118 * E108, "")</f>
        <v>3375.5274261603408</v>
      </c>
      <c r="G108" s="29">
        <v>4.8</v>
      </c>
      <c r="H108" s="14">
        <f>IF(ISNUMBER(G108), (G108 - $B108) / $B108, "")</f>
        <v>1.2658227848101182E-2</v>
      </c>
      <c r="I108" s="100">
        <f>IF(ISNUMBER(G108), $B118 * H108, "")</f>
        <v>1265.8227848101183</v>
      </c>
      <c r="J108" s="13">
        <v>4.66</v>
      </c>
      <c r="K108" s="14">
        <f>IF(ISNUMBER(J108), (J108 - $B108) / $B108, "")</f>
        <v>-1.6877637130801704E-2</v>
      </c>
      <c r="L108" s="16">
        <f>IF(ISNUMBER(J108), $B118 * K108, "")</f>
        <v>-1687.7637130801704</v>
      </c>
      <c r="M108" s="29">
        <v>4.71</v>
      </c>
      <c r="N108" s="14">
        <f>IF(ISNUMBER(M108), (M108 - $B108) / $B108, "")</f>
        <v>-6.3291139240506849E-3</v>
      </c>
      <c r="O108" s="16">
        <f>IF(ISNUMBER(M108), $B118 * N108, "")</f>
        <v>-632.91139240506845</v>
      </c>
      <c r="Q108" s="239"/>
      <c r="R108" s="240"/>
      <c r="S108" s="241"/>
    </row>
    <row r="109" spans="1:19" ht="17.25" thickBot="1">
      <c r="A109" s="162" t="s">
        <v>226</v>
      </c>
      <c r="B109" s="126">
        <v>301</v>
      </c>
      <c r="C109" s="77">
        <v>-4.14012739E-2</v>
      </c>
      <c r="D109" s="15">
        <v>301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297</v>
      </c>
      <c r="H109" s="32">
        <f t="shared" ref="H109:H112" si="55">IF(ISNUMBER(G109), (G109 - $B109) / $B109, "")</f>
        <v>-1.3289036544850499E-2</v>
      </c>
      <c r="I109" s="101">
        <f>IF(ISNUMBER(G109), $B118 * H109, "")</f>
        <v>-1328.9036544850499</v>
      </c>
      <c r="J109" s="15">
        <v>292</v>
      </c>
      <c r="K109" s="32">
        <f t="shared" ref="K109:K112" si="56">IF(ISNUMBER(J109), (J109 - $B109) / $B109, "")</f>
        <v>-2.9900332225913623E-2</v>
      </c>
      <c r="L109" s="18">
        <f>IF(ISNUMBER(J109), $B118 * K109, "")</f>
        <v>-2990.0332225913621</v>
      </c>
      <c r="M109" s="31">
        <v>294</v>
      </c>
      <c r="N109" s="32">
        <f t="shared" ref="N109:N112" si="57">IF(ISNUMBER(M109), (M109 - $B109) / $B109, "")</f>
        <v>-2.3255813953488372E-2</v>
      </c>
      <c r="O109" s="18">
        <f>IF(ISNUMBER(M109), $B118 * N109, "")</f>
        <v>-2325.5813953488373</v>
      </c>
      <c r="Q109" s="242"/>
      <c r="R109" s="243"/>
      <c r="S109" s="244"/>
    </row>
    <row r="110" spans="1:19" ht="17.25" thickBot="1">
      <c r="A110" s="162" t="s">
        <v>49</v>
      </c>
      <c r="B110" s="126">
        <v>43300000</v>
      </c>
      <c r="C110" s="77">
        <v>-4.6906297499999999E-2</v>
      </c>
      <c r="D110" s="15">
        <v>43519000</v>
      </c>
      <c r="E110" s="32">
        <f t="shared" si="54"/>
        <v>5.0577367205542727E-3</v>
      </c>
      <c r="F110" s="18">
        <f>IF(ISNUMBER(D110), $B118 * E110, "")</f>
        <v>505.77367205542726</v>
      </c>
      <c r="G110" s="31">
        <v>42670000</v>
      </c>
      <c r="H110" s="32">
        <f t="shared" si="55"/>
        <v>-1.4549653579676674E-2</v>
      </c>
      <c r="I110" s="101">
        <f>IF(ISNUMBER(G110), $B118 * H110, "")</f>
        <v>-1454.9653579676674</v>
      </c>
      <c r="J110" s="15">
        <v>41853000</v>
      </c>
      <c r="K110" s="32">
        <f t="shared" si="56"/>
        <v>-3.3418013856812936E-2</v>
      </c>
      <c r="L110" s="18">
        <f>IF(ISNUMBER(J110), $B118 * K110, "")</f>
        <v>-3341.8013856812936</v>
      </c>
      <c r="M110" s="31">
        <v>42000000</v>
      </c>
      <c r="N110" s="32">
        <f t="shared" si="57"/>
        <v>-3.0023094688221709E-2</v>
      </c>
      <c r="O110" s="18">
        <f>IF(ISNUMBER(M110), $B118 * N110, "")</f>
        <v>-3002.3094688221709</v>
      </c>
      <c r="Q110" s="235"/>
      <c r="R110" s="235"/>
      <c r="S110" s="235"/>
    </row>
    <row r="111" spans="1:19" ht="17.25" thickBot="1">
      <c r="A111" s="162" t="s">
        <v>246</v>
      </c>
      <c r="B111" s="126">
        <v>307</v>
      </c>
      <c r="C111" s="77">
        <v>-4.95356037E-2</v>
      </c>
      <c r="D111" s="15">
        <v>310</v>
      </c>
      <c r="E111" s="32">
        <f t="shared" si="54"/>
        <v>9.7719869706840382E-3</v>
      </c>
      <c r="F111" s="18">
        <f>IF(ISNUMBER(D111), $B118 * E111, "")</f>
        <v>977.19869706840382</v>
      </c>
      <c r="G111" s="31">
        <v>312</v>
      </c>
      <c r="H111" s="32">
        <f t="shared" si="55"/>
        <v>1.6286644951140065E-2</v>
      </c>
      <c r="I111" s="101">
        <f>IF(ISNUMBER(G111), $B118 * H111, "")</f>
        <v>1628.6644951140065</v>
      </c>
      <c r="J111" s="15">
        <v>306</v>
      </c>
      <c r="K111" s="32">
        <f t="shared" si="56"/>
        <v>-3.2573289902280132E-3</v>
      </c>
      <c r="L111" s="18">
        <f>IF(ISNUMBER(J111), $B118 * K111, "")</f>
        <v>-325.73289902280129</v>
      </c>
      <c r="M111" s="31">
        <v>311</v>
      </c>
      <c r="N111" s="32">
        <f t="shared" si="57"/>
        <v>1.3029315960912053E-2</v>
      </c>
      <c r="O111" s="18">
        <f>IF(ISNUMBER(M111), $B118 * N111, "")</f>
        <v>1302.9315960912052</v>
      </c>
      <c r="Q111" s="245"/>
      <c r="R111" s="245"/>
      <c r="S111" s="245"/>
    </row>
    <row r="112" spans="1:19" ht="17.25" thickBot="1">
      <c r="A112" s="163" t="s">
        <v>198</v>
      </c>
      <c r="B112" s="128">
        <v>16.7</v>
      </c>
      <c r="C112" s="78">
        <v>-5.1136363599999998E-2</v>
      </c>
      <c r="D112" s="20">
        <v>17</v>
      </c>
      <c r="E112" s="21">
        <f t="shared" si="54"/>
        <v>1.796407185628747E-2</v>
      </c>
      <c r="F112" s="22">
        <f>IF(ISNUMBER(D112), $B118 * E112, "")</f>
        <v>1796.4071856287469</v>
      </c>
      <c r="G112" s="30">
        <v>16.600000000000001</v>
      </c>
      <c r="H112" s="21">
        <f t="shared" si="55"/>
        <v>-5.9880239520956812E-3</v>
      </c>
      <c r="I112" s="105">
        <f>IF(ISNUMBER(G112), $B118 * H112, "")</f>
        <v>-598.80239520956809</v>
      </c>
      <c r="J112" s="20">
        <v>16.3</v>
      </c>
      <c r="K112" s="21">
        <f t="shared" si="56"/>
        <v>-2.3952095808383148E-2</v>
      </c>
      <c r="L112" s="22">
        <f>IF(ISNUMBER(J112), $B118 * K112, "")</f>
        <v>-2395.2095808383147</v>
      </c>
      <c r="M112" s="30">
        <v>16.5</v>
      </c>
      <c r="N112" s="21">
        <f t="shared" si="57"/>
        <v>-1.1976047904191574E-2</v>
      </c>
      <c r="O112" s="22">
        <f>IF(ISNUMBER(M112), $B118 * N112, "")</f>
        <v>-1197.6047904191573</v>
      </c>
      <c r="Q112" s="245"/>
      <c r="R112" s="245"/>
      <c r="S112" s="245"/>
    </row>
    <row r="113" spans="1:19" ht="17.25" thickBot="1">
      <c r="A113" s="162" t="s">
        <v>254</v>
      </c>
      <c r="B113" s="129">
        <v>52.2</v>
      </c>
      <c r="C113" s="80">
        <v>-5.2631578900000003E-2</v>
      </c>
      <c r="D113" s="106">
        <v>52.6</v>
      </c>
      <c r="E113" s="107">
        <f>IF(ISNUMBER(D113), (D113 - $B113) / $B113, "")</f>
        <v>7.6628352490421183E-3</v>
      </c>
      <c r="F113" s="108">
        <f>IF(ISNUMBER(D113), $B118 * E113, "")</f>
        <v>766.28352490421184</v>
      </c>
      <c r="G113" s="109">
        <v>51.9</v>
      </c>
      <c r="H113" s="107">
        <f>IF(ISNUMBER(G113), (G113 - $B113) / $B113, "")</f>
        <v>-5.7471264367816906E-3</v>
      </c>
      <c r="I113" s="110">
        <f>IF(ISNUMBER(G113), $B118 * H113, "")</f>
        <v>-574.71264367816912</v>
      </c>
      <c r="J113" s="106">
        <v>51.2</v>
      </c>
      <c r="K113" s="107">
        <f>IF(ISNUMBER(J113), (J113 - $B113) / $B113, "")</f>
        <v>-1.9157088122605363E-2</v>
      </c>
      <c r="L113" s="108">
        <f>IF(ISNUMBER(J113), $B118 * K113, "")</f>
        <v>-1915.7088122605362</v>
      </c>
      <c r="M113" s="109">
        <v>51.3</v>
      </c>
      <c r="N113" s="107">
        <f>IF(ISNUMBER(M113), (M113 - $B113) / $B113, "")</f>
        <v>-1.7241379310344935E-2</v>
      </c>
      <c r="O113" s="108">
        <f>IF(ISNUMBER(M113), $B118 * N113, "")</f>
        <v>-1724.1379310344935</v>
      </c>
      <c r="Q113" s="235"/>
      <c r="R113" s="235"/>
      <c r="S113" s="235"/>
    </row>
    <row r="114" spans="1:19" ht="17.25" thickBot="1">
      <c r="A114" s="162" t="s">
        <v>118</v>
      </c>
      <c r="B114" s="126">
        <v>5545</v>
      </c>
      <c r="C114" s="77">
        <v>-5.2946199800000003E-2</v>
      </c>
      <c r="D114" s="15">
        <v>5975</v>
      </c>
      <c r="E114" s="32">
        <f t="shared" ref="E114:E117" si="58">IF(ISNUMBER(D114), (D114 - $B114) / $B114, "")</f>
        <v>7.7547339945897201E-2</v>
      </c>
      <c r="F114" s="18">
        <f>IF(ISNUMBER(D114), $B118 * E114, "")</f>
        <v>7754.7339945897202</v>
      </c>
      <c r="G114" s="31">
        <v>5680</v>
      </c>
      <c r="H114" s="32">
        <f t="shared" ref="H114:H117" si="59">IF(ISNUMBER(G114), (G114 - $B114) / $B114, "")</f>
        <v>2.4346257889990983E-2</v>
      </c>
      <c r="I114" s="101">
        <f>IF(ISNUMBER(G114), $B118 * H114, "")</f>
        <v>2434.6257889990984</v>
      </c>
      <c r="J114" s="15">
        <v>5525</v>
      </c>
      <c r="K114" s="32">
        <f t="shared" ref="K114:K117" si="60">IF(ISNUMBER(J114), (J114 - $B114) / $B114, "")</f>
        <v>-3.6068530207394047E-3</v>
      </c>
      <c r="L114" s="18">
        <f>IF(ISNUMBER(J114), $B118 * K114, "")</f>
        <v>-360.68530207394048</v>
      </c>
      <c r="M114" s="31">
        <v>5610</v>
      </c>
      <c r="N114" s="32">
        <f t="shared" ref="N114:N117" si="61">IF(ISNUMBER(M114), (M114 - $B114) / $B114, "")</f>
        <v>1.1722272317403066E-2</v>
      </c>
      <c r="O114" s="18">
        <f>IF(ISNUMBER(M114), $B118 * N114, "")</f>
        <v>1172.2272317403067</v>
      </c>
      <c r="Q114" s="235"/>
      <c r="R114" s="235"/>
      <c r="S114" s="235"/>
    </row>
    <row r="115" spans="1:19" ht="17.25" thickBot="1">
      <c r="A115" s="162" t="s">
        <v>132</v>
      </c>
      <c r="B115" s="126">
        <v>157</v>
      </c>
      <c r="C115" s="77">
        <v>-5.4216867500000002E-2</v>
      </c>
      <c r="D115" s="15">
        <v>159</v>
      </c>
      <c r="E115" s="32">
        <f t="shared" si="58"/>
        <v>1.2738853503184714E-2</v>
      </c>
      <c r="F115" s="18">
        <f>IF(ISNUMBER(D115), $B118 * E115, "")</f>
        <v>1273.8853503184714</v>
      </c>
      <c r="G115" s="31">
        <v>157</v>
      </c>
      <c r="H115" s="32">
        <f t="shared" si="59"/>
        <v>0</v>
      </c>
      <c r="I115" s="101">
        <f>IF(ISNUMBER(G115), $B118 * H115, "")</f>
        <v>0</v>
      </c>
      <c r="J115" s="15">
        <v>152</v>
      </c>
      <c r="K115" s="32">
        <f t="shared" si="60"/>
        <v>-3.1847133757961783E-2</v>
      </c>
      <c r="L115" s="18">
        <f>IF(ISNUMBER(J115), $B118 * K115, "")</f>
        <v>-3184.7133757961783</v>
      </c>
      <c r="M115" s="31">
        <v>155</v>
      </c>
      <c r="N115" s="32">
        <f t="shared" si="61"/>
        <v>-1.2738853503184714E-2</v>
      </c>
      <c r="O115" s="18">
        <f>IF(ISNUMBER(M115), $B118 * N115, "")</f>
        <v>-1273.8853503184714</v>
      </c>
      <c r="Q115" s="235"/>
      <c r="R115" s="235"/>
      <c r="S115" s="235"/>
    </row>
    <row r="116" spans="1:19">
      <c r="A116" s="162" t="s">
        <v>174</v>
      </c>
      <c r="B116" s="126">
        <v>188</v>
      </c>
      <c r="C116" s="77">
        <v>-5.5276381899999998E-2</v>
      </c>
      <c r="D116" s="15">
        <v>189</v>
      </c>
      <c r="E116" s="32">
        <f t="shared" si="58"/>
        <v>5.3191489361702126E-3</v>
      </c>
      <c r="F116" s="18">
        <f>IF(ISNUMBER(D116), $B118 * E116, "")</f>
        <v>531.91489361702122</v>
      </c>
      <c r="G116" s="31">
        <v>186</v>
      </c>
      <c r="H116" s="32">
        <f t="shared" si="59"/>
        <v>-1.0638297872340425E-2</v>
      </c>
      <c r="I116" s="101">
        <f>IF(ISNUMBER(G116), $B118 * H116, "")</f>
        <v>-1063.8297872340424</v>
      </c>
      <c r="J116" s="15">
        <v>183</v>
      </c>
      <c r="K116" s="32">
        <f t="shared" si="60"/>
        <v>-2.6595744680851064E-2</v>
      </c>
      <c r="L116" s="18">
        <f>IF(ISNUMBER(J116), $B118 * K116, "")</f>
        <v>-2659.5744680851062</v>
      </c>
      <c r="M116" s="31">
        <v>184</v>
      </c>
      <c r="N116" s="32">
        <f t="shared" si="61"/>
        <v>-2.1276595744680851E-2</v>
      </c>
      <c r="O116" s="18">
        <f>IF(ISNUMBER(M116), $B118 * N116, "")</f>
        <v>-2127.6595744680849</v>
      </c>
      <c r="Q116" s="224"/>
      <c r="R116" s="225"/>
      <c r="S116" s="226"/>
    </row>
    <row r="117" spans="1:19" ht="17.25" thickBot="1">
      <c r="A117" s="130" t="s">
        <v>156</v>
      </c>
      <c r="B117" s="131">
        <v>89.8</v>
      </c>
      <c r="C117" s="79">
        <v>-5.5730809700000002E-2</v>
      </c>
      <c r="D117" s="24">
        <v>91.1</v>
      </c>
      <c r="E117" s="25">
        <f t="shared" si="58"/>
        <v>1.4476614699331817E-2</v>
      </c>
      <c r="F117" s="104">
        <f>IF(ISNUMBER(D117), $B118 * E117, "")</f>
        <v>1447.6614699331817</v>
      </c>
      <c r="G117" s="102">
        <v>90.3</v>
      </c>
      <c r="H117" s="25">
        <f t="shared" si="59"/>
        <v>5.5679287305122494E-3</v>
      </c>
      <c r="I117" s="103">
        <f>IF(ISNUMBER(G117), $B118 * H117, "")</f>
        <v>556.79287305122489</v>
      </c>
      <c r="J117" s="24">
        <v>88.5</v>
      </c>
      <c r="K117" s="25">
        <f t="shared" si="60"/>
        <v>-1.4476614699331817E-2</v>
      </c>
      <c r="L117" s="104">
        <f>IF(ISNUMBER(J117), $B118 * K117, "")</f>
        <v>-1447.6614699331817</v>
      </c>
      <c r="M117" s="102">
        <v>88.7</v>
      </c>
      <c r="N117" s="25">
        <f t="shared" si="61"/>
        <v>-1.2249443207126886E-2</v>
      </c>
      <c r="O117" s="104">
        <f>IF(ISNUMBER(M117), $B118 * N117, "")</f>
        <v>-1224.9443207126885</v>
      </c>
      <c r="Q117" s="227"/>
      <c r="R117" s="228"/>
      <c r="S117" s="229"/>
    </row>
    <row r="118" spans="1:19" ht="17.25" thickBot="1">
      <c r="A118" s="132" t="s">
        <v>300</v>
      </c>
      <c r="B118" s="288">
        <f>$B$37</f>
        <v>100000</v>
      </c>
      <c r="C118" s="289"/>
      <c r="D118" s="26" t="s">
        <v>301</v>
      </c>
      <c r="E118" s="27">
        <f>IF(COUNT(E98:E117), SUM(E98:E117) / COUNT(E98:E117), 0)</f>
        <v>2.6728672682718547E-2</v>
      </c>
      <c r="F118" s="28">
        <f>SUM(F98:F117)</f>
        <v>53457.345365437082</v>
      </c>
      <c r="G118" s="26" t="s">
        <v>301</v>
      </c>
      <c r="H118" s="27">
        <f>IF(COUNT(H98:H117), SUM(H98:H117) / COUNT(H98:H117), 0)</f>
        <v>1.9941802756359649E-3</v>
      </c>
      <c r="I118" s="28">
        <f>SUM(I98:I117)</f>
        <v>3988.3605512719332</v>
      </c>
      <c r="J118" s="26" t="s">
        <v>301</v>
      </c>
      <c r="K118" s="27">
        <f>IF(COUNT(K98:K117), SUM(K98:K117) / COUNT(K98:K117), 0)</f>
        <v>-1.5158283758632754E-2</v>
      </c>
      <c r="L118" s="28">
        <f>SUM(L98:L117)</f>
        <v>-30316.567517265503</v>
      </c>
      <c r="M118" s="26" t="s">
        <v>301</v>
      </c>
      <c r="N118" s="27">
        <f>IF(COUNT(N98:N117), SUM(N98:N117) / COUNT(N98:N117), 0)</f>
        <v>-2.9539871116730496E-3</v>
      </c>
      <c r="O118" s="28">
        <f>SUM(O98:O117)</f>
        <v>-5907.9742233461047</v>
      </c>
      <c r="Q118" s="230"/>
      <c r="R118" s="231"/>
      <c r="S118" s="232"/>
    </row>
    <row r="120" spans="1:19" ht="17.25" thickBot="1"/>
    <row r="121" spans="1:19" ht="17.25" thickBot="1">
      <c r="A121" s="246" t="s">
        <v>288</v>
      </c>
      <c r="B121" s="247"/>
      <c r="C121" s="247"/>
      <c r="D121" s="247"/>
      <c r="E121" s="247"/>
      <c r="F121" s="247"/>
      <c r="G121" s="247"/>
      <c r="H121" s="247"/>
      <c r="I121" s="247"/>
      <c r="J121" s="247"/>
      <c r="K121" s="247"/>
      <c r="L121" s="247"/>
      <c r="M121" s="247"/>
      <c r="N121" s="247"/>
      <c r="O121" s="248"/>
      <c r="Q121" s="245"/>
      <c r="R121" s="245"/>
      <c r="S121" s="245"/>
    </row>
    <row r="122" spans="1:19" ht="17.25" thickBot="1">
      <c r="A122" s="176" t="s">
        <v>297</v>
      </c>
      <c r="B122" s="246" t="s">
        <v>49</v>
      </c>
      <c r="C122" s="248"/>
      <c r="D122" s="246" t="s">
        <v>58</v>
      </c>
      <c r="E122" s="247"/>
      <c r="F122" s="248"/>
      <c r="G122" s="249">
        <f>_xlfn.IFNA(VLOOKUP(B122, 현재가테이블!$B$2:$D$200, 2, FALSE), "-")</f>
        <v>45335000</v>
      </c>
      <c r="H122" s="250"/>
      <c r="I122" s="251"/>
      <c r="J122" s="246" t="s">
        <v>59</v>
      </c>
      <c r="K122" s="247"/>
      <c r="L122" s="248"/>
      <c r="M122" s="252">
        <f>_xlfn.IFNA(VLOOKUP(B122, 현재가테이블!$B$2:$D$200, 3, FALSE), "-")</f>
        <v>-2.27209037E-2</v>
      </c>
      <c r="N122" s="253"/>
      <c r="O122" s="254"/>
      <c r="Q122" s="245"/>
      <c r="R122" s="245"/>
      <c r="S122" s="245"/>
    </row>
    <row r="123" spans="1:19" ht="17.25" thickBot="1">
      <c r="A123" s="290" t="s">
        <v>55</v>
      </c>
      <c r="B123" s="286" t="str">
        <f>TEXT($G$1, "[$-ko-KR]yyyy-mm-dd(ddd) ") &amp; "오전 00:00"</f>
        <v>2021-06-05(토) 오전 00:00</v>
      </c>
      <c r="C123" s="287"/>
      <c r="D123" s="259" t="str">
        <f>TEXT($G$1, "[$-ko-KR]yyyy-mm-dd(ddd) ") &amp; "오후 14:00"</f>
        <v>2021-06-05(토) 오후 14:00</v>
      </c>
      <c r="E123" s="260"/>
      <c r="F123" s="261"/>
      <c r="G123" s="259" t="str">
        <f>TEXT($G$1, "[$-ko-KR]yyyy-mm-dd(ddd) ") &amp; "오후 19:00"</f>
        <v>2021-06-05(토) 오후 19:00</v>
      </c>
      <c r="H123" s="260"/>
      <c r="I123" s="261"/>
      <c r="J123" s="259" t="str">
        <f>TEXT($G$1, "[$-ko-KR]yyyy-mm-dd(ddd) ") &amp; "오후 21:00"</f>
        <v>2021-06-05(토) 오후 21:00</v>
      </c>
      <c r="K123" s="260"/>
      <c r="L123" s="261"/>
      <c r="M123" s="259" t="str">
        <f>TEXT($G$1+1, "[$-ko-KR]yyyy-mm-dd(ddd) ") &amp; "오전 00:00"</f>
        <v>2021-06-06(일) 오전 00:00</v>
      </c>
      <c r="N123" s="260"/>
      <c r="O123" s="261"/>
      <c r="Q123" s="245"/>
      <c r="R123" s="245"/>
      <c r="S123" s="245"/>
    </row>
    <row r="124" spans="1:19" ht="17.25" thickBot="1">
      <c r="A124" s="291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77" t="s">
        <v>58</v>
      </c>
      <c r="H124" s="178" t="s">
        <v>298</v>
      </c>
      <c r="I124" s="179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5"/>
      <c r="R124" s="235"/>
      <c r="S124" s="235"/>
    </row>
    <row r="125" spans="1:19" ht="17.25" thickBot="1">
      <c r="A125" s="161" t="s">
        <v>218</v>
      </c>
      <c r="B125" s="124">
        <v>16.7</v>
      </c>
      <c r="C125" s="76">
        <v>-5.6497175099999998E-2</v>
      </c>
      <c r="D125" s="13">
        <v>16.899999999999999</v>
      </c>
      <c r="E125" s="14">
        <f>IF(ISNUMBER(D125), (D125 - $B125) / $B125, "")</f>
        <v>1.1976047904191574E-2</v>
      </c>
      <c r="F125" s="16">
        <f>IF(ISNUMBER(D125), $B145 * E125, "")</f>
        <v>1197.6047904191573</v>
      </c>
      <c r="G125" s="29">
        <v>16.7</v>
      </c>
      <c r="H125" s="14">
        <f>IF(ISNUMBER(G125), (G125 - $B125) / $B125, "")</f>
        <v>0</v>
      </c>
      <c r="I125" s="100">
        <f>IF(ISNUMBER(G125), $B145 * H125, "")</f>
        <v>0</v>
      </c>
      <c r="J125" s="13">
        <v>16.5</v>
      </c>
      <c r="K125" s="14">
        <f>IF(ISNUMBER(J125), (J125 - $B125) / $B125, "")</f>
        <v>-1.1976047904191574E-2</v>
      </c>
      <c r="L125" s="16">
        <f>IF(ISNUMBER(J125), $B145 * K125, "")</f>
        <v>-1197.6047904191573</v>
      </c>
      <c r="M125" s="29">
        <v>16.600000000000001</v>
      </c>
      <c r="N125" s="14">
        <f>IF(ISNUMBER(M125), (M125 - $B125) / $B125, "")</f>
        <v>-5.9880239520956812E-3</v>
      </c>
      <c r="O125" s="16">
        <f>IF(ISNUMBER(M125), $B145 * N125, "")</f>
        <v>-598.80239520956809</v>
      </c>
      <c r="Q125" s="245"/>
      <c r="R125" s="245"/>
      <c r="S125" s="245"/>
    </row>
    <row r="126" spans="1:19" ht="17.25" thickBot="1">
      <c r="A126" s="162" t="s">
        <v>222</v>
      </c>
      <c r="B126" s="126">
        <v>11.5</v>
      </c>
      <c r="C126" s="77">
        <v>-5.7377049200000002E-2</v>
      </c>
      <c r="D126" s="15">
        <v>11.7</v>
      </c>
      <c r="E126" s="32">
        <f t="shared" ref="E126:E129" si="62">IF(ISNUMBER(D126), (D126 - $B126) / $B126, "")</f>
        <v>1.7391304347826025E-2</v>
      </c>
      <c r="F126" s="18">
        <f>IF(ISNUMBER(D126), $B145 * E126, "")</f>
        <v>1739.1304347826024</v>
      </c>
      <c r="G126" s="31">
        <v>11.5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11.4</v>
      </c>
      <c r="K126" s="32">
        <f t="shared" ref="K126:K129" si="64">IF(ISNUMBER(J126), (J126 - $B126) / $B126, "")</f>
        <v>-8.6956521739130124E-3</v>
      </c>
      <c r="L126" s="18">
        <f>IF(ISNUMBER(J126), $B145 * K126, "")</f>
        <v>-869.56521739130119</v>
      </c>
      <c r="M126" s="31">
        <v>11.4</v>
      </c>
      <c r="N126" s="32">
        <f t="shared" ref="N126:N129" si="65">IF(ISNUMBER(M126), (M126 - $B126) / $B126, "")</f>
        <v>-8.6956521739130124E-3</v>
      </c>
      <c r="O126" s="18">
        <f>IF(ISNUMBER(M126), $B145 * N126, "")</f>
        <v>-869.56521739130119</v>
      </c>
      <c r="Q126" s="245"/>
      <c r="R126" s="245"/>
      <c r="S126" s="245"/>
    </row>
    <row r="127" spans="1:19" ht="17.25" thickBot="1">
      <c r="A127" s="162" t="s">
        <v>278</v>
      </c>
      <c r="B127" s="126">
        <v>81.400000000000006</v>
      </c>
      <c r="C127" s="77">
        <v>-5.7870370400000003E-2</v>
      </c>
      <c r="D127" s="15">
        <v>83.3</v>
      </c>
      <c r="E127" s="32">
        <f t="shared" si="62"/>
        <v>2.3341523341523236E-2</v>
      </c>
      <c r="F127" s="18">
        <f>IF(ISNUMBER(D127), $B145 * E127, "")</f>
        <v>2334.1523341523234</v>
      </c>
      <c r="G127" s="31">
        <v>81.5</v>
      </c>
      <c r="H127" s="32">
        <f t="shared" si="63"/>
        <v>1.2285012285011586E-3</v>
      </c>
      <c r="I127" s="101">
        <f>IF(ISNUMBER(G127), $B145 * H127, "")</f>
        <v>122.85012285011587</v>
      </c>
      <c r="J127" s="15">
        <v>79.8</v>
      </c>
      <c r="K127" s="32">
        <f t="shared" si="64"/>
        <v>-1.965601965601976E-2</v>
      </c>
      <c r="L127" s="18">
        <f>IF(ISNUMBER(J127), $B145 * K127, "")</f>
        <v>-1965.601965601976</v>
      </c>
      <c r="M127" s="31">
        <v>79.099999999999994</v>
      </c>
      <c r="N127" s="32">
        <f t="shared" si="65"/>
        <v>-2.8255528255528392E-2</v>
      </c>
      <c r="O127" s="18">
        <f>IF(ISNUMBER(M127), $B145 * N127, "")</f>
        <v>-2825.5528255528393</v>
      </c>
      <c r="Q127" s="235"/>
      <c r="R127" s="235"/>
      <c r="S127" s="235"/>
    </row>
    <row r="128" spans="1:19" ht="17.25" thickBot="1">
      <c r="A128" s="162" t="s">
        <v>134</v>
      </c>
      <c r="B128" s="126">
        <v>93.2</v>
      </c>
      <c r="C128" s="77">
        <v>-6.0483871000000002E-2</v>
      </c>
      <c r="D128" s="15">
        <v>97.3</v>
      </c>
      <c r="E128" s="32">
        <f t="shared" si="62"/>
        <v>4.3991416309012814E-2</v>
      </c>
      <c r="F128" s="18">
        <f>IF(ISNUMBER(D128), $B145 * E128, "")</f>
        <v>4399.1416309012811</v>
      </c>
      <c r="G128" s="31">
        <v>99.9</v>
      </c>
      <c r="H128" s="32">
        <f t="shared" si="63"/>
        <v>7.1888412017167405E-2</v>
      </c>
      <c r="I128" s="101">
        <f>IF(ISNUMBER(G128), $B145 * H128, "")</f>
        <v>7188.8412017167402</v>
      </c>
      <c r="J128" s="15">
        <v>102</v>
      </c>
      <c r="K128" s="32">
        <f t="shared" si="64"/>
        <v>9.4420600858369064E-2</v>
      </c>
      <c r="L128" s="18">
        <f>IF(ISNUMBER(J128), $B145 * K128, "")</f>
        <v>9442.0600858369071</v>
      </c>
      <c r="M128" s="31">
        <v>100</v>
      </c>
      <c r="N128" s="32">
        <f t="shared" si="65"/>
        <v>7.2961373390557901E-2</v>
      </c>
      <c r="O128" s="18">
        <f>IF(ISNUMBER(M128), $B145 * N128, "")</f>
        <v>7296.1373390557901</v>
      </c>
      <c r="Q128" s="235"/>
      <c r="R128" s="235"/>
      <c r="S128" s="235"/>
    </row>
    <row r="129" spans="1:19" ht="17.25" thickBot="1">
      <c r="A129" s="163" t="s">
        <v>260</v>
      </c>
      <c r="B129" s="128">
        <v>77.900000000000006</v>
      </c>
      <c r="C129" s="78">
        <v>-6.3701923100000002E-2</v>
      </c>
      <c r="D129" s="20">
        <v>78.400000000000006</v>
      </c>
      <c r="E129" s="21">
        <f t="shared" si="62"/>
        <v>6.4184852374839533E-3</v>
      </c>
      <c r="F129" s="22">
        <f>IF(ISNUMBER(D129), $B145 * E129, "")</f>
        <v>641.84852374839534</v>
      </c>
      <c r="G129" s="30">
        <v>77.5</v>
      </c>
      <c r="H129" s="21">
        <f t="shared" si="63"/>
        <v>-5.1347881899872355E-3</v>
      </c>
      <c r="I129" s="105">
        <f>IF(ISNUMBER(G129), $B145 * H129, "")</f>
        <v>-513.47881899872357</v>
      </c>
      <c r="J129" s="20">
        <v>76.099999999999994</v>
      </c>
      <c r="K129" s="21">
        <f t="shared" si="64"/>
        <v>-2.3106546854942379E-2</v>
      </c>
      <c r="L129" s="22">
        <f>IF(ISNUMBER(J129), $B145 * K129, "")</f>
        <v>-2310.654685494238</v>
      </c>
      <c r="M129" s="30">
        <v>75.7</v>
      </c>
      <c r="N129" s="21">
        <f t="shared" si="65"/>
        <v>-2.8241335044929431E-2</v>
      </c>
      <c r="O129" s="22">
        <f>IF(ISNUMBER(M129), $B145 * N129, "")</f>
        <v>-2824.1335044929433</v>
      </c>
      <c r="Q129" s="235"/>
      <c r="R129" s="235"/>
      <c r="S129" s="235"/>
    </row>
    <row r="130" spans="1:19" ht="17.25" thickBot="1">
      <c r="A130" s="162" t="s">
        <v>196</v>
      </c>
      <c r="B130" s="129">
        <v>11.6</v>
      </c>
      <c r="C130" s="80">
        <v>-6.4516129000000005E-2</v>
      </c>
      <c r="D130" s="106">
        <v>11.8</v>
      </c>
      <c r="E130" s="107">
        <f>IF(ISNUMBER(D130), (D130 - $B130) / $B130, "")</f>
        <v>1.7241379310344921E-2</v>
      </c>
      <c r="F130" s="108">
        <f>IF(ISNUMBER(D130), $B145 * E130, "")</f>
        <v>1724.1379310344921</v>
      </c>
      <c r="G130" s="109">
        <v>11.7</v>
      </c>
      <c r="H130" s="107">
        <f>IF(ISNUMBER(G130), (G130 - $B130) / $B130, "")</f>
        <v>8.6206896551723842E-3</v>
      </c>
      <c r="I130" s="110">
        <f>IF(ISNUMBER(G130), $B145 * H130, "")</f>
        <v>862.06896551723844</v>
      </c>
      <c r="J130" s="106">
        <v>11.6</v>
      </c>
      <c r="K130" s="107">
        <f>IF(ISNUMBER(J130), (J130 - $B130) / $B130, "")</f>
        <v>0</v>
      </c>
      <c r="L130" s="108">
        <f>IF(ISNUMBER(J130), $B145 * K130, "")</f>
        <v>0</v>
      </c>
      <c r="M130" s="109">
        <v>11.5</v>
      </c>
      <c r="N130" s="107">
        <f>IF(ISNUMBER(M130), (M130 - $B130) / $B130, "")</f>
        <v>-8.6206896551723842E-3</v>
      </c>
      <c r="O130" s="108">
        <f>IF(ISNUMBER(M130), $B145 * N130, "")</f>
        <v>-862.06896551723844</v>
      </c>
      <c r="Q130" s="235"/>
      <c r="R130" s="235"/>
      <c r="S130" s="235"/>
    </row>
    <row r="131" spans="1:19" ht="17.25" thickBot="1">
      <c r="A131" s="162" t="s">
        <v>122</v>
      </c>
      <c r="B131" s="126">
        <v>67.599999999999994</v>
      </c>
      <c r="C131" s="77">
        <v>-6.7586206900000001E-2</v>
      </c>
      <c r="D131" s="15">
        <v>68.599999999999994</v>
      </c>
      <c r="E131" s="32">
        <f t="shared" ref="E131:E134" si="66">IF(ISNUMBER(D131), (D131 - $B131) / $B131, "")</f>
        <v>1.4792899408284025E-2</v>
      </c>
      <c r="F131" s="18">
        <f>IF(ISNUMBER(D131), $B145 * E131, "")</f>
        <v>1479.2899408284025</v>
      </c>
      <c r="G131" s="31">
        <v>67.3</v>
      </c>
      <c r="H131" s="32">
        <f t="shared" ref="H131:H134" si="67">IF(ISNUMBER(G131), (G131 - $B131) / $B131, "")</f>
        <v>-4.4378698224851656E-3</v>
      </c>
      <c r="I131" s="101">
        <f>IF(ISNUMBER(G131), $B145 * H131, "")</f>
        <v>-443.78698224851655</v>
      </c>
      <c r="J131" s="15">
        <v>65.5</v>
      </c>
      <c r="K131" s="32">
        <f t="shared" ref="K131:K134" si="68">IF(ISNUMBER(J131), (J131 - $B131) / $B131, "")</f>
        <v>-3.1065088757396369E-2</v>
      </c>
      <c r="L131" s="18">
        <f>IF(ISNUMBER(J131), $B145 * K131, "")</f>
        <v>-3106.508875739637</v>
      </c>
      <c r="M131" s="31">
        <v>65.900000000000006</v>
      </c>
      <c r="N131" s="32">
        <f t="shared" ref="N131:N134" si="69">IF(ISNUMBER(M131), (M131 - $B131) / $B131, "")</f>
        <v>-2.5147928994082674E-2</v>
      </c>
      <c r="O131" s="18">
        <f>IF(ISNUMBER(M131), $B145 * N131, "")</f>
        <v>-2514.7928994082672</v>
      </c>
      <c r="Q131" s="235"/>
      <c r="R131" s="235"/>
      <c r="S131" s="235"/>
    </row>
    <row r="132" spans="1:19" ht="17.25" thickBot="1">
      <c r="A132" s="162" t="s">
        <v>228</v>
      </c>
      <c r="B132" s="126">
        <v>10.5</v>
      </c>
      <c r="C132" s="77">
        <v>-7.0796460199999994E-2</v>
      </c>
      <c r="D132" s="15">
        <v>10.7</v>
      </c>
      <c r="E132" s="32">
        <f t="shared" si="66"/>
        <v>1.904761904761898E-2</v>
      </c>
      <c r="F132" s="18">
        <f>IF(ISNUMBER(D132), $B145 * E132, "")</f>
        <v>1904.761904761898</v>
      </c>
      <c r="G132" s="31">
        <v>10.6</v>
      </c>
      <c r="H132" s="32">
        <f t="shared" si="67"/>
        <v>9.52380952380949E-3</v>
      </c>
      <c r="I132" s="101">
        <f>IF(ISNUMBER(G132), $B145 * H132, "")</f>
        <v>952.380952380949</v>
      </c>
      <c r="J132" s="15">
        <v>10.5</v>
      </c>
      <c r="K132" s="32">
        <f t="shared" si="68"/>
        <v>0</v>
      </c>
      <c r="L132" s="18">
        <f>IF(ISNUMBER(J132), $B145 * K132, "")</f>
        <v>0</v>
      </c>
      <c r="M132" s="31">
        <v>10.4</v>
      </c>
      <c r="N132" s="32">
        <f t="shared" si="69"/>
        <v>-9.52380952380949E-3</v>
      </c>
      <c r="O132" s="18">
        <f>IF(ISNUMBER(M132), $B145 * N132, "")</f>
        <v>-952.380952380949</v>
      </c>
      <c r="Q132" s="235"/>
      <c r="R132" s="235"/>
      <c r="S132" s="235"/>
    </row>
    <row r="133" spans="1:19" ht="17.25" thickBot="1">
      <c r="A133" s="162" t="s">
        <v>236</v>
      </c>
      <c r="B133" s="126">
        <v>51.8</v>
      </c>
      <c r="C133" s="77">
        <v>-7.3345259400000001E-2</v>
      </c>
      <c r="D133" s="15">
        <v>52.7</v>
      </c>
      <c r="E133" s="32">
        <f t="shared" si="66"/>
        <v>1.7374517374517486E-2</v>
      </c>
      <c r="F133" s="18">
        <f>IF(ISNUMBER(D133), $B145 * E133, "")</f>
        <v>1737.4517374517486</v>
      </c>
      <c r="G133" s="31">
        <v>51.8</v>
      </c>
      <c r="H133" s="32">
        <f t="shared" si="67"/>
        <v>0</v>
      </c>
      <c r="I133" s="101">
        <f>IF(ISNUMBER(G133), $B145 * H133, "")</f>
        <v>0</v>
      </c>
      <c r="J133" s="15">
        <v>50.9</v>
      </c>
      <c r="K133" s="32">
        <f t="shared" si="68"/>
        <v>-1.7374517374517347E-2</v>
      </c>
      <c r="L133" s="18">
        <f>IF(ISNUMBER(J133), $B145 * K133, "")</f>
        <v>-1737.4517374517347</v>
      </c>
      <c r="M133" s="31">
        <v>51.5</v>
      </c>
      <c r="N133" s="32">
        <f t="shared" si="69"/>
        <v>-5.7915057915057366E-3</v>
      </c>
      <c r="O133" s="18">
        <f>IF(ISNUMBER(M133), $B145 * N133, "")</f>
        <v>-579.15057915057366</v>
      </c>
      <c r="Q133" s="33"/>
      <c r="R133" s="33"/>
    </row>
    <row r="134" spans="1:19" ht="17.25" thickBot="1">
      <c r="A134" s="130" t="s">
        <v>266</v>
      </c>
      <c r="B134" s="131">
        <v>58</v>
      </c>
      <c r="C134" s="79">
        <v>-7.3482428099999997E-2</v>
      </c>
      <c r="D134" s="24">
        <v>61.3</v>
      </c>
      <c r="E134" s="25">
        <f t="shared" si="66"/>
        <v>5.6896551724137885E-2</v>
      </c>
      <c r="F134" s="104">
        <f>IF(ISNUMBER(D134), $B145 * E134, "")</f>
        <v>5689.6551724137889</v>
      </c>
      <c r="G134" s="102">
        <v>58</v>
      </c>
      <c r="H134" s="25">
        <f t="shared" si="67"/>
        <v>0</v>
      </c>
      <c r="I134" s="103">
        <f>IF(ISNUMBER(G134), $B145 * H134, "")</f>
        <v>0</v>
      </c>
      <c r="J134" s="24">
        <v>57.8</v>
      </c>
      <c r="K134" s="25">
        <f t="shared" si="68"/>
        <v>-3.4482758620690145E-3</v>
      </c>
      <c r="L134" s="104">
        <f>IF(ISNUMBER(J134), $B145 * K134, "")</f>
        <v>-344.82758620690146</v>
      </c>
      <c r="M134" s="102">
        <v>57.2</v>
      </c>
      <c r="N134" s="25">
        <f t="shared" si="69"/>
        <v>-1.3793103448275813E-2</v>
      </c>
      <c r="O134" s="104">
        <f>IF(ISNUMBER(M134), $B145 * N134, "")</f>
        <v>-1379.3103448275813</v>
      </c>
      <c r="Q134" s="236"/>
      <c r="R134" s="237"/>
      <c r="S134" s="238"/>
    </row>
    <row r="135" spans="1:19">
      <c r="A135" s="161" t="s">
        <v>214</v>
      </c>
      <c r="B135" s="124">
        <v>13.8</v>
      </c>
      <c r="C135" s="76">
        <v>-7.3825503400000006E-2</v>
      </c>
      <c r="D135" s="13">
        <v>14.2</v>
      </c>
      <c r="E135" s="14">
        <f>IF(ISNUMBER(D135), (D135 - $B135) / $B135, "")</f>
        <v>2.8985507246376708E-2</v>
      </c>
      <c r="F135" s="16">
        <f>IF(ISNUMBER(D135), $B145 * E135, "")</f>
        <v>2898.550724637671</v>
      </c>
      <c r="G135" s="29">
        <v>13.9</v>
      </c>
      <c r="H135" s="14">
        <f>IF(ISNUMBER(G135), (G135 - $B135) / $B135, "")</f>
        <v>7.246376811594177E-3</v>
      </c>
      <c r="I135" s="100">
        <f>IF(ISNUMBER(G135), $B145 * H135, "")</f>
        <v>724.63768115941775</v>
      </c>
      <c r="J135" s="13">
        <v>13.6</v>
      </c>
      <c r="K135" s="14">
        <f>IF(ISNUMBER(J135), (J135 - $B135) / $B135, "")</f>
        <v>-1.4492753623188482E-2</v>
      </c>
      <c r="L135" s="16">
        <f>IF(ISNUMBER(J135), $B145 * K135, "")</f>
        <v>-1449.2753623188482</v>
      </c>
      <c r="M135" s="29">
        <v>13.7</v>
      </c>
      <c r="N135" s="14">
        <f>IF(ISNUMBER(M135), (M135 - $B135) / $B135, "")</f>
        <v>-7.2463768115943053E-3</v>
      </c>
      <c r="O135" s="16">
        <f>IF(ISNUMBER(M135), $B145 * N135, "")</f>
        <v>-724.63768115943049</v>
      </c>
      <c r="Q135" s="239"/>
      <c r="R135" s="240"/>
      <c r="S135" s="241"/>
    </row>
    <row r="136" spans="1:19" ht="17.25" thickBot="1">
      <c r="A136" s="162" t="s">
        <v>268</v>
      </c>
      <c r="B136" s="126">
        <v>52.3</v>
      </c>
      <c r="C136" s="77">
        <v>-7.4336283200000006E-2</v>
      </c>
      <c r="D136" s="15">
        <v>53</v>
      </c>
      <c r="E136" s="32">
        <f t="shared" ref="E136:E139" si="70">IF(ISNUMBER(D136), (D136 - $B136) / $B136, "")</f>
        <v>1.3384321223709424E-2</v>
      </c>
      <c r="F136" s="18">
        <f>IF(ISNUMBER(D136), $B145 * E136, "")</f>
        <v>1338.4321223709424</v>
      </c>
      <c r="G136" s="31">
        <v>52.9</v>
      </c>
      <c r="H136" s="32">
        <f t="shared" ref="H136:H139" si="71">IF(ISNUMBER(G136), (G136 - $B136) / $B136, "")</f>
        <v>1.1472275334608059E-2</v>
      </c>
      <c r="I136" s="101">
        <f>IF(ISNUMBER(G136), $B145 * H136, "")</f>
        <v>1147.2275334608059</v>
      </c>
      <c r="J136" s="15">
        <v>51.7</v>
      </c>
      <c r="K136" s="32">
        <f t="shared" ref="K136:K139" si="72">IF(ISNUMBER(J136), (J136 - $B136) / $B136, "")</f>
        <v>-1.1472275334607922E-2</v>
      </c>
      <c r="L136" s="18">
        <f>IF(ISNUMBER(J136), $B145 * K136, "")</f>
        <v>-1147.2275334607921</v>
      </c>
      <c r="M136" s="31">
        <v>52.1</v>
      </c>
      <c r="N136" s="32">
        <f t="shared" ref="N136:N139" si="73">IF(ISNUMBER(M136), (M136 - $B136) / $B136, "")</f>
        <v>-3.8240917782025956E-3</v>
      </c>
      <c r="O136" s="18">
        <f>IF(ISNUMBER(M136), $B145 * N136, "")</f>
        <v>-382.40917782025957</v>
      </c>
      <c r="Q136" s="242"/>
      <c r="R136" s="243"/>
      <c r="S136" s="244"/>
    </row>
    <row r="137" spans="1:19" ht="17.25" thickBot="1">
      <c r="A137" s="162" t="s">
        <v>172</v>
      </c>
      <c r="B137" s="126">
        <v>14.9</v>
      </c>
      <c r="C137" s="77">
        <v>-7.4534161500000001E-2</v>
      </c>
      <c r="D137" s="15">
        <v>15.2</v>
      </c>
      <c r="E137" s="32">
        <f t="shared" si="70"/>
        <v>2.0134228187919392E-2</v>
      </c>
      <c r="F137" s="18">
        <f>IF(ISNUMBER(D137), $B145 * E137, "")</f>
        <v>2013.4228187919393</v>
      </c>
      <c r="G137" s="31">
        <v>15</v>
      </c>
      <c r="H137" s="32">
        <f t="shared" si="71"/>
        <v>6.7114093959731299E-3</v>
      </c>
      <c r="I137" s="101">
        <f>IF(ISNUMBER(G137), $B145 * H137, "")</f>
        <v>671.14093959731304</v>
      </c>
      <c r="J137" s="15">
        <v>14.9</v>
      </c>
      <c r="K137" s="32">
        <f t="shared" si="72"/>
        <v>0</v>
      </c>
      <c r="L137" s="18">
        <f>IF(ISNUMBER(J137), $B145 * K137, "")</f>
        <v>0</v>
      </c>
      <c r="M137" s="31">
        <v>15.2</v>
      </c>
      <c r="N137" s="32">
        <f t="shared" si="73"/>
        <v>2.0134228187919392E-2</v>
      </c>
      <c r="O137" s="18">
        <f>IF(ISNUMBER(M137), $B145 * N137, "")</f>
        <v>2013.4228187919393</v>
      </c>
      <c r="Q137" s="235"/>
      <c r="R137" s="235"/>
      <c r="S137" s="235"/>
    </row>
    <row r="138" spans="1:19" ht="17.25" thickBot="1">
      <c r="A138" s="162" t="s">
        <v>154</v>
      </c>
      <c r="B138" s="126">
        <v>10.9</v>
      </c>
      <c r="C138" s="77">
        <v>-7.6271186399999996E-2</v>
      </c>
      <c r="D138" s="15">
        <v>11.2</v>
      </c>
      <c r="E138" s="32">
        <f t="shared" si="70"/>
        <v>2.7522935779816415E-2</v>
      </c>
      <c r="F138" s="18">
        <f>IF(ISNUMBER(D138), $B145 * E138, "")</f>
        <v>2752.2935779816416</v>
      </c>
      <c r="G138" s="31">
        <v>10.9</v>
      </c>
      <c r="H138" s="32">
        <f t="shared" si="71"/>
        <v>0</v>
      </c>
      <c r="I138" s="101">
        <f>IF(ISNUMBER(G138), $B145 * H138, "")</f>
        <v>0</v>
      </c>
      <c r="J138" s="15">
        <v>10.8</v>
      </c>
      <c r="K138" s="32">
        <f t="shared" si="72"/>
        <v>-9.1743119266054721E-3</v>
      </c>
      <c r="L138" s="18">
        <f>IF(ISNUMBER(J138), $B145 * K138, "")</f>
        <v>-917.43119266054725</v>
      </c>
      <c r="M138" s="31">
        <v>10.9</v>
      </c>
      <c r="N138" s="32">
        <f t="shared" si="73"/>
        <v>0</v>
      </c>
      <c r="O138" s="18">
        <f>IF(ISNUMBER(M138), $B145 * N138, "")</f>
        <v>0</v>
      </c>
      <c r="Q138" s="245"/>
      <c r="R138" s="245"/>
      <c r="S138" s="245"/>
    </row>
    <row r="139" spans="1:19" ht="17.25" thickBot="1">
      <c r="A139" s="163" t="s">
        <v>220</v>
      </c>
      <c r="B139" s="128">
        <v>10.8</v>
      </c>
      <c r="C139" s="78">
        <v>-7.6923076899999998E-2</v>
      </c>
      <c r="D139" s="20">
        <v>11.1</v>
      </c>
      <c r="E139" s="21">
        <f t="shared" si="70"/>
        <v>2.7777777777777676E-2</v>
      </c>
      <c r="F139" s="22">
        <f>IF(ISNUMBER(D139), $B145 * E139, "")</f>
        <v>2777.7777777777674</v>
      </c>
      <c r="G139" s="30">
        <v>10.9</v>
      </c>
      <c r="H139" s="21">
        <f t="shared" si="71"/>
        <v>9.2592592592592258E-3</v>
      </c>
      <c r="I139" s="105">
        <f>IF(ISNUMBER(G139), $B145 * H139, "")</f>
        <v>925.92592592592257</v>
      </c>
      <c r="J139" s="20">
        <v>10.6</v>
      </c>
      <c r="K139" s="21">
        <f t="shared" si="72"/>
        <v>-1.8518518518518615E-2</v>
      </c>
      <c r="L139" s="22">
        <f>IF(ISNUMBER(J139), $B145 * K139, "")</f>
        <v>-1851.8518518518615</v>
      </c>
      <c r="M139" s="30">
        <v>10.8</v>
      </c>
      <c r="N139" s="21">
        <f t="shared" si="73"/>
        <v>0</v>
      </c>
      <c r="O139" s="22">
        <f>IF(ISNUMBER(M139), $B145 * N139, "")</f>
        <v>0</v>
      </c>
      <c r="Q139" s="245"/>
      <c r="R139" s="245"/>
      <c r="S139" s="245"/>
    </row>
    <row r="140" spans="1:19" ht="17.25" thickBot="1">
      <c r="A140" s="162" t="s">
        <v>152</v>
      </c>
      <c r="B140" s="129">
        <v>20.2</v>
      </c>
      <c r="C140" s="80">
        <v>-7.7625570800000002E-2</v>
      </c>
      <c r="D140" s="106">
        <v>22.5</v>
      </c>
      <c r="E140" s="107">
        <f>IF(ISNUMBER(D140), (D140 - $B140) / $B140, "")</f>
        <v>0.11386138613861391</v>
      </c>
      <c r="F140" s="108">
        <f>IF(ISNUMBER(D140), $B145 * E140, "")</f>
        <v>11386.138613861391</v>
      </c>
      <c r="G140" s="109">
        <v>22.2</v>
      </c>
      <c r="H140" s="107">
        <f>IF(ISNUMBER(G140), (G140 - $B140) / $B140, "")</f>
        <v>9.9009900990099015E-2</v>
      </c>
      <c r="I140" s="110">
        <f>IF(ISNUMBER(G140), $B145 * H140, "")</f>
        <v>9900.9900990099013</v>
      </c>
      <c r="J140" s="106">
        <v>21.5</v>
      </c>
      <c r="K140" s="107">
        <f>IF(ISNUMBER(J140), (J140 - $B140) / $B140, "")</f>
        <v>6.43564356435644E-2</v>
      </c>
      <c r="L140" s="108">
        <f>IF(ISNUMBER(J140), $B145 * K140, "")</f>
        <v>6435.64356435644</v>
      </c>
      <c r="M140" s="109">
        <v>22</v>
      </c>
      <c r="N140" s="107">
        <f>IF(ISNUMBER(M140), (M140 - $B140) / $B140, "")</f>
        <v>8.9108910891089146E-2</v>
      </c>
      <c r="O140" s="108">
        <f>IF(ISNUMBER(M140), $B145 * N140, "")</f>
        <v>8910.8910891089145</v>
      </c>
      <c r="Q140" s="235"/>
      <c r="R140" s="235"/>
      <c r="S140" s="235"/>
    </row>
    <row r="141" spans="1:19" ht="17.25" thickBot="1">
      <c r="A141" s="162" t="s">
        <v>65</v>
      </c>
      <c r="B141" s="126">
        <v>37.9</v>
      </c>
      <c r="C141" s="77">
        <v>-7.7858880800000002E-2</v>
      </c>
      <c r="D141" s="15">
        <v>38.5</v>
      </c>
      <c r="E141" s="32">
        <f t="shared" ref="E141:E144" si="74">IF(ISNUMBER(D141), (D141 - $B141) / $B141, "")</f>
        <v>1.5831134564643839E-2</v>
      </c>
      <c r="F141" s="18">
        <f>IF(ISNUMBER(D141), $B145 * E141, "")</f>
        <v>1583.1134564643839</v>
      </c>
      <c r="G141" s="31">
        <v>37.5</v>
      </c>
      <c r="H141" s="32">
        <f t="shared" ref="H141:H144" si="75">IF(ISNUMBER(G141), (G141 - $B141) / $B141, "")</f>
        <v>-1.0554089709762496E-2</v>
      </c>
      <c r="I141" s="101">
        <f>IF(ISNUMBER(G141), $B145 * H141, "")</f>
        <v>-1055.4089709762495</v>
      </c>
      <c r="J141" s="15">
        <v>36.5</v>
      </c>
      <c r="K141" s="32">
        <f t="shared" ref="K141:K144" si="76">IF(ISNUMBER(J141), (J141 - $B141) / $B141, "")</f>
        <v>-3.6939313984168831E-2</v>
      </c>
      <c r="L141" s="18">
        <f>IF(ISNUMBER(J141), $B145 * K141, "")</f>
        <v>-3693.931398416883</v>
      </c>
      <c r="M141" s="31">
        <v>36.6</v>
      </c>
      <c r="N141" s="32">
        <f t="shared" ref="N141:N144" si="77">IF(ISNUMBER(M141), (M141 - $B141) / $B141, "")</f>
        <v>-3.4300791556728161E-2</v>
      </c>
      <c r="O141" s="18">
        <f>IF(ISNUMBER(M141), $B145 * N141, "")</f>
        <v>-3430.0791556728159</v>
      </c>
      <c r="Q141" s="235"/>
      <c r="R141" s="235"/>
      <c r="S141" s="235"/>
    </row>
    <row r="142" spans="1:19" ht="17.25" thickBot="1">
      <c r="A142" s="162" t="s">
        <v>126</v>
      </c>
      <c r="B142" s="126">
        <v>28.8</v>
      </c>
      <c r="C142" s="77">
        <v>-7.9872204500000002E-2</v>
      </c>
      <c r="D142" s="15">
        <v>29.2</v>
      </c>
      <c r="E142" s="32">
        <f t="shared" si="74"/>
        <v>1.388888888888884E-2</v>
      </c>
      <c r="F142" s="18">
        <f>IF(ISNUMBER(D142), $B145 * E142, "")</f>
        <v>1388.8888888888839</v>
      </c>
      <c r="G142" s="31">
        <v>28.6</v>
      </c>
      <c r="H142" s="32">
        <f t="shared" si="75"/>
        <v>-6.9444444444444198E-3</v>
      </c>
      <c r="I142" s="101">
        <f>IF(ISNUMBER(G142), $B145 * H142, "")</f>
        <v>-694.44444444444196</v>
      </c>
      <c r="J142" s="15">
        <v>27.9</v>
      </c>
      <c r="K142" s="32">
        <f t="shared" si="76"/>
        <v>-3.1250000000000076E-2</v>
      </c>
      <c r="L142" s="18">
        <f>IF(ISNUMBER(J142), $B145 * K142, "")</f>
        <v>-3125.0000000000077</v>
      </c>
      <c r="M142" s="31">
        <v>27.7</v>
      </c>
      <c r="N142" s="32">
        <f t="shared" si="77"/>
        <v>-3.8194444444444496E-2</v>
      </c>
      <c r="O142" s="18">
        <f>IF(ISNUMBER(M142), $B145 * N142, "")</f>
        <v>-3819.4444444444498</v>
      </c>
      <c r="Q142" s="235"/>
      <c r="R142" s="235"/>
      <c r="S142" s="235"/>
    </row>
    <row r="143" spans="1:19">
      <c r="A143" s="162" t="s">
        <v>264</v>
      </c>
      <c r="B143" s="126">
        <v>87.9</v>
      </c>
      <c r="C143" s="77">
        <v>-8.1504702200000001E-2</v>
      </c>
      <c r="D143" s="15">
        <v>89.3</v>
      </c>
      <c r="E143" s="32">
        <f t="shared" si="74"/>
        <v>1.5927189988623337E-2</v>
      </c>
      <c r="F143" s="18">
        <f>IF(ISNUMBER(D143), $B145 * E143, "")</f>
        <v>1592.7189988623338</v>
      </c>
      <c r="G143" s="31">
        <v>87.7</v>
      </c>
      <c r="H143" s="32">
        <f t="shared" si="75"/>
        <v>-2.2753128555176656E-3</v>
      </c>
      <c r="I143" s="101">
        <f>IF(ISNUMBER(G143), $B145 * H143, "")</f>
        <v>-227.53128555176656</v>
      </c>
      <c r="J143" s="15">
        <v>85.3</v>
      </c>
      <c r="K143" s="32">
        <f t="shared" si="76"/>
        <v>-2.9579067121729332E-2</v>
      </c>
      <c r="L143" s="18">
        <f>IF(ISNUMBER(J143), $B145 * K143, "")</f>
        <v>-2957.9067121729331</v>
      </c>
      <c r="M143" s="31">
        <v>85.7</v>
      </c>
      <c r="N143" s="32">
        <f t="shared" si="77"/>
        <v>-2.5028441410694002E-2</v>
      </c>
      <c r="O143" s="18">
        <f>IF(ISNUMBER(M143), $B145 * N143, "")</f>
        <v>-2502.8441410693999</v>
      </c>
      <c r="Q143" s="224"/>
      <c r="R143" s="225"/>
      <c r="S143" s="226"/>
    </row>
    <row r="144" spans="1:19" ht="17.25" thickBot="1">
      <c r="A144" s="130" t="s">
        <v>72</v>
      </c>
      <c r="B144" s="131">
        <v>21.1</v>
      </c>
      <c r="C144" s="79">
        <v>-8.6580086599999995E-2</v>
      </c>
      <c r="D144" s="24">
        <v>21.3</v>
      </c>
      <c r="E144" s="25">
        <f t="shared" si="74"/>
        <v>9.4786729857819566E-3</v>
      </c>
      <c r="F144" s="104">
        <f>IF(ISNUMBER(D144), $B145 * E144, "")</f>
        <v>947.86729857819569</v>
      </c>
      <c r="G144" s="102">
        <v>21.1</v>
      </c>
      <c r="H144" s="25">
        <f t="shared" si="75"/>
        <v>0</v>
      </c>
      <c r="I144" s="103">
        <f>IF(ISNUMBER(G144), $B145 * H144, "")</f>
        <v>0</v>
      </c>
      <c r="J144" s="24">
        <v>20.7</v>
      </c>
      <c r="K144" s="25">
        <f t="shared" si="76"/>
        <v>-1.895734597156408E-2</v>
      </c>
      <c r="L144" s="104">
        <f>IF(ISNUMBER(J144), $B145 * K144, "")</f>
        <v>-1895.734597156408</v>
      </c>
      <c r="M144" s="102">
        <v>20.6</v>
      </c>
      <c r="N144" s="25">
        <f t="shared" si="77"/>
        <v>-2.3696682464454975E-2</v>
      </c>
      <c r="O144" s="104">
        <f>IF(ISNUMBER(M144), $B145 * N144, "")</f>
        <v>-2369.6682464454975</v>
      </c>
      <c r="Q144" s="227"/>
      <c r="R144" s="228"/>
      <c r="S144" s="229"/>
    </row>
    <row r="145" spans="1:19" ht="17.25" thickBot="1">
      <c r="A145" s="132" t="s">
        <v>300</v>
      </c>
      <c r="B145" s="288">
        <f>$B$37</f>
        <v>100000</v>
      </c>
      <c r="C145" s="289"/>
      <c r="D145" s="26" t="s">
        <v>301</v>
      </c>
      <c r="E145" s="27">
        <f>IF(COUNT(E125:E144), SUM(E125:E144) / COUNT(E125:E144), 0)</f>
        <v>2.576318933935462E-2</v>
      </c>
      <c r="F145" s="28">
        <f>SUM(F125:F144)</f>
        <v>51526.378678709247</v>
      </c>
      <c r="G145" s="26" t="s">
        <v>301</v>
      </c>
      <c r="H145" s="27">
        <f>IF(COUNT(H125:H144), SUM(H125:H144) / COUNT(H125:H144), 0)</f>
        <v>9.7807064596993534E-3</v>
      </c>
      <c r="I145" s="28">
        <f>SUM(I125:I144)</f>
        <v>19561.41291939871</v>
      </c>
      <c r="J145" s="26" t="s">
        <v>301</v>
      </c>
      <c r="K145" s="27">
        <f>IF(COUNT(K125:K144), SUM(K125:K144) / COUNT(K125:K144), 0)</f>
        <v>-6.3464349280749396E-3</v>
      </c>
      <c r="L145" s="28">
        <f>SUM(L125:L144)</f>
        <v>-12692.869856149879</v>
      </c>
      <c r="M145" s="26" t="s">
        <v>301</v>
      </c>
      <c r="N145" s="27">
        <f>IF(COUNT(N125:N144), SUM(N125:N144) / COUNT(N125:N144), 0)</f>
        <v>-4.2071946417932358E-3</v>
      </c>
      <c r="O145" s="28">
        <f>SUM(O125:O144)</f>
        <v>-8414.3892835864699</v>
      </c>
      <c r="Q145" s="230"/>
      <c r="R145" s="231"/>
      <c r="S145" s="232"/>
    </row>
    <row r="147" spans="1:19" ht="17.25" thickBot="1"/>
    <row r="148" spans="1:19" ht="17.25" thickBot="1">
      <c r="A148" s="246" t="s">
        <v>289</v>
      </c>
      <c r="B148" s="247"/>
      <c r="C148" s="247"/>
      <c r="D148" s="247"/>
      <c r="E148" s="247"/>
      <c r="F148" s="247"/>
      <c r="G148" s="247"/>
      <c r="H148" s="247"/>
      <c r="I148" s="247"/>
      <c r="J148" s="247"/>
      <c r="K148" s="247"/>
      <c r="L148" s="247"/>
      <c r="M148" s="247"/>
      <c r="N148" s="247"/>
      <c r="O148" s="248"/>
      <c r="Q148" s="245"/>
      <c r="R148" s="245"/>
      <c r="S148" s="245"/>
    </row>
    <row r="149" spans="1:19" ht="17.25" thickBot="1">
      <c r="A149" s="176" t="s">
        <v>297</v>
      </c>
      <c r="B149" s="246" t="s">
        <v>49</v>
      </c>
      <c r="C149" s="248"/>
      <c r="D149" s="246" t="s">
        <v>58</v>
      </c>
      <c r="E149" s="247"/>
      <c r="F149" s="248"/>
      <c r="G149" s="249">
        <f>_xlfn.IFNA(VLOOKUP(B149, 현재가테이블!$B$2:$D$200, 2, FALSE), "-")</f>
        <v>45335000</v>
      </c>
      <c r="H149" s="250"/>
      <c r="I149" s="251"/>
      <c r="J149" s="246" t="s">
        <v>59</v>
      </c>
      <c r="K149" s="247"/>
      <c r="L149" s="248"/>
      <c r="M149" s="252">
        <f>_xlfn.IFNA(VLOOKUP(B149, 현재가테이블!$B$2:$D$200, 3, FALSE), "-")</f>
        <v>-2.27209037E-2</v>
      </c>
      <c r="N149" s="253"/>
      <c r="O149" s="254"/>
      <c r="Q149" s="245"/>
      <c r="R149" s="245"/>
      <c r="S149" s="245"/>
    </row>
    <row r="150" spans="1:19" ht="17.25" thickBot="1">
      <c r="A150" s="290" t="s">
        <v>55</v>
      </c>
      <c r="B150" s="286" t="str">
        <f>TEXT($G$1, "[$-ko-KR]yyyy-mm-dd(ddd) ") &amp; "오전 00:00"</f>
        <v>2021-06-05(토) 오전 00:00</v>
      </c>
      <c r="C150" s="287"/>
      <c r="D150" s="259" t="str">
        <f>TEXT($G$1, "[$-ko-KR]yyyy-mm-dd(ddd) ") &amp; "오후 14:00"</f>
        <v>2021-06-05(토) 오후 14:00</v>
      </c>
      <c r="E150" s="260"/>
      <c r="F150" s="261"/>
      <c r="G150" s="259" t="str">
        <f>TEXT($G$1, "[$-ko-KR]yyyy-mm-dd(ddd) ") &amp; "오후 19:00"</f>
        <v>2021-06-05(토) 오후 19:00</v>
      </c>
      <c r="H150" s="260"/>
      <c r="I150" s="261"/>
      <c r="J150" s="259" t="str">
        <f>TEXT($G$1, "[$-ko-KR]yyyy-mm-dd(ddd) ") &amp; "오후 21:00"</f>
        <v>2021-06-05(토) 오후 21:00</v>
      </c>
      <c r="K150" s="260"/>
      <c r="L150" s="261"/>
      <c r="M150" s="259" t="str">
        <f>TEXT($G$1+1, "[$-ko-KR]yyyy-mm-dd(ddd) ") &amp; "오전 00:00"</f>
        <v>2021-06-06(일) 오전 00:00</v>
      </c>
      <c r="N150" s="260"/>
      <c r="O150" s="261"/>
      <c r="Q150" s="245"/>
      <c r="R150" s="245"/>
      <c r="S150" s="245"/>
    </row>
    <row r="151" spans="1:19" ht="17.25" thickBot="1">
      <c r="A151" s="291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77" t="s">
        <v>58</v>
      </c>
      <c r="H151" s="178" t="s">
        <v>298</v>
      </c>
      <c r="I151" s="179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5"/>
      <c r="R151" s="235"/>
      <c r="S151" s="235"/>
    </row>
    <row r="152" spans="1:19" ht="17.25" thickBot="1">
      <c r="A152" s="161" t="s">
        <v>296</v>
      </c>
      <c r="B152" s="124">
        <v>431</v>
      </c>
      <c r="C152" s="76">
        <v>-7.3118279600000002E-2</v>
      </c>
      <c r="D152" s="13">
        <v>444</v>
      </c>
      <c r="E152" s="14">
        <f>IF(ISNUMBER(D152), (D152 - $B152) / $B152, "")</f>
        <v>3.0162412993039442E-2</v>
      </c>
      <c r="F152" s="16">
        <f>IF(ISNUMBER(D152), $B172 * E152, "")</f>
        <v>3016.2412993039443</v>
      </c>
      <c r="G152" s="29">
        <v>440</v>
      </c>
      <c r="H152" s="14">
        <f>IF(ISNUMBER(G152), (G152 - $B152) / $B152, "")</f>
        <v>2.0881670533642691E-2</v>
      </c>
      <c r="I152" s="100">
        <f>IF(ISNUMBER(G152), $B172 * H152, "")</f>
        <v>2088.1670533642691</v>
      </c>
      <c r="J152" s="13">
        <v>427</v>
      </c>
      <c r="K152" s="14">
        <f>IF(ISNUMBER(J152), (J152 - $B152) / $B152, "")</f>
        <v>-9.2807424593967514E-3</v>
      </c>
      <c r="L152" s="16">
        <f>IF(ISNUMBER(J152), $B172 * K152, "")</f>
        <v>-928.07424593967517</v>
      </c>
      <c r="M152" s="29">
        <v>440</v>
      </c>
      <c r="N152" s="14">
        <f>IF(ISNUMBER(M152), (M152 - $B152) / $B152, "")</f>
        <v>2.0881670533642691E-2</v>
      </c>
      <c r="O152" s="16">
        <f>IF(ISNUMBER(M152), $B172 * N152, "")</f>
        <v>2088.1670533642691</v>
      </c>
      <c r="Q152" s="245"/>
      <c r="R152" s="245"/>
      <c r="S152" s="245"/>
    </row>
    <row r="153" spans="1:19" ht="17.25" thickBot="1">
      <c r="A153" s="162" t="s">
        <v>182</v>
      </c>
      <c r="B153" s="126">
        <v>295</v>
      </c>
      <c r="C153" s="77">
        <v>-7.5235109699999997E-2</v>
      </c>
      <c r="D153" s="15">
        <v>299</v>
      </c>
      <c r="E153" s="32">
        <f t="shared" ref="E153:E156" si="78">IF(ISNUMBER(D153), (D153 - $B153) / $B153, "")</f>
        <v>1.3559322033898305E-2</v>
      </c>
      <c r="F153" s="18">
        <f>IF(ISNUMBER(D153), $B172 * E153, "")</f>
        <v>1355.9322033898304</v>
      </c>
      <c r="G153" s="31">
        <v>292</v>
      </c>
      <c r="H153" s="32">
        <f t="shared" ref="H153:H156" si="79">IF(ISNUMBER(G153), (G153 - $B153) / $B153, "")</f>
        <v>-1.0169491525423728E-2</v>
      </c>
      <c r="I153" s="101">
        <f>IF(ISNUMBER(G153), $B172 * H153, "")</f>
        <v>-1016.9491525423728</v>
      </c>
      <c r="J153" s="15">
        <v>288</v>
      </c>
      <c r="K153" s="32">
        <f t="shared" ref="K153:K156" si="80">IF(ISNUMBER(J153), (J153 - $B153) / $B153, "")</f>
        <v>-2.3728813559322035E-2</v>
      </c>
      <c r="L153" s="18">
        <f>IF(ISNUMBER(J153), $B172 * K153, "")</f>
        <v>-2372.8813559322034</v>
      </c>
      <c r="M153" s="31">
        <v>289</v>
      </c>
      <c r="N153" s="32">
        <f t="shared" ref="N153:N156" si="81">IF(ISNUMBER(M153), (M153 - $B153) / $B153, "")</f>
        <v>-2.0338983050847456E-2</v>
      </c>
      <c r="O153" s="18">
        <f>IF(ISNUMBER(M153), $B172 * N153, "")</f>
        <v>-2033.8983050847455</v>
      </c>
      <c r="Q153" s="245"/>
      <c r="R153" s="245"/>
      <c r="S153" s="245"/>
    </row>
    <row r="154" spans="1:19" ht="17.25" thickBot="1">
      <c r="A154" s="162" t="s">
        <v>238</v>
      </c>
      <c r="B154" s="126">
        <v>183</v>
      </c>
      <c r="C154" s="77">
        <v>-7.5757575800000004E-2</v>
      </c>
      <c r="D154" s="15">
        <v>187</v>
      </c>
      <c r="E154" s="32">
        <f t="shared" si="78"/>
        <v>2.185792349726776E-2</v>
      </c>
      <c r="F154" s="18">
        <f>IF(ISNUMBER(D154), $B172 * E154, "")</f>
        <v>2185.7923497267761</v>
      </c>
      <c r="G154" s="31">
        <v>184</v>
      </c>
      <c r="H154" s="32">
        <f t="shared" si="79"/>
        <v>5.4644808743169399E-3</v>
      </c>
      <c r="I154" s="101">
        <f>IF(ISNUMBER(G154), $B172 * H154, "")</f>
        <v>546.44808743169403</v>
      </c>
      <c r="J154" s="15">
        <v>180</v>
      </c>
      <c r="K154" s="32">
        <f t="shared" si="80"/>
        <v>-1.6393442622950821E-2</v>
      </c>
      <c r="L154" s="18">
        <f>IF(ISNUMBER(J154), $B172 * K154, "")</f>
        <v>-1639.344262295082</v>
      </c>
      <c r="M154" s="31">
        <v>183</v>
      </c>
      <c r="N154" s="32">
        <f t="shared" si="81"/>
        <v>0</v>
      </c>
      <c r="O154" s="18">
        <f>IF(ISNUMBER(M154), $B172 * N154, "")</f>
        <v>0</v>
      </c>
      <c r="Q154" s="235"/>
      <c r="R154" s="235"/>
      <c r="S154" s="235"/>
    </row>
    <row r="155" spans="1:19" ht="17.25" thickBot="1">
      <c r="A155" s="162" t="s">
        <v>250</v>
      </c>
      <c r="B155" s="126">
        <v>121</v>
      </c>
      <c r="C155" s="77">
        <v>-7.6335877900000002E-2</v>
      </c>
      <c r="D155" s="15">
        <v>119</v>
      </c>
      <c r="E155" s="32">
        <f t="shared" si="78"/>
        <v>-1.6528925619834711E-2</v>
      </c>
      <c r="F155" s="18">
        <f>IF(ISNUMBER(D155), $B172 * E155, "")</f>
        <v>-1652.8925619834711</v>
      </c>
      <c r="G155" s="31">
        <v>118</v>
      </c>
      <c r="H155" s="32">
        <f t="shared" si="79"/>
        <v>-2.4793388429752067E-2</v>
      </c>
      <c r="I155" s="101">
        <f>IF(ISNUMBER(G155), $B172 * H155, "")</f>
        <v>-2479.3388429752067</v>
      </c>
      <c r="J155" s="15">
        <v>116</v>
      </c>
      <c r="K155" s="32">
        <f t="shared" si="80"/>
        <v>-4.1322314049586778E-2</v>
      </c>
      <c r="L155" s="18">
        <f>IF(ISNUMBER(J155), $B172 * K155, "")</f>
        <v>-4132.2314049586776</v>
      </c>
      <c r="M155" s="31">
        <v>117</v>
      </c>
      <c r="N155" s="32">
        <f t="shared" si="81"/>
        <v>-3.3057851239669422E-2</v>
      </c>
      <c r="O155" s="18">
        <f>IF(ISNUMBER(M155), $B172 * N155, "")</f>
        <v>-3305.7851239669421</v>
      </c>
      <c r="Q155" s="235"/>
      <c r="R155" s="235"/>
      <c r="S155" s="235"/>
    </row>
    <row r="156" spans="1:19" ht="17.25" thickBot="1">
      <c r="A156" s="163" t="s">
        <v>216</v>
      </c>
      <c r="B156" s="128">
        <v>278</v>
      </c>
      <c r="C156" s="78">
        <v>-7.6411960099999995E-2</v>
      </c>
      <c r="D156" s="20">
        <v>283</v>
      </c>
      <c r="E156" s="21">
        <f t="shared" si="78"/>
        <v>1.7985611510791366E-2</v>
      </c>
      <c r="F156" s="22">
        <f>IF(ISNUMBER(D156), $B172 * E156, "")</f>
        <v>1798.5611510791366</v>
      </c>
      <c r="G156" s="30">
        <v>276</v>
      </c>
      <c r="H156" s="21">
        <f t="shared" si="79"/>
        <v>-7.1942446043165471E-3</v>
      </c>
      <c r="I156" s="105">
        <f>IF(ISNUMBER(G156), $B172 * H156, "")</f>
        <v>-719.42446043165467</v>
      </c>
      <c r="J156" s="20">
        <v>271</v>
      </c>
      <c r="K156" s="21">
        <f t="shared" si="80"/>
        <v>-2.5179856115107913E-2</v>
      </c>
      <c r="L156" s="22">
        <f>IF(ISNUMBER(J156), $B172 * K156, "")</f>
        <v>-2517.9856115107914</v>
      </c>
      <c r="M156" s="30">
        <v>275</v>
      </c>
      <c r="N156" s="21">
        <f t="shared" si="81"/>
        <v>-1.0791366906474821E-2</v>
      </c>
      <c r="O156" s="22">
        <f>IF(ISNUMBER(M156), $B172 * N156, "")</f>
        <v>-1079.1366906474821</v>
      </c>
      <c r="Q156" s="235"/>
      <c r="R156" s="235"/>
      <c r="S156" s="235"/>
    </row>
    <row r="157" spans="1:19" ht="17.25" thickBot="1">
      <c r="A157" s="162" t="s">
        <v>234</v>
      </c>
      <c r="B157" s="129">
        <v>825</v>
      </c>
      <c r="C157" s="80">
        <v>-7.8212290500000003E-2</v>
      </c>
      <c r="D157" s="106">
        <v>836</v>
      </c>
      <c r="E157" s="107">
        <f>IF(ISNUMBER(D157), (D157 - $B157) / $B157, "")</f>
        <v>1.3333333333333334E-2</v>
      </c>
      <c r="F157" s="108">
        <f>IF(ISNUMBER(D157), $B172 * E157, "")</f>
        <v>1333.3333333333335</v>
      </c>
      <c r="G157" s="109">
        <v>832</v>
      </c>
      <c r="H157" s="107">
        <f>IF(ISNUMBER(G157), (G157 - $B157) / $B157, "")</f>
        <v>8.4848484848484857E-3</v>
      </c>
      <c r="I157" s="110">
        <f>IF(ISNUMBER(G157), $B172 * H157, "")</f>
        <v>848.48484848484861</v>
      </c>
      <c r="J157" s="106">
        <v>816</v>
      </c>
      <c r="K157" s="107">
        <f>IF(ISNUMBER(J157), (J157 - $B157) / $B157, "")</f>
        <v>-1.090909090909091E-2</v>
      </c>
      <c r="L157" s="108">
        <f>IF(ISNUMBER(J157), $B172 * K157, "")</f>
        <v>-1090.909090909091</v>
      </c>
      <c r="M157" s="109">
        <v>819</v>
      </c>
      <c r="N157" s="107">
        <f>IF(ISNUMBER(M157), (M157 - $B157) / $B157, "")</f>
        <v>-7.2727272727272727E-3</v>
      </c>
      <c r="O157" s="108">
        <f>IF(ISNUMBER(M157), $B172 * N157, "")</f>
        <v>-727.27272727272725</v>
      </c>
      <c r="Q157" s="235"/>
      <c r="R157" s="235"/>
      <c r="S157" s="235"/>
    </row>
    <row r="158" spans="1:19" ht="17.25" thickBot="1">
      <c r="A158" s="162" t="s">
        <v>284</v>
      </c>
      <c r="B158" s="126">
        <v>257</v>
      </c>
      <c r="C158" s="77">
        <v>-7.8853046600000004E-2</v>
      </c>
      <c r="D158" s="15">
        <v>260</v>
      </c>
      <c r="E158" s="32">
        <f t="shared" ref="E158:E161" si="82">IF(ISNUMBER(D158), (D158 - $B158) / $B158, "")</f>
        <v>1.1673151750972763E-2</v>
      </c>
      <c r="F158" s="18">
        <f>IF(ISNUMBER(D158), $B172 * E158, "")</f>
        <v>1167.3151750972763</v>
      </c>
      <c r="G158" s="31">
        <v>256</v>
      </c>
      <c r="H158" s="32">
        <f t="shared" ref="H158:H161" si="83">IF(ISNUMBER(G158), (G158 - $B158) / $B158, "")</f>
        <v>-3.8910505836575876E-3</v>
      </c>
      <c r="I158" s="101">
        <f>IF(ISNUMBER(G158), $B172 * H158, "")</f>
        <v>-389.10505836575874</v>
      </c>
      <c r="J158" s="15">
        <v>252</v>
      </c>
      <c r="K158" s="32">
        <f t="shared" ref="K158:K161" si="84">IF(ISNUMBER(J158), (J158 - $B158) / $B158, "")</f>
        <v>-1.9455252918287938E-2</v>
      </c>
      <c r="L158" s="18">
        <f>IF(ISNUMBER(J158), $B172 * K158, "")</f>
        <v>-1945.5252918287938</v>
      </c>
      <c r="M158" s="31">
        <v>252</v>
      </c>
      <c r="N158" s="32">
        <f t="shared" ref="N158:N161" si="85">IF(ISNUMBER(M158), (M158 - $B158) / $B158, "")</f>
        <v>-1.9455252918287938E-2</v>
      </c>
      <c r="O158" s="18">
        <f>IF(ISNUMBER(M158), $B172 * N158, "")</f>
        <v>-1945.5252918287938</v>
      </c>
      <c r="Q158" s="235"/>
      <c r="R158" s="235"/>
      <c r="S158" s="235"/>
    </row>
    <row r="159" spans="1:19" ht="17.25" thickBot="1">
      <c r="A159" s="162" t="s">
        <v>88</v>
      </c>
      <c r="B159" s="126">
        <v>315</v>
      </c>
      <c r="C159" s="77">
        <v>-7.8947368399999995E-2</v>
      </c>
      <c r="D159" s="15">
        <v>322</v>
      </c>
      <c r="E159" s="32">
        <f t="shared" si="82"/>
        <v>2.2222222222222223E-2</v>
      </c>
      <c r="F159" s="18">
        <f>IF(ISNUMBER(D159), $B172 * E159, "")</f>
        <v>2222.2222222222222</v>
      </c>
      <c r="G159" s="31">
        <v>313</v>
      </c>
      <c r="H159" s="32">
        <f t="shared" si="83"/>
        <v>-6.3492063492063492E-3</v>
      </c>
      <c r="I159" s="101">
        <f>IF(ISNUMBER(G159), $B172 * H159, "")</f>
        <v>-634.92063492063494</v>
      </c>
      <c r="J159" s="15">
        <v>305</v>
      </c>
      <c r="K159" s="32">
        <f t="shared" si="84"/>
        <v>-3.1746031746031744E-2</v>
      </c>
      <c r="L159" s="18">
        <f>IF(ISNUMBER(J159), $B172 * K159, "")</f>
        <v>-3174.6031746031745</v>
      </c>
      <c r="M159" s="31">
        <v>307</v>
      </c>
      <c r="N159" s="32">
        <f t="shared" si="85"/>
        <v>-2.5396825396825397E-2</v>
      </c>
      <c r="O159" s="18">
        <f>IF(ISNUMBER(M159), $B172 * N159, "")</f>
        <v>-2539.6825396825398</v>
      </c>
      <c r="Q159" s="235"/>
      <c r="R159" s="235"/>
      <c r="S159" s="235"/>
    </row>
    <row r="160" spans="1:19" ht="17.25" thickBot="1">
      <c r="A160" s="162" t="s">
        <v>57</v>
      </c>
      <c r="B160" s="126">
        <v>220</v>
      </c>
      <c r="C160" s="77">
        <v>-7.9497907899999998E-2</v>
      </c>
      <c r="D160" s="15">
        <v>221</v>
      </c>
      <c r="E160" s="32">
        <f t="shared" si="82"/>
        <v>4.5454545454545452E-3</v>
      </c>
      <c r="F160" s="18">
        <f>IF(ISNUMBER(D160), $B172 * E160, "")</f>
        <v>454.5454545454545</v>
      </c>
      <c r="G160" s="31">
        <v>215</v>
      </c>
      <c r="H160" s="32">
        <f t="shared" si="83"/>
        <v>-2.2727272727272728E-2</v>
      </c>
      <c r="I160" s="101">
        <f>IF(ISNUMBER(G160), $B172 * H160, "")</f>
        <v>-2272.727272727273</v>
      </c>
      <c r="J160" s="15">
        <v>211</v>
      </c>
      <c r="K160" s="32">
        <f t="shared" si="84"/>
        <v>-4.0909090909090909E-2</v>
      </c>
      <c r="L160" s="18">
        <f>IF(ISNUMBER(J160), $B172 * K160, "")</f>
        <v>-4090.909090909091</v>
      </c>
      <c r="M160" s="31">
        <v>213</v>
      </c>
      <c r="N160" s="32">
        <f t="shared" si="85"/>
        <v>-3.1818181818181815E-2</v>
      </c>
      <c r="O160" s="18">
        <f>IF(ISNUMBER(M160), $B172 * N160, "")</f>
        <v>-3181.8181818181815</v>
      </c>
      <c r="Q160" s="33"/>
      <c r="R160" s="33"/>
    </row>
    <row r="161" spans="1:19" ht="17.25" thickBot="1">
      <c r="A161" s="130" t="s">
        <v>61</v>
      </c>
      <c r="B161" s="131">
        <v>948</v>
      </c>
      <c r="C161" s="79">
        <v>-7.9611650500000006E-2</v>
      </c>
      <c r="D161" s="24">
        <v>985</v>
      </c>
      <c r="E161" s="25">
        <f t="shared" si="82"/>
        <v>3.9029535864978905E-2</v>
      </c>
      <c r="F161" s="104">
        <f>IF(ISNUMBER(D161), $B172 * E161, "")</f>
        <v>3902.9535864978907</v>
      </c>
      <c r="G161" s="102">
        <v>974</v>
      </c>
      <c r="H161" s="25">
        <f t="shared" si="83"/>
        <v>2.7426160337552744E-2</v>
      </c>
      <c r="I161" s="103">
        <f>IF(ISNUMBER(G161), $B172 * H161, "")</f>
        <v>2742.6160337552742</v>
      </c>
      <c r="J161" s="24">
        <v>949</v>
      </c>
      <c r="K161" s="25">
        <f t="shared" si="84"/>
        <v>1.0548523206751054E-3</v>
      </c>
      <c r="L161" s="104">
        <f>IF(ISNUMBER(J161), $B172 * K161, "")</f>
        <v>105.48523206751054</v>
      </c>
      <c r="M161" s="102">
        <v>958</v>
      </c>
      <c r="N161" s="25">
        <f t="shared" si="85"/>
        <v>1.0548523206751054E-2</v>
      </c>
      <c r="O161" s="104">
        <f>IF(ISNUMBER(M161), $B172 * N161, "")</f>
        <v>1054.8523206751054</v>
      </c>
      <c r="Q161" s="236"/>
      <c r="R161" s="237"/>
      <c r="S161" s="238"/>
    </row>
    <row r="162" spans="1:19">
      <c r="A162" s="161" t="s">
        <v>232</v>
      </c>
      <c r="B162" s="124">
        <v>115</v>
      </c>
      <c r="C162" s="76">
        <v>-0.08</v>
      </c>
      <c r="D162" s="13">
        <v>115</v>
      </c>
      <c r="E162" s="14">
        <f>IF(ISNUMBER(D162), (D162 - $B162) / $B162, "")</f>
        <v>0</v>
      </c>
      <c r="F162" s="16">
        <f>IF(ISNUMBER(D162), $B172 * E162, "")</f>
        <v>0</v>
      </c>
      <c r="G162" s="29">
        <v>116</v>
      </c>
      <c r="H162" s="14">
        <f>IF(ISNUMBER(G162), (G162 - $B162) / $B162, "")</f>
        <v>8.6956521739130436E-3</v>
      </c>
      <c r="I162" s="100">
        <f>IF(ISNUMBER(G162), $B172 * H162, "")</f>
        <v>869.56521739130437</v>
      </c>
      <c r="J162" s="13">
        <v>112</v>
      </c>
      <c r="K162" s="14">
        <f>IF(ISNUMBER(J162), (J162 - $B162) / $B162, "")</f>
        <v>-2.6086956521739129E-2</v>
      </c>
      <c r="L162" s="16">
        <f>IF(ISNUMBER(J162), $B172 * K162, "")</f>
        <v>-2608.695652173913</v>
      </c>
      <c r="M162" s="29">
        <v>115</v>
      </c>
      <c r="N162" s="14">
        <f>IF(ISNUMBER(M162), (M162 - $B162) / $B162, "")</f>
        <v>0</v>
      </c>
      <c r="O162" s="16">
        <f>IF(ISNUMBER(M162), $B172 * N162, "")</f>
        <v>0</v>
      </c>
      <c r="Q162" s="239"/>
      <c r="R162" s="240"/>
      <c r="S162" s="241"/>
    </row>
    <row r="163" spans="1:19" ht="17.25" thickBot="1">
      <c r="A163" s="162" t="s">
        <v>51</v>
      </c>
      <c r="B163" s="126">
        <v>453</v>
      </c>
      <c r="C163" s="77">
        <v>-8.1135902600000004E-2</v>
      </c>
      <c r="D163" s="15">
        <v>460</v>
      </c>
      <c r="E163" s="32">
        <f t="shared" ref="E163:E166" si="86">IF(ISNUMBER(D163), (D163 - $B163) / $B163, "")</f>
        <v>1.5452538631346579E-2</v>
      </c>
      <c r="F163" s="18">
        <f>IF(ISNUMBER(D163), $B172 * E163, "")</f>
        <v>1545.2538631346579</v>
      </c>
      <c r="G163" s="31">
        <v>451</v>
      </c>
      <c r="H163" s="32">
        <f t="shared" ref="H163:H166" si="87">IF(ISNUMBER(G163), (G163 - $B163) / $B163, "")</f>
        <v>-4.4150110375275938E-3</v>
      </c>
      <c r="I163" s="101">
        <f>IF(ISNUMBER(G163), $B172 * H163, "")</f>
        <v>-441.50110375275938</v>
      </c>
      <c r="J163" s="15">
        <v>440</v>
      </c>
      <c r="K163" s="32">
        <f t="shared" ref="K163:K166" si="88">IF(ISNUMBER(J163), (J163 - $B163) / $B163, "")</f>
        <v>-2.8697571743929361E-2</v>
      </c>
      <c r="L163" s="18">
        <f>IF(ISNUMBER(J163), $B172 * K163, "")</f>
        <v>-2869.7571743929361</v>
      </c>
      <c r="M163" s="31">
        <v>445</v>
      </c>
      <c r="N163" s="32">
        <f t="shared" ref="N163:N166" si="89">IF(ISNUMBER(M163), (M163 - $B163) / $B163, "")</f>
        <v>-1.7660044150110375E-2</v>
      </c>
      <c r="O163" s="18">
        <f>IF(ISNUMBER(M163), $B172 * N163, "")</f>
        <v>-1766.0044150110375</v>
      </c>
      <c r="Q163" s="242"/>
      <c r="R163" s="243"/>
      <c r="S163" s="244"/>
    </row>
    <row r="164" spans="1:19" ht="17.25" thickBot="1">
      <c r="A164" s="162" t="s">
        <v>168</v>
      </c>
      <c r="B164" s="126">
        <v>110</v>
      </c>
      <c r="C164" s="77">
        <v>-8.3333333300000006E-2</v>
      </c>
      <c r="D164" s="15">
        <v>112</v>
      </c>
      <c r="E164" s="32">
        <f t="shared" si="86"/>
        <v>1.8181818181818181E-2</v>
      </c>
      <c r="F164" s="18">
        <f>IF(ISNUMBER(D164), $B172 * E164, "")</f>
        <v>1818.181818181818</v>
      </c>
      <c r="G164" s="31">
        <v>109</v>
      </c>
      <c r="H164" s="32">
        <f t="shared" si="87"/>
        <v>-9.0909090909090905E-3</v>
      </c>
      <c r="I164" s="101">
        <f>IF(ISNUMBER(G164), $B172 * H164, "")</f>
        <v>-909.09090909090901</v>
      </c>
      <c r="J164" s="15">
        <v>105</v>
      </c>
      <c r="K164" s="32">
        <f t="shared" si="88"/>
        <v>-4.5454545454545456E-2</v>
      </c>
      <c r="L164" s="18">
        <f>IF(ISNUMBER(J164), $B172 * K164, "")</f>
        <v>-4545.454545454546</v>
      </c>
      <c r="M164" s="31">
        <v>106</v>
      </c>
      <c r="N164" s="32">
        <f t="shared" si="89"/>
        <v>-3.6363636363636362E-2</v>
      </c>
      <c r="O164" s="18">
        <f>IF(ISNUMBER(M164), $B172 * N164, "")</f>
        <v>-3636.363636363636</v>
      </c>
      <c r="Q164" s="235"/>
      <c r="R164" s="235"/>
      <c r="S164" s="235"/>
    </row>
    <row r="165" spans="1:19" ht="17.25" thickBot="1">
      <c r="A165" s="162" t="s">
        <v>54</v>
      </c>
      <c r="B165" s="126">
        <v>273</v>
      </c>
      <c r="C165" s="77">
        <v>-8.3892617399999994E-2</v>
      </c>
      <c r="D165" s="15">
        <v>274</v>
      </c>
      <c r="E165" s="32">
        <f t="shared" si="86"/>
        <v>3.663003663003663E-3</v>
      </c>
      <c r="F165" s="18">
        <f>IF(ISNUMBER(D165), $B172 * E165, "")</f>
        <v>366.30036630036631</v>
      </c>
      <c r="G165" s="31">
        <v>267</v>
      </c>
      <c r="H165" s="32">
        <f t="shared" si="87"/>
        <v>-2.197802197802198E-2</v>
      </c>
      <c r="I165" s="101">
        <f>IF(ISNUMBER(G165), $B172 * H165, "")</f>
        <v>-2197.802197802198</v>
      </c>
      <c r="J165" s="15">
        <v>260</v>
      </c>
      <c r="K165" s="32">
        <f t="shared" si="88"/>
        <v>-4.7619047619047616E-2</v>
      </c>
      <c r="L165" s="18">
        <f>IF(ISNUMBER(J165), $B172 * K165, "")</f>
        <v>-4761.9047619047615</v>
      </c>
      <c r="M165" s="31">
        <v>262</v>
      </c>
      <c r="N165" s="32">
        <f t="shared" si="89"/>
        <v>-4.0293040293040296E-2</v>
      </c>
      <c r="O165" s="18">
        <f>IF(ISNUMBER(M165), $B172 * N165, "")</f>
        <v>-4029.3040293040294</v>
      </c>
      <c r="Q165" s="245"/>
      <c r="R165" s="245"/>
      <c r="S165" s="245"/>
    </row>
    <row r="166" spans="1:19" ht="17.25" thickBot="1">
      <c r="A166" s="163" t="s">
        <v>128</v>
      </c>
      <c r="B166" s="128">
        <v>378</v>
      </c>
      <c r="C166" s="78">
        <v>-8.4745762700000005E-2</v>
      </c>
      <c r="D166" s="20">
        <v>389</v>
      </c>
      <c r="E166" s="21">
        <f t="shared" si="86"/>
        <v>2.9100529100529099E-2</v>
      </c>
      <c r="F166" s="22">
        <f>IF(ISNUMBER(D166), $B172 * E166, "")</f>
        <v>2910.0529100529097</v>
      </c>
      <c r="G166" s="30">
        <v>378</v>
      </c>
      <c r="H166" s="21">
        <f t="shared" si="87"/>
        <v>0</v>
      </c>
      <c r="I166" s="105">
        <f>IF(ISNUMBER(G166), $B172 * H166, "")</f>
        <v>0</v>
      </c>
      <c r="J166" s="20">
        <v>367</v>
      </c>
      <c r="K166" s="21">
        <f t="shared" si="88"/>
        <v>-2.9100529100529099E-2</v>
      </c>
      <c r="L166" s="22">
        <f>IF(ISNUMBER(J166), $B172 * K166, "")</f>
        <v>-2910.0529100529097</v>
      </c>
      <c r="M166" s="30">
        <v>369</v>
      </c>
      <c r="N166" s="21">
        <f t="shared" si="89"/>
        <v>-2.3809523809523808E-2</v>
      </c>
      <c r="O166" s="22">
        <f>IF(ISNUMBER(M166), $B172 * N166, "")</f>
        <v>-2380.9523809523807</v>
      </c>
      <c r="Q166" s="245"/>
      <c r="R166" s="245"/>
      <c r="S166" s="245"/>
    </row>
    <row r="167" spans="1:19" ht="17.25" thickBot="1">
      <c r="A167" s="162" t="s">
        <v>262</v>
      </c>
      <c r="B167" s="129">
        <v>624</v>
      </c>
      <c r="C167" s="80">
        <v>-8.5043988299999998E-2</v>
      </c>
      <c r="D167" s="106">
        <v>635</v>
      </c>
      <c r="E167" s="107">
        <f>IF(ISNUMBER(D167), (D167 - $B167) / $B167, "")</f>
        <v>1.7628205128205128E-2</v>
      </c>
      <c r="F167" s="108">
        <f>IF(ISNUMBER(D167), $B172 * E167, "")</f>
        <v>1762.8205128205127</v>
      </c>
      <c r="G167" s="109">
        <v>623</v>
      </c>
      <c r="H167" s="107">
        <f>IF(ISNUMBER(G167), (G167 - $B167) / $B167, "")</f>
        <v>-1.6025641025641025E-3</v>
      </c>
      <c r="I167" s="110">
        <f>IF(ISNUMBER(G167), $B172 * H167, "")</f>
        <v>-160.25641025641025</v>
      </c>
      <c r="J167" s="106">
        <v>613</v>
      </c>
      <c r="K167" s="107">
        <f>IF(ISNUMBER(J167), (J167 - $B167) / $B167, "")</f>
        <v>-1.7628205128205128E-2</v>
      </c>
      <c r="L167" s="108">
        <f>IF(ISNUMBER(J167), $B172 * K167, "")</f>
        <v>-1762.8205128205127</v>
      </c>
      <c r="M167" s="109">
        <v>620</v>
      </c>
      <c r="N167" s="107">
        <f>IF(ISNUMBER(M167), (M167 - $B167) / $B167, "")</f>
        <v>-6.41025641025641E-3</v>
      </c>
      <c r="O167" s="108">
        <f>IF(ISNUMBER(M167), $B172 * N167, "")</f>
        <v>-641.02564102564099</v>
      </c>
      <c r="Q167" s="235"/>
      <c r="R167" s="235"/>
      <c r="S167" s="235"/>
    </row>
    <row r="168" spans="1:19" ht="17.25" thickBot="1">
      <c r="A168" s="162" t="s">
        <v>116</v>
      </c>
      <c r="B168" s="126">
        <v>384</v>
      </c>
      <c r="C168" s="77">
        <v>-8.5714285700000004E-2</v>
      </c>
      <c r="D168" s="15">
        <v>390</v>
      </c>
      <c r="E168" s="32">
        <f t="shared" ref="E168:E171" si="90">IF(ISNUMBER(D168), (D168 - $B168) / $B168, "")</f>
        <v>1.5625E-2</v>
      </c>
      <c r="F168" s="18">
        <f>IF(ISNUMBER(D168), $B172 * E168, "")</f>
        <v>1562.5</v>
      </c>
      <c r="G168" s="31">
        <v>381</v>
      </c>
      <c r="H168" s="32">
        <f t="shared" ref="H168:H171" si="91">IF(ISNUMBER(G168), (G168 - $B168) / $B168, "")</f>
        <v>-7.8125E-3</v>
      </c>
      <c r="I168" s="101">
        <f>IF(ISNUMBER(G168), $B172 * H168, "")</f>
        <v>-781.25</v>
      </c>
      <c r="J168" s="15">
        <v>368</v>
      </c>
      <c r="K168" s="32">
        <f t="shared" ref="K168:K171" si="92">IF(ISNUMBER(J168), (J168 - $B168) / $B168, "")</f>
        <v>-4.1666666666666664E-2</v>
      </c>
      <c r="L168" s="18">
        <f>IF(ISNUMBER(J168), $B172 * K168, "")</f>
        <v>-4166.6666666666661</v>
      </c>
      <c r="M168" s="31">
        <v>372</v>
      </c>
      <c r="N168" s="32">
        <f t="shared" ref="N168:N171" si="93">IF(ISNUMBER(M168), (M168 - $B168) / $B168, "")</f>
        <v>-3.125E-2</v>
      </c>
      <c r="O168" s="18">
        <f>IF(ISNUMBER(M168), $B172 * N168, "")</f>
        <v>-3125</v>
      </c>
      <c r="Q168" s="235"/>
      <c r="R168" s="235"/>
      <c r="S168" s="235"/>
    </row>
    <row r="169" spans="1:19" ht="17.25" thickBot="1">
      <c r="A169" s="162" t="s">
        <v>136</v>
      </c>
      <c r="B169" s="126">
        <v>148</v>
      </c>
      <c r="C169" s="77">
        <v>-8.6419753099999996E-2</v>
      </c>
      <c r="D169" s="15">
        <v>153</v>
      </c>
      <c r="E169" s="32">
        <f t="shared" si="90"/>
        <v>3.3783783783783786E-2</v>
      </c>
      <c r="F169" s="18">
        <f>IF(ISNUMBER(D169), $B172 * E169, "")</f>
        <v>3378.3783783783788</v>
      </c>
      <c r="G169" s="31">
        <v>149</v>
      </c>
      <c r="H169" s="32">
        <f t="shared" si="91"/>
        <v>6.7567567567567571E-3</v>
      </c>
      <c r="I169" s="101">
        <f>IF(ISNUMBER(G169), $B172 * H169, "")</f>
        <v>675.67567567567573</v>
      </c>
      <c r="J169" s="15">
        <v>144</v>
      </c>
      <c r="K169" s="32">
        <f t="shared" si="92"/>
        <v>-2.7027027027027029E-2</v>
      </c>
      <c r="L169" s="18">
        <f>IF(ISNUMBER(J169), $B172 * K169, "")</f>
        <v>-2702.7027027027029</v>
      </c>
      <c r="M169" s="31">
        <v>143</v>
      </c>
      <c r="N169" s="32">
        <f t="shared" si="93"/>
        <v>-3.3783783783783786E-2</v>
      </c>
      <c r="O169" s="18">
        <f>IF(ISNUMBER(M169), $B172 * N169, "")</f>
        <v>-3378.3783783783788</v>
      </c>
      <c r="Q169" s="235"/>
      <c r="R169" s="235"/>
      <c r="S169" s="235"/>
    </row>
    <row r="170" spans="1:19">
      <c r="A170" s="162" t="s">
        <v>208</v>
      </c>
      <c r="B170" s="126">
        <v>317</v>
      </c>
      <c r="C170" s="77">
        <v>-8.6455331400000002E-2</v>
      </c>
      <c r="D170" s="15">
        <v>319</v>
      </c>
      <c r="E170" s="32">
        <f t="shared" si="90"/>
        <v>6.3091482649842269E-3</v>
      </c>
      <c r="F170" s="18">
        <f>IF(ISNUMBER(D170), $B172 * E170, "")</f>
        <v>630.91482649842271</v>
      </c>
      <c r="G170" s="31">
        <v>315</v>
      </c>
      <c r="H170" s="32">
        <f t="shared" si="91"/>
        <v>-6.3091482649842269E-3</v>
      </c>
      <c r="I170" s="101">
        <f>IF(ISNUMBER(G170), $B172 * H170, "")</f>
        <v>-630.91482649842271</v>
      </c>
      <c r="J170" s="15">
        <v>311</v>
      </c>
      <c r="K170" s="32">
        <f t="shared" si="92"/>
        <v>-1.8927444794952682E-2</v>
      </c>
      <c r="L170" s="18">
        <f>IF(ISNUMBER(J170), $B172 * K170, "")</f>
        <v>-1892.7444794952683</v>
      </c>
      <c r="M170" s="31">
        <v>311</v>
      </c>
      <c r="N170" s="32">
        <f t="shared" si="93"/>
        <v>-1.8927444794952682E-2</v>
      </c>
      <c r="O170" s="18">
        <f>IF(ISNUMBER(M170), $B172 * N170, "")</f>
        <v>-1892.7444794952683</v>
      </c>
      <c r="Q170" s="224"/>
      <c r="R170" s="225"/>
      <c r="S170" s="226"/>
    </row>
    <row r="171" spans="1:19" ht="17.25" thickBot="1">
      <c r="A171" s="130" t="s">
        <v>210</v>
      </c>
      <c r="B171" s="131">
        <v>128</v>
      </c>
      <c r="C171" s="79">
        <v>-9.2198581599999996E-2</v>
      </c>
      <c r="D171" s="24">
        <v>129</v>
      </c>
      <c r="E171" s="25">
        <f t="shared" si="90"/>
        <v>7.8125E-3</v>
      </c>
      <c r="F171" s="104">
        <f>IF(ISNUMBER(D171), $B172 * E171, "")</f>
        <v>781.25</v>
      </c>
      <c r="G171" s="102">
        <v>128</v>
      </c>
      <c r="H171" s="25">
        <f t="shared" si="91"/>
        <v>0</v>
      </c>
      <c r="I171" s="103">
        <f>IF(ISNUMBER(G171), $B172 * H171, "")</f>
        <v>0</v>
      </c>
      <c r="J171" s="24">
        <v>124</v>
      </c>
      <c r="K171" s="25">
        <f t="shared" si="92"/>
        <v>-3.125E-2</v>
      </c>
      <c r="L171" s="104">
        <f>IF(ISNUMBER(J171), $B172 * K171, "")</f>
        <v>-3125</v>
      </c>
      <c r="M171" s="102">
        <v>126</v>
      </c>
      <c r="N171" s="25">
        <f t="shared" si="93"/>
        <v>-1.5625E-2</v>
      </c>
      <c r="O171" s="104">
        <f>IF(ISNUMBER(M171), $B172 * N171, "")</f>
        <v>-1562.5</v>
      </c>
      <c r="Q171" s="227"/>
      <c r="R171" s="228"/>
      <c r="S171" s="229"/>
    </row>
    <row r="172" spans="1:19" ht="17.25" thickBot="1">
      <c r="A172" s="132" t="s">
        <v>300</v>
      </c>
      <c r="B172" s="288">
        <f>$B$37</f>
        <v>100000</v>
      </c>
      <c r="C172" s="289"/>
      <c r="D172" s="26" t="s">
        <v>301</v>
      </c>
      <c r="E172" s="27">
        <f>IF(COUNT(E152:E171), SUM(E152:E171) / COUNT(E152:E171), 0)</f>
        <v>1.5269828444289729E-2</v>
      </c>
      <c r="F172" s="28">
        <f>SUM(F152:F171)</f>
        <v>30539.656888579459</v>
      </c>
      <c r="G172" s="26" t="s">
        <v>301</v>
      </c>
      <c r="H172" s="27">
        <f>IF(COUNT(H152:H171), SUM(H152:H171) / COUNT(H152:H171), 0)</f>
        <v>-2.4311619766302669E-3</v>
      </c>
      <c r="I172" s="28">
        <f>SUM(I152:I171)</f>
        <v>-4862.323953260533</v>
      </c>
      <c r="J172" s="26" t="s">
        <v>301</v>
      </c>
      <c r="K172" s="27">
        <f>IF(COUNT(K152:K171), SUM(K152:K171) / COUNT(K152:K171), 0)</f>
        <v>-2.6566388851241646E-2</v>
      </c>
      <c r="L172" s="28">
        <f>SUM(L152:L171)</f>
        <v>-53132.777702483283</v>
      </c>
      <c r="M172" s="26" t="s">
        <v>301</v>
      </c>
      <c r="N172" s="27">
        <f>IF(COUNT(N152:N171), SUM(N152:N171) / COUNT(N152:N171), 0)</f>
        <v>-1.7041186223396204E-2</v>
      </c>
      <c r="O172" s="28">
        <f>SUM(O152:O171)</f>
        <v>-34082.372446792404</v>
      </c>
      <c r="Q172" s="230"/>
      <c r="R172" s="231"/>
      <c r="S172" s="232"/>
    </row>
    <row r="174" spans="1:19" ht="17.25" thickBot="1"/>
    <row r="175" spans="1:19" ht="17.25" thickBot="1">
      <c r="A175" s="246" t="s">
        <v>285</v>
      </c>
      <c r="B175" s="247"/>
      <c r="C175" s="247"/>
      <c r="D175" s="247"/>
      <c r="E175" s="247"/>
      <c r="F175" s="247"/>
      <c r="G175" s="247"/>
      <c r="H175" s="247"/>
      <c r="I175" s="247"/>
      <c r="J175" s="247"/>
      <c r="K175" s="247"/>
      <c r="L175" s="247"/>
      <c r="M175" s="247"/>
      <c r="N175" s="247"/>
      <c r="O175" s="248"/>
      <c r="Q175" s="245"/>
      <c r="R175" s="245"/>
      <c r="S175" s="245"/>
    </row>
    <row r="176" spans="1:19" ht="17.25" thickBot="1">
      <c r="A176" s="176" t="s">
        <v>297</v>
      </c>
      <c r="B176" s="246" t="s">
        <v>49</v>
      </c>
      <c r="C176" s="248"/>
      <c r="D176" s="246" t="s">
        <v>58</v>
      </c>
      <c r="E176" s="247"/>
      <c r="F176" s="248"/>
      <c r="G176" s="249">
        <f>_xlfn.IFNA(VLOOKUP(B176, 현재가테이블!$B$2:$D$200, 2, FALSE), "-")</f>
        <v>45335000</v>
      </c>
      <c r="H176" s="250"/>
      <c r="I176" s="251"/>
      <c r="J176" s="246" t="s">
        <v>59</v>
      </c>
      <c r="K176" s="247"/>
      <c r="L176" s="248"/>
      <c r="M176" s="252">
        <f>_xlfn.IFNA(VLOOKUP(B176, 현재가테이블!$B$2:$D$200, 3, FALSE), "-")</f>
        <v>-2.27209037E-2</v>
      </c>
      <c r="N176" s="253"/>
      <c r="O176" s="254"/>
      <c r="Q176" s="245"/>
      <c r="R176" s="245"/>
      <c r="S176" s="245"/>
    </row>
    <row r="177" spans="1:19" ht="17.25" thickBot="1">
      <c r="A177" s="290" t="s">
        <v>55</v>
      </c>
      <c r="B177" s="286" t="str">
        <f>TEXT($G$1, "[$-ko-KR]yyyy-mm-dd(ddd) ") &amp; "오전 00:00"</f>
        <v>2021-06-05(토) 오전 00:00</v>
      </c>
      <c r="C177" s="287"/>
      <c r="D177" s="259" t="str">
        <f>TEXT($G$1, "[$-ko-KR]yyyy-mm-dd(ddd) ") &amp; "오후 14:00"</f>
        <v>2021-06-05(토) 오후 14:00</v>
      </c>
      <c r="E177" s="260"/>
      <c r="F177" s="261"/>
      <c r="G177" s="259" t="str">
        <f>TEXT($G$1, "[$-ko-KR]yyyy-mm-dd(ddd) ") &amp; "오후 19:00"</f>
        <v>2021-06-05(토) 오후 19:00</v>
      </c>
      <c r="H177" s="260"/>
      <c r="I177" s="261"/>
      <c r="J177" s="259" t="str">
        <f>TEXT($G$1, "[$-ko-KR]yyyy-mm-dd(ddd) ") &amp; "오후 21:00"</f>
        <v>2021-06-05(토) 오후 21:00</v>
      </c>
      <c r="K177" s="260"/>
      <c r="L177" s="261"/>
      <c r="M177" s="259" t="str">
        <f>TEXT($G$1+1, "[$-ko-KR]yyyy-mm-dd(ddd) ") &amp; "오전 00:00"</f>
        <v>2021-06-06(일) 오전 00:00</v>
      </c>
      <c r="N177" s="260"/>
      <c r="O177" s="261"/>
      <c r="Q177" s="245"/>
      <c r="R177" s="245"/>
      <c r="S177" s="245"/>
    </row>
    <row r="178" spans="1:19" ht="17.25" thickBot="1">
      <c r="A178" s="291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77" t="s">
        <v>58</v>
      </c>
      <c r="H178" s="178" t="s">
        <v>298</v>
      </c>
      <c r="I178" s="179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5"/>
      <c r="R178" s="235"/>
      <c r="S178" s="235"/>
    </row>
    <row r="179" spans="1:19" ht="17.25" thickBot="1">
      <c r="A179" s="161" t="s">
        <v>264</v>
      </c>
      <c r="B179" s="124">
        <v>87.9</v>
      </c>
      <c r="C179" s="76">
        <v>-8.1504702200000001E-2</v>
      </c>
      <c r="D179" s="13">
        <v>89.3</v>
      </c>
      <c r="E179" s="14">
        <f>IF(ISNUMBER(D179), (D179 - $B179) / $B179, "")</f>
        <v>1.5927189988623337E-2</v>
      </c>
      <c r="F179" s="16">
        <f>IF(ISNUMBER(D179), $B199 * E179, "")</f>
        <v>1592.7189988623338</v>
      </c>
      <c r="G179" s="29">
        <v>87.7</v>
      </c>
      <c r="H179" s="14">
        <f>IF(ISNUMBER(G179), (G179 - $B179) / $B179, "")</f>
        <v>-2.2753128555176656E-3</v>
      </c>
      <c r="I179" s="100">
        <f>IF(ISNUMBER(G179), $B199 * H179, "")</f>
        <v>-227.53128555176656</v>
      </c>
      <c r="J179" s="13">
        <v>85.3</v>
      </c>
      <c r="K179" s="14">
        <f>IF(ISNUMBER(J179), (J179 - $B179) / $B179, "")</f>
        <v>-2.9579067121729332E-2</v>
      </c>
      <c r="L179" s="16">
        <f>IF(ISNUMBER(J179), $B199 * K179, "")</f>
        <v>-2957.9067121729331</v>
      </c>
      <c r="M179" s="29">
        <v>85.7</v>
      </c>
      <c r="N179" s="14">
        <f>IF(ISNUMBER(M179), (M179 - $B179) / $B179, "")</f>
        <v>-2.5028441410694002E-2</v>
      </c>
      <c r="O179" s="16">
        <f>IF(ISNUMBER(M179), $B199 * N179, "")</f>
        <v>-2502.8441410693999</v>
      </c>
      <c r="Q179" s="245"/>
      <c r="R179" s="245"/>
      <c r="S179" s="245"/>
    </row>
    <row r="180" spans="1:19" ht="17.25" thickBot="1">
      <c r="A180" s="162" t="s">
        <v>168</v>
      </c>
      <c r="B180" s="126">
        <v>110</v>
      </c>
      <c r="C180" s="77">
        <v>-8.3333333300000006E-2</v>
      </c>
      <c r="D180" s="15">
        <v>112</v>
      </c>
      <c r="E180" s="32">
        <f t="shared" ref="E180:E183" si="94">IF(ISNUMBER(D180), (D180 - $B180) / $B180, "")</f>
        <v>1.8181818181818181E-2</v>
      </c>
      <c r="F180" s="18">
        <f>IF(ISNUMBER(D180), $B199 * E180, "")</f>
        <v>1818.181818181818</v>
      </c>
      <c r="G180" s="31">
        <v>109</v>
      </c>
      <c r="H180" s="32">
        <f t="shared" ref="H180:H183" si="95">IF(ISNUMBER(G180), (G180 - $B180) / $B180, "")</f>
        <v>-9.0909090909090905E-3</v>
      </c>
      <c r="I180" s="101">
        <f>IF(ISNUMBER(G180), $B199 * H180, "")</f>
        <v>-909.09090909090901</v>
      </c>
      <c r="J180" s="15">
        <v>105</v>
      </c>
      <c r="K180" s="32">
        <f t="shared" ref="K180:K183" si="96">IF(ISNUMBER(J180), (J180 - $B180) / $B180, "")</f>
        <v>-4.5454545454545456E-2</v>
      </c>
      <c r="L180" s="18">
        <f>IF(ISNUMBER(J180), $B199 * K180, "")</f>
        <v>-4545.454545454546</v>
      </c>
      <c r="M180" s="31">
        <v>106</v>
      </c>
      <c r="N180" s="32">
        <f t="shared" ref="N180:N183" si="97">IF(ISNUMBER(M180), (M180 - $B180) / $B180, "")</f>
        <v>-3.6363636363636362E-2</v>
      </c>
      <c r="O180" s="18">
        <f>IF(ISNUMBER(M180), $B199 * N180, "")</f>
        <v>-3636.363636363636</v>
      </c>
      <c r="Q180" s="245"/>
      <c r="R180" s="245"/>
      <c r="S180" s="245"/>
    </row>
    <row r="181" spans="1:19" ht="17.25" thickBot="1">
      <c r="A181" s="162" t="s">
        <v>54</v>
      </c>
      <c r="B181" s="126">
        <v>273</v>
      </c>
      <c r="C181" s="77">
        <v>-8.3892617399999994E-2</v>
      </c>
      <c r="D181" s="15">
        <v>274</v>
      </c>
      <c r="E181" s="32">
        <f t="shared" si="94"/>
        <v>3.663003663003663E-3</v>
      </c>
      <c r="F181" s="18">
        <f>IF(ISNUMBER(D181), $B199 * E181, "")</f>
        <v>366.30036630036631</v>
      </c>
      <c r="G181" s="31">
        <v>267</v>
      </c>
      <c r="H181" s="32">
        <f t="shared" si="95"/>
        <v>-2.197802197802198E-2</v>
      </c>
      <c r="I181" s="101">
        <f>IF(ISNUMBER(G181), $B199 * H181, "")</f>
        <v>-2197.802197802198</v>
      </c>
      <c r="J181" s="15">
        <v>260</v>
      </c>
      <c r="K181" s="32">
        <f t="shared" si="96"/>
        <v>-4.7619047619047616E-2</v>
      </c>
      <c r="L181" s="18">
        <f>IF(ISNUMBER(J181), $B199 * K181, "")</f>
        <v>-4761.9047619047615</v>
      </c>
      <c r="M181" s="31">
        <v>262</v>
      </c>
      <c r="N181" s="32">
        <f t="shared" si="97"/>
        <v>-4.0293040293040296E-2</v>
      </c>
      <c r="O181" s="18">
        <f>IF(ISNUMBER(M181), $B199 * N181, "")</f>
        <v>-4029.3040293040294</v>
      </c>
      <c r="Q181" s="235"/>
      <c r="R181" s="235"/>
      <c r="S181" s="235"/>
    </row>
    <row r="182" spans="1:19" ht="17.25" thickBot="1">
      <c r="A182" s="162" t="s">
        <v>128</v>
      </c>
      <c r="B182" s="126">
        <v>378</v>
      </c>
      <c r="C182" s="77">
        <v>-8.4745762700000005E-2</v>
      </c>
      <c r="D182" s="15">
        <v>389</v>
      </c>
      <c r="E182" s="32">
        <f t="shared" si="94"/>
        <v>2.9100529100529099E-2</v>
      </c>
      <c r="F182" s="18">
        <f>IF(ISNUMBER(D182), $B199 * E182, "")</f>
        <v>2910.0529100529097</v>
      </c>
      <c r="G182" s="31">
        <v>378</v>
      </c>
      <c r="H182" s="32">
        <f t="shared" si="95"/>
        <v>0</v>
      </c>
      <c r="I182" s="101">
        <f>IF(ISNUMBER(G182), $B199 * H182, "")</f>
        <v>0</v>
      </c>
      <c r="J182" s="15">
        <v>367</v>
      </c>
      <c r="K182" s="32">
        <f t="shared" si="96"/>
        <v>-2.9100529100529099E-2</v>
      </c>
      <c r="L182" s="18">
        <f>IF(ISNUMBER(J182), $B199 * K182, "")</f>
        <v>-2910.0529100529097</v>
      </c>
      <c r="M182" s="31">
        <v>369</v>
      </c>
      <c r="N182" s="32">
        <f t="shared" si="97"/>
        <v>-2.3809523809523808E-2</v>
      </c>
      <c r="O182" s="18">
        <f>IF(ISNUMBER(M182), $B199 * N182, "")</f>
        <v>-2380.9523809523807</v>
      </c>
      <c r="Q182" s="235"/>
      <c r="R182" s="235"/>
      <c r="S182" s="235"/>
    </row>
    <row r="183" spans="1:19" ht="17.25" thickBot="1">
      <c r="A183" s="163" t="s">
        <v>262</v>
      </c>
      <c r="B183" s="128">
        <v>624</v>
      </c>
      <c r="C183" s="78">
        <v>-8.5043988299999998E-2</v>
      </c>
      <c r="D183" s="20">
        <v>635</v>
      </c>
      <c r="E183" s="21">
        <f t="shared" si="94"/>
        <v>1.7628205128205128E-2</v>
      </c>
      <c r="F183" s="22">
        <f>IF(ISNUMBER(D183), $B199 * E183, "")</f>
        <v>1762.8205128205127</v>
      </c>
      <c r="G183" s="30">
        <v>623</v>
      </c>
      <c r="H183" s="21">
        <f t="shared" si="95"/>
        <v>-1.6025641025641025E-3</v>
      </c>
      <c r="I183" s="105">
        <f>IF(ISNUMBER(G183), $B199 * H183, "")</f>
        <v>-160.25641025641025</v>
      </c>
      <c r="J183" s="20">
        <v>613</v>
      </c>
      <c r="K183" s="21">
        <f t="shared" si="96"/>
        <v>-1.7628205128205128E-2</v>
      </c>
      <c r="L183" s="22">
        <f>IF(ISNUMBER(J183), $B199 * K183, "")</f>
        <v>-1762.8205128205127</v>
      </c>
      <c r="M183" s="30">
        <v>620</v>
      </c>
      <c r="N183" s="21">
        <f t="shared" si="97"/>
        <v>-6.41025641025641E-3</v>
      </c>
      <c r="O183" s="22">
        <f>IF(ISNUMBER(M183), $B199 * N183, "")</f>
        <v>-641.02564102564099</v>
      </c>
      <c r="Q183" s="235"/>
      <c r="R183" s="235"/>
      <c r="S183" s="235"/>
    </row>
    <row r="184" spans="1:19" ht="17.25" thickBot="1">
      <c r="A184" s="162" t="s">
        <v>116</v>
      </c>
      <c r="B184" s="129">
        <v>384</v>
      </c>
      <c r="C184" s="80">
        <v>-8.5714285700000004E-2</v>
      </c>
      <c r="D184" s="106">
        <v>390</v>
      </c>
      <c r="E184" s="107">
        <f>IF(ISNUMBER(D184), (D184 - $B184) / $B184, "")</f>
        <v>1.5625E-2</v>
      </c>
      <c r="F184" s="108">
        <f>IF(ISNUMBER(D184), $B199 * E184, "")</f>
        <v>1562.5</v>
      </c>
      <c r="G184" s="109">
        <v>381</v>
      </c>
      <c r="H184" s="107">
        <f>IF(ISNUMBER(G184), (G184 - $B184) / $B184, "")</f>
        <v>-7.8125E-3</v>
      </c>
      <c r="I184" s="110">
        <f>IF(ISNUMBER(G184), $B199 * H184, "")</f>
        <v>-781.25</v>
      </c>
      <c r="J184" s="106">
        <v>368</v>
      </c>
      <c r="K184" s="107">
        <f>IF(ISNUMBER(J184), (J184 - $B184) / $B184, "")</f>
        <v>-4.1666666666666664E-2</v>
      </c>
      <c r="L184" s="108">
        <f>IF(ISNUMBER(J184), $B199 * K184, "")</f>
        <v>-4166.6666666666661</v>
      </c>
      <c r="M184" s="109">
        <v>372</v>
      </c>
      <c r="N184" s="107">
        <f>IF(ISNUMBER(M184), (M184 - $B184) / $B184, "")</f>
        <v>-3.125E-2</v>
      </c>
      <c r="O184" s="108">
        <f>IF(ISNUMBER(M184), $B199 * N184, "")</f>
        <v>-3125</v>
      </c>
      <c r="Q184" s="235"/>
      <c r="R184" s="235"/>
      <c r="S184" s="235"/>
    </row>
    <row r="185" spans="1:19" ht="17.25" thickBot="1">
      <c r="A185" s="162" t="s">
        <v>274</v>
      </c>
      <c r="B185" s="126">
        <v>9170</v>
      </c>
      <c r="C185" s="77">
        <v>-8.5742771699999998E-2</v>
      </c>
      <c r="D185" s="15">
        <v>9225</v>
      </c>
      <c r="E185" s="32">
        <f t="shared" ref="E185:E188" si="98">IF(ISNUMBER(D185), (D185 - $B185) / $B185, "")</f>
        <v>5.9978189749182115E-3</v>
      </c>
      <c r="F185" s="18">
        <f>IF(ISNUMBER(D185), $B199 * E185, "")</f>
        <v>599.78189749182116</v>
      </c>
      <c r="G185" s="31">
        <v>9055</v>
      </c>
      <c r="H185" s="32">
        <f t="shared" ref="H185:H188" si="99">IF(ISNUMBER(G185), (G185 - $B185) / $B185, "")</f>
        <v>-1.2540894220283533E-2</v>
      </c>
      <c r="I185" s="101">
        <f>IF(ISNUMBER(G185), $B199 * H185, "")</f>
        <v>-1254.0894220283533</v>
      </c>
      <c r="J185" s="15">
        <v>8960</v>
      </c>
      <c r="K185" s="32">
        <f t="shared" ref="K185:K188" si="100">IF(ISNUMBER(J185), (J185 - $B185) / $B185, "")</f>
        <v>-2.2900763358778626E-2</v>
      </c>
      <c r="L185" s="18">
        <f>IF(ISNUMBER(J185), $B199 * K185, "")</f>
        <v>-2290.0763358778627</v>
      </c>
      <c r="M185" s="31">
        <v>9130</v>
      </c>
      <c r="N185" s="32">
        <f t="shared" ref="N185:N188" si="101">IF(ISNUMBER(M185), (M185 - $B185) / $B185, "")</f>
        <v>-4.3620501635768813E-3</v>
      </c>
      <c r="O185" s="18">
        <f>IF(ISNUMBER(M185), $B199 * N185, "")</f>
        <v>-436.20501635768812</v>
      </c>
      <c r="Q185" s="235"/>
      <c r="R185" s="235"/>
      <c r="S185" s="235"/>
    </row>
    <row r="186" spans="1:19" ht="17.25" thickBot="1">
      <c r="A186" s="162" t="s">
        <v>136</v>
      </c>
      <c r="B186" s="126">
        <v>148</v>
      </c>
      <c r="C186" s="77">
        <v>-8.6419753099999996E-2</v>
      </c>
      <c r="D186" s="15">
        <v>153</v>
      </c>
      <c r="E186" s="32">
        <f t="shared" si="98"/>
        <v>3.3783783783783786E-2</v>
      </c>
      <c r="F186" s="18">
        <f>IF(ISNUMBER(D186), $B199 * E186, "")</f>
        <v>3378.3783783783788</v>
      </c>
      <c r="G186" s="31">
        <v>149</v>
      </c>
      <c r="H186" s="32">
        <f t="shared" si="99"/>
        <v>6.7567567567567571E-3</v>
      </c>
      <c r="I186" s="101">
        <f>IF(ISNUMBER(G186), $B199 * H186, "")</f>
        <v>675.67567567567573</v>
      </c>
      <c r="J186" s="15">
        <v>144</v>
      </c>
      <c r="K186" s="32">
        <f t="shared" si="100"/>
        <v>-2.7027027027027029E-2</v>
      </c>
      <c r="L186" s="18">
        <f>IF(ISNUMBER(J186), $B199 * K186, "")</f>
        <v>-2702.7027027027029</v>
      </c>
      <c r="M186" s="31">
        <v>143</v>
      </c>
      <c r="N186" s="32">
        <f t="shared" si="101"/>
        <v>-3.3783783783783786E-2</v>
      </c>
      <c r="O186" s="18">
        <f>IF(ISNUMBER(M186), $B199 * N186, "")</f>
        <v>-3378.3783783783788</v>
      </c>
      <c r="Q186" s="235"/>
      <c r="R186" s="235"/>
      <c r="S186" s="235"/>
    </row>
    <row r="187" spans="1:19" ht="17.25" thickBot="1">
      <c r="A187" s="162" t="s">
        <v>208</v>
      </c>
      <c r="B187" s="126">
        <v>317</v>
      </c>
      <c r="C187" s="77">
        <v>-8.6455331400000002E-2</v>
      </c>
      <c r="D187" s="15">
        <v>319</v>
      </c>
      <c r="E187" s="32">
        <f t="shared" si="98"/>
        <v>6.3091482649842269E-3</v>
      </c>
      <c r="F187" s="18">
        <f>IF(ISNUMBER(D187), $B199 * E187, "")</f>
        <v>630.91482649842271</v>
      </c>
      <c r="G187" s="31">
        <v>315</v>
      </c>
      <c r="H187" s="32">
        <f t="shared" si="99"/>
        <v>-6.3091482649842269E-3</v>
      </c>
      <c r="I187" s="101">
        <f>IF(ISNUMBER(G187), $B199 * H187, "")</f>
        <v>-630.91482649842271</v>
      </c>
      <c r="J187" s="15">
        <v>311</v>
      </c>
      <c r="K187" s="32">
        <f t="shared" si="100"/>
        <v>-1.8927444794952682E-2</v>
      </c>
      <c r="L187" s="18">
        <f>IF(ISNUMBER(J187), $B199 * K187, "")</f>
        <v>-1892.7444794952683</v>
      </c>
      <c r="M187" s="31">
        <v>311</v>
      </c>
      <c r="N187" s="32">
        <f t="shared" si="101"/>
        <v>-1.8927444794952682E-2</v>
      </c>
      <c r="O187" s="18">
        <f>IF(ISNUMBER(M187), $B199 * N187, "")</f>
        <v>-1892.7444794952683</v>
      </c>
      <c r="Q187" s="33"/>
      <c r="R187" s="33"/>
    </row>
    <row r="188" spans="1:19" ht="17.25" thickBot="1">
      <c r="A188" s="130" t="s">
        <v>72</v>
      </c>
      <c r="B188" s="131">
        <v>21.1</v>
      </c>
      <c r="C188" s="79">
        <v>-8.6580086599999995E-2</v>
      </c>
      <c r="D188" s="24">
        <v>21.3</v>
      </c>
      <c r="E188" s="25">
        <f t="shared" si="98"/>
        <v>9.4786729857819566E-3</v>
      </c>
      <c r="F188" s="104">
        <f>IF(ISNUMBER(D188), $B199 * E188, "")</f>
        <v>947.86729857819569</v>
      </c>
      <c r="G188" s="102">
        <v>21.1</v>
      </c>
      <c r="H188" s="25">
        <f t="shared" si="99"/>
        <v>0</v>
      </c>
      <c r="I188" s="103">
        <f>IF(ISNUMBER(G188), $B199 * H188, "")</f>
        <v>0</v>
      </c>
      <c r="J188" s="24">
        <v>20.7</v>
      </c>
      <c r="K188" s="25">
        <f t="shared" si="100"/>
        <v>-1.895734597156408E-2</v>
      </c>
      <c r="L188" s="104">
        <f>IF(ISNUMBER(J188), $B199 * K188, "")</f>
        <v>-1895.734597156408</v>
      </c>
      <c r="M188" s="102">
        <v>20.6</v>
      </c>
      <c r="N188" s="25">
        <f t="shared" si="101"/>
        <v>-2.3696682464454975E-2</v>
      </c>
      <c r="O188" s="104">
        <f>IF(ISNUMBER(M188), $B199 * N188, "")</f>
        <v>-2369.6682464454975</v>
      </c>
      <c r="Q188" s="236"/>
      <c r="R188" s="237"/>
      <c r="S188" s="238"/>
    </row>
    <row r="189" spans="1:19">
      <c r="A189" s="161" t="s">
        <v>146</v>
      </c>
      <c r="B189" s="124">
        <v>10670</v>
      </c>
      <c r="C189" s="76">
        <v>-8.8812980400000005E-2</v>
      </c>
      <c r="D189" s="13">
        <v>10860</v>
      </c>
      <c r="E189" s="14">
        <f>IF(ISNUMBER(D189), (D189 - $B189) / $B189, "")</f>
        <v>1.780693533270853E-2</v>
      </c>
      <c r="F189" s="16">
        <f>IF(ISNUMBER(D189), $B199 * E189, "")</f>
        <v>1780.6935332708531</v>
      </c>
      <c r="G189" s="29">
        <v>10610</v>
      </c>
      <c r="H189" s="14">
        <f>IF(ISNUMBER(G189), (G189 - $B189) / $B189, "")</f>
        <v>-5.6232427366447986E-3</v>
      </c>
      <c r="I189" s="100">
        <f>IF(ISNUMBER(G189), $B199 * H189, "")</f>
        <v>-562.32427366447985</v>
      </c>
      <c r="J189" s="13">
        <v>10340</v>
      </c>
      <c r="K189" s="14">
        <f>IF(ISNUMBER(J189), (J189 - $B189) / $B189, "")</f>
        <v>-3.0927835051546393E-2</v>
      </c>
      <c r="L189" s="16">
        <f>IF(ISNUMBER(J189), $B199 * K189, "")</f>
        <v>-3092.7835051546394</v>
      </c>
      <c r="M189" s="29">
        <v>10490</v>
      </c>
      <c r="N189" s="14">
        <f>IF(ISNUMBER(M189), (M189 - $B189) / $B189, "")</f>
        <v>-1.6869728209934397E-2</v>
      </c>
      <c r="O189" s="16">
        <f>IF(ISNUMBER(M189), $B199 * N189, "")</f>
        <v>-1686.9728209934397</v>
      </c>
      <c r="Q189" s="239"/>
      <c r="R189" s="240"/>
      <c r="S189" s="241"/>
    </row>
    <row r="190" spans="1:19" ht="17.25" thickBot="1">
      <c r="A190" s="162" t="s">
        <v>76</v>
      </c>
      <c r="B190" s="126">
        <v>33940</v>
      </c>
      <c r="C190" s="77">
        <v>-8.9103596300000004E-2</v>
      </c>
      <c r="D190" s="15">
        <v>34150</v>
      </c>
      <c r="E190" s="32">
        <f t="shared" ref="E190:E193" si="102">IF(ISNUMBER(D190), (D190 - $B190) / $B190, "")</f>
        <v>6.1873895109015907E-3</v>
      </c>
      <c r="F190" s="18">
        <f>IF(ISNUMBER(D190), $B199 * E190, "")</f>
        <v>618.73895109015905</v>
      </c>
      <c r="G190" s="31">
        <v>33420</v>
      </c>
      <c r="H190" s="32">
        <f t="shared" ref="H190:H193" si="103">IF(ISNUMBER(G190), (G190 - $B190) / $B190, "")</f>
        <v>-1.5321154979375369E-2</v>
      </c>
      <c r="I190" s="101">
        <f>IF(ISNUMBER(G190), $B199 * H190, "")</f>
        <v>-1532.1154979375369</v>
      </c>
      <c r="J190" s="15">
        <v>32130</v>
      </c>
      <c r="K190" s="32">
        <f t="shared" ref="K190:K193" si="104">IF(ISNUMBER(J190), (J190 - $B190) / $B190, "")</f>
        <v>-5.3329404832056573E-2</v>
      </c>
      <c r="L190" s="18">
        <f>IF(ISNUMBER(J190), $B199 * K190, "")</f>
        <v>-5332.9404832056571</v>
      </c>
      <c r="M190" s="31">
        <v>31910</v>
      </c>
      <c r="N190" s="32">
        <f t="shared" ref="N190:N193" si="105">IF(ISNUMBER(M190), (M190 - $B190) / $B190, "")</f>
        <v>-5.9811431938715381E-2</v>
      </c>
      <c r="O190" s="18">
        <f>IF(ISNUMBER(M190), $B199 * N190, "")</f>
        <v>-5981.1431938715377</v>
      </c>
      <c r="Q190" s="242"/>
      <c r="R190" s="243"/>
      <c r="S190" s="244"/>
    </row>
    <row r="191" spans="1:19" ht="17.25" thickBot="1">
      <c r="A191" s="162" t="s">
        <v>248</v>
      </c>
      <c r="B191" s="126">
        <v>1810</v>
      </c>
      <c r="C191" s="77">
        <v>-9.0452261300000003E-2</v>
      </c>
      <c r="D191" s="15">
        <v>1825</v>
      </c>
      <c r="E191" s="32">
        <f t="shared" si="102"/>
        <v>8.2872928176795577E-3</v>
      </c>
      <c r="F191" s="18">
        <f>IF(ISNUMBER(D191), $B199 * E191, "")</f>
        <v>828.72928176795574</v>
      </c>
      <c r="G191" s="31">
        <v>1780</v>
      </c>
      <c r="H191" s="32">
        <f t="shared" si="103"/>
        <v>-1.6574585635359115E-2</v>
      </c>
      <c r="I191" s="101">
        <f>IF(ISNUMBER(G191), $B199 * H191, "")</f>
        <v>-1657.4585635359115</v>
      </c>
      <c r="J191" s="15">
        <v>1740</v>
      </c>
      <c r="K191" s="32">
        <f t="shared" si="104"/>
        <v>-3.8674033149171269E-2</v>
      </c>
      <c r="L191" s="18">
        <f>IF(ISNUMBER(J191), $B199 * K191, "")</f>
        <v>-3867.4033149171269</v>
      </c>
      <c r="M191" s="31">
        <v>1750</v>
      </c>
      <c r="N191" s="32">
        <f t="shared" si="105"/>
        <v>-3.3149171270718231E-2</v>
      </c>
      <c r="O191" s="18">
        <f>IF(ISNUMBER(M191), $B199 * N191, "")</f>
        <v>-3314.917127071823</v>
      </c>
      <c r="Q191" s="235"/>
      <c r="R191" s="235"/>
      <c r="S191" s="235"/>
    </row>
    <row r="192" spans="1:19" ht="17.25" thickBot="1">
      <c r="A192" s="162" t="s">
        <v>150</v>
      </c>
      <c r="B192" s="126">
        <v>2450</v>
      </c>
      <c r="C192" s="77">
        <v>-9.0909090900000003E-2</v>
      </c>
      <c r="D192" s="15">
        <v>2475</v>
      </c>
      <c r="E192" s="32">
        <f t="shared" si="102"/>
        <v>1.020408163265306E-2</v>
      </c>
      <c r="F192" s="18">
        <f>IF(ISNUMBER(D192), $B199 * E192, "")</f>
        <v>1020.408163265306</v>
      </c>
      <c r="G192" s="31">
        <v>2455</v>
      </c>
      <c r="H192" s="32">
        <f t="shared" si="103"/>
        <v>2.0408163265306124E-3</v>
      </c>
      <c r="I192" s="101">
        <f>IF(ISNUMBER(G192), $B199 * H192, "")</f>
        <v>204.08163265306123</v>
      </c>
      <c r="J192" s="15">
        <v>2370</v>
      </c>
      <c r="K192" s="32">
        <f t="shared" si="104"/>
        <v>-3.2653061224489799E-2</v>
      </c>
      <c r="L192" s="18">
        <f>IF(ISNUMBER(J192), $B199 * K192, "")</f>
        <v>-3265.3061224489797</v>
      </c>
      <c r="M192" s="31">
        <v>2380</v>
      </c>
      <c r="N192" s="32">
        <f t="shared" si="105"/>
        <v>-2.8571428571428571E-2</v>
      </c>
      <c r="O192" s="18">
        <f>IF(ISNUMBER(M192), $B199 * N192, "")</f>
        <v>-2857.1428571428569</v>
      </c>
      <c r="Q192" s="245"/>
      <c r="R192" s="245"/>
      <c r="S192" s="245"/>
    </row>
    <row r="193" spans="1:19" ht="17.25" thickBot="1">
      <c r="A193" s="163" t="s">
        <v>164</v>
      </c>
      <c r="B193" s="128">
        <v>16130</v>
      </c>
      <c r="C193" s="78">
        <v>-9.1779279300000002E-2</v>
      </c>
      <c r="D193" s="20">
        <v>17210</v>
      </c>
      <c r="E193" s="21">
        <f t="shared" si="102"/>
        <v>6.6955982641041537E-2</v>
      </c>
      <c r="F193" s="22">
        <f>IF(ISNUMBER(D193), $B199 * E193, "")</f>
        <v>6695.5982641041537</v>
      </c>
      <c r="G193" s="30">
        <v>16700</v>
      </c>
      <c r="H193" s="21">
        <f t="shared" si="103"/>
        <v>3.5337879727216366E-2</v>
      </c>
      <c r="I193" s="105">
        <f>IF(ISNUMBER(G193), $B199 * H193, "")</f>
        <v>3533.7879727216368</v>
      </c>
      <c r="J193" s="20">
        <v>16250</v>
      </c>
      <c r="K193" s="21">
        <f t="shared" si="104"/>
        <v>7.4395536267823931E-3</v>
      </c>
      <c r="L193" s="22">
        <f>IF(ISNUMBER(J193), $B199 * K193, "")</f>
        <v>743.95536267823934</v>
      </c>
      <c r="M193" s="30">
        <v>16650</v>
      </c>
      <c r="N193" s="21">
        <f t="shared" si="105"/>
        <v>3.2238065716057036E-2</v>
      </c>
      <c r="O193" s="22">
        <f>IF(ISNUMBER(M193), $B199 * N193, "")</f>
        <v>3223.8065716057035</v>
      </c>
      <c r="Q193" s="245"/>
      <c r="R193" s="245"/>
      <c r="S193" s="245"/>
    </row>
    <row r="194" spans="1:19" ht="17.25" thickBot="1">
      <c r="A194" s="162" t="s">
        <v>210</v>
      </c>
      <c r="B194" s="129">
        <v>128</v>
      </c>
      <c r="C194" s="80">
        <v>-9.2198581599999996E-2</v>
      </c>
      <c r="D194" s="106">
        <v>129</v>
      </c>
      <c r="E194" s="107">
        <f>IF(ISNUMBER(D194), (D194 - $B194) / $B194, "")</f>
        <v>7.8125E-3</v>
      </c>
      <c r="F194" s="108">
        <f>IF(ISNUMBER(D194), $B199 * E194, "")</f>
        <v>781.25</v>
      </c>
      <c r="G194" s="109">
        <v>128</v>
      </c>
      <c r="H194" s="107">
        <f>IF(ISNUMBER(G194), (G194 - $B194) / $B194, "")</f>
        <v>0</v>
      </c>
      <c r="I194" s="110">
        <f>IF(ISNUMBER(G194), $B199 * H194, "")</f>
        <v>0</v>
      </c>
      <c r="J194" s="106">
        <v>124</v>
      </c>
      <c r="K194" s="107">
        <f>IF(ISNUMBER(J194), (J194 - $B194) / $B194, "")</f>
        <v>-3.125E-2</v>
      </c>
      <c r="L194" s="108">
        <f>IF(ISNUMBER(J194), $B199 * K194, "")</f>
        <v>-3125</v>
      </c>
      <c r="M194" s="109">
        <v>126</v>
      </c>
      <c r="N194" s="107">
        <f>IF(ISNUMBER(M194), (M194 - $B194) / $B194, "")</f>
        <v>-1.5625E-2</v>
      </c>
      <c r="O194" s="108">
        <f>IF(ISNUMBER(M194), $B199 * N194, "")</f>
        <v>-1562.5</v>
      </c>
      <c r="Q194" s="235"/>
      <c r="R194" s="235"/>
      <c r="S194" s="235"/>
    </row>
    <row r="195" spans="1:19" ht="17.25" thickBot="1">
      <c r="A195" s="162" t="s">
        <v>74</v>
      </c>
      <c r="B195" s="126">
        <v>17500</v>
      </c>
      <c r="C195" s="77">
        <v>-9.3264248699999996E-2</v>
      </c>
      <c r="D195" s="15">
        <v>18540</v>
      </c>
      <c r="E195" s="32">
        <f t="shared" ref="E195:E198" si="106">IF(ISNUMBER(D195), (D195 - $B195) / $B195, "")</f>
        <v>5.9428571428571428E-2</v>
      </c>
      <c r="F195" s="18">
        <f>IF(ISNUMBER(D195), $B199 * E195, "")</f>
        <v>5942.8571428571431</v>
      </c>
      <c r="G195" s="31">
        <v>18030</v>
      </c>
      <c r="H195" s="32">
        <f t="shared" ref="H195:H198" si="107">IF(ISNUMBER(G195), (G195 - $B195) / $B195, "")</f>
        <v>3.0285714285714287E-2</v>
      </c>
      <c r="I195" s="101">
        <f>IF(ISNUMBER(G195), $B199 * H195, "")</f>
        <v>3028.5714285714289</v>
      </c>
      <c r="J195" s="15">
        <v>17400</v>
      </c>
      <c r="K195" s="32">
        <f t="shared" ref="K195:K198" si="108">IF(ISNUMBER(J195), (J195 - $B195) / $B195, "")</f>
        <v>-5.7142857142857143E-3</v>
      </c>
      <c r="L195" s="18">
        <f>IF(ISNUMBER(J195), $B199 * K195, "")</f>
        <v>-571.42857142857144</v>
      </c>
      <c r="M195" s="31">
        <v>17790</v>
      </c>
      <c r="N195" s="32">
        <f t="shared" ref="N195:N198" si="109">IF(ISNUMBER(M195), (M195 - $B195) / $B195, "")</f>
        <v>1.657142857142857E-2</v>
      </c>
      <c r="O195" s="18">
        <f>IF(ISNUMBER(M195), $B199 * N195, "")</f>
        <v>1657.1428571428571</v>
      </c>
      <c r="Q195" s="235"/>
      <c r="R195" s="235"/>
      <c r="S195" s="235"/>
    </row>
    <row r="196" spans="1:19" ht="17.25" thickBot="1">
      <c r="A196" s="162" t="s">
        <v>69</v>
      </c>
      <c r="B196" s="126">
        <v>5550</v>
      </c>
      <c r="C196" s="77">
        <v>-9.3877551000000004E-2</v>
      </c>
      <c r="D196" s="15">
        <v>5775</v>
      </c>
      <c r="E196" s="32">
        <f t="shared" si="106"/>
        <v>4.0540540540540543E-2</v>
      </c>
      <c r="F196" s="18">
        <f>IF(ISNUMBER(D196), $B199 * E196, "")</f>
        <v>4054.0540540540542</v>
      </c>
      <c r="G196" s="31">
        <v>5600</v>
      </c>
      <c r="H196" s="32">
        <f t="shared" si="107"/>
        <v>9.0090090090090089E-3</v>
      </c>
      <c r="I196" s="101">
        <f>IF(ISNUMBER(G196), $B199 * H196, "")</f>
        <v>900.90090090090087</v>
      </c>
      <c r="J196" s="15">
        <v>5390</v>
      </c>
      <c r="K196" s="32">
        <f t="shared" si="108"/>
        <v>-2.8828828828828829E-2</v>
      </c>
      <c r="L196" s="18">
        <f>IF(ISNUMBER(J196), $B199 * K196, "")</f>
        <v>-2882.8828828828828</v>
      </c>
      <c r="M196" s="31">
        <v>5385</v>
      </c>
      <c r="N196" s="32">
        <f t="shared" si="109"/>
        <v>-2.9729729729729731E-2</v>
      </c>
      <c r="O196" s="18">
        <f>IF(ISNUMBER(M196), $B199 * N196, "")</f>
        <v>-2972.9729729729729</v>
      </c>
      <c r="Q196" s="235"/>
      <c r="R196" s="235"/>
      <c r="S196" s="235"/>
    </row>
    <row r="197" spans="1:19">
      <c r="A197" s="162" t="s">
        <v>192</v>
      </c>
      <c r="B197" s="126">
        <v>1155</v>
      </c>
      <c r="C197" s="77">
        <v>-9.4117647099999993E-2</v>
      </c>
      <c r="D197" s="15">
        <v>1170</v>
      </c>
      <c r="E197" s="32">
        <f t="shared" si="106"/>
        <v>1.2987012987012988E-2</v>
      </c>
      <c r="F197" s="18">
        <f>IF(ISNUMBER(D197), $B199 * E197, "")</f>
        <v>1298.7012987012988</v>
      </c>
      <c r="G197" s="31">
        <v>1145</v>
      </c>
      <c r="H197" s="32">
        <f t="shared" si="107"/>
        <v>-8.658008658008658E-3</v>
      </c>
      <c r="I197" s="101">
        <f>IF(ISNUMBER(G197), $B199 * H197, "")</f>
        <v>-865.80086580086584</v>
      </c>
      <c r="J197" s="15">
        <v>1115</v>
      </c>
      <c r="K197" s="32">
        <f t="shared" si="108"/>
        <v>-3.4632034632034632E-2</v>
      </c>
      <c r="L197" s="18">
        <f>IF(ISNUMBER(J197), $B199 * K197, "")</f>
        <v>-3463.2034632034633</v>
      </c>
      <c r="M197" s="31">
        <v>1130</v>
      </c>
      <c r="N197" s="32">
        <f t="shared" si="109"/>
        <v>-2.1645021645021644E-2</v>
      </c>
      <c r="O197" s="18">
        <f>IF(ISNUMBER(M197), $B199 * N197, "")</f>
        <v>-2164.5021645021643</v>
      </c>
      <c r="Q197" s="224"/>
      <c r="R197" s="225"/>
      <c r="S197" s="226"/>
    </row>
    <row r="198" spans="1:19" ht="17.25" thickBot="1">
      <c r="A198" s="130" t="s">
        <v>242</v>
      </c>
      <c r="B198" s="131">
        <v>4165</v>
      </c>
      <c r="C198" s="79">
        <v>-9.4565217399999998E-2</v>
      </c>
      <c r="D198" s="24">
        <v>4165</v>
      </c>
      <c r="E198" s="25">
        <f t="shared" si="106"/>
        <v>0</v>
      </c>
      <c r="F198" s="104">
        <f>IF(ISNUMBER(D198), $B199 * E198, "")</f>
        <v>0</v>
      </c>
      <c r="G198" s="102">
        <v>4085</v>
      </c>
      <c r="H198" s="25">
        <f t="shared" si="107"/>
        <v>-1.920768307322929E-2</v>
      </c>
      <c r="I198" s="103">
        <f>IF(ISNUMBER(G198), $B199 * H198, "")</f>
        <v>-1920.7683073229291</v>
      </c>
      <c r="J198" s="24">
        <v>3960</v>
      </c>
      <c r="K198" s="25">
        <f t="shared" si="108"/>
        <v>-4.9219687875150062E-2</v>
      </c>
      <c r="L198" s="104">
        <f>IF(ISNUMBER(J198), $B199 * K198, "")</f>
        <v>-4921.9687875150057</v>
      </c>
      <c r="M198" s="102">
        <v>3980</v>
      </c>
      <c r="N198" s="25">
        <f t="shared" si="109"/>
        <v>-4.441776710684274E-2</v>
      </c>
      <c r="O198" s="104">
        <f>IF(ISNUMBER(M198), $B199 * N198, "")</f>
        <v>-4441.7767106842739</v>
      </c>
      <c r="Q198" s="227"/>
      <c r="R198" s="228"/>
      <c r="S198" s="229"/>
    </row>
    <row r="199" spans="1:19" ht="17.25" thickBot="1">
      <c r="A199" s="132" t="s">
        <v>300</v>
      </c>
      <c r="B199" s="288">
        <f>$B$37</f>
        <v>100000</v>
      </c>
      <c r="C199" s="289"/>
      <c r="D199" s="26" t="s">
        <v>301</v>
      </c>
      <c r="E199" s="27">
        <f>IF(COUNT(E179:E198), SUM(E179:E198) / COUNT(E179:E198), 0)</f>
        <v>1.9295273848137839E-2</v>
      </c>
      <c r="F199" s="28">
        <f>SUM(F179:F198)</f>
        <v>38590.547696275687</v>
      </c>
      <c r="G199" s="26" t="s">
        <v>301</v>
      </c>
      <c r="H199" s="27">
        <f>IF(COUNT(H179:H198), SUM(H179:H198) / COUNT(H179:H198), 0)</f>
        <v>-2.1781924744835395E-3</v>
      </c>
      <c r="I199" s="28">
        <f>SUM(I179:I198)</f>
        <v>-4356.3849489670774</v>
      </c>
      <c r="J199" s="26" t="s">
        <v>301</v>
      </c>
      <c r="K199" s="27">
        <f>IF(COUNT(K179:K198), SUM(K179:K198) / COUNT(K179:K198), 0)</f>
        <v>-2.9832512996191336E-2</v>
      </c>
      <c r="L199" s="28">
        <f>SUM(L179:L198)</f>
        <v>-59665.02599238266</v>
      </c>
      <c r="M199" s="26" t="s">
        <v>301</v>
      </c>
      <c r="N199" s="27">
        <f>IF(COUNT(N179:N198), SUM(N179:N198) / COUNT(N179:N198), 0)</f>
        <v>-2.2246732183941218E-2</v>
      </c>
      <c r="O199" s="28">
        <f>SUM(O179:O198)</f>
        <v>-44493.464367882429</v>
      </c>
      <c r="Q199" s="230"/>
      <c r="R199" s="231"/>
      <c r="S199" s="232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1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25" priority="157">
      <formula>AND($N17 &gt; 0, ISNUMBER($N17))</formula>
    </cfRule>
    <cfRule type="expression" dxfId="2124" priority="158">
      <formula>AND($N17 = 0 * ISNUMBER($N17))</formula>
    </cfRule>
    <cfRule type="expression" dxfId="2123" priority="159">
      <formula>AND($N17 &lt; 0, ISNUMBER($N17))</formula>
    </cfRule>
  </conditionalFormatting>
  <conditionalFormatting sqref="A17:F36">
    <cfRule type="expression" dxfId="2122" priority="166">
      <formula>AND($E17 &gt; 0, ISNUMBER($E17))</formula>
    </cfRule>
    <cfRule type="expression" dxfId="2121" priority="167">
      <formula>AND($E17 = 0 * ISNUMBER($E17))</formula>
    </cfRule>
    <cfRule type="expression" dxfId="2120" priority="168">
      <formula>AND($E17 &lt; 0, ISNUMBER($E17))</formula>
    </cfRule>
  </conditionalFormatting>
  <conditionalFormatting sqref="A17:C36 G17:I36">
    <cfRule type="expression" dxfId="2119" priority="163">
      <formula>AND($H17 &gt; 0, ISNUMBER($H17))</formula>
    </cfRule>
    <cfRule type="expression" dxfId="2118" priority="164">
      <formula>AND($H17 = 0 * ISNUMBER($H17))</formula>
    </cfRule>
    <cfRule type="expression" dxfId="2117" priority="165">
      <formula>AND($H17 &lt; 0, ISNUMBER($H17))</formula>
    </cfRule>
  </conditionalFormatting>
  <conditionalFormatting sqref="A17:C36 J17:L36">
    <cfRule type="expression" dxfId="2116" priority="160">
      <formula>AND($K17 &gt; 0, ISNUMBER($K17))</formula>
    </cfRule>
    <cfRule type="expression" dxfId="2115" priority="161">
      <formula>AND($K17 = 0 * ISNUMBER($K17))</formula>
    </cfRule>
    <cfRule type="expression" dxfId="2114" priority="162">
      <formula>AND($K17 &lt; 0, ISNUMBER($K17))</formula>
    </cfRule>
  </conditionalFormatting>
  <conditionalFormatting sqref="D15:F16 E37:F37">
    <cfRule type="expression" dxfId="2113" priority="154">
      <formula>$E$37 &gt; 0</formula>
    </cfRule>
    <cfRule type="expression" dxfId="2112" priority="155">
      <formula>$E$37 = 0</formula>
    </cfRule>
    <cfRule type="expression" dxfId="2111" priority="156">
      <formula>$E$37 &lt; 0</formula>
    </cfRule>
  </conditionalFormatting>
  <conditionalFormatting sqref="G15:I16 H37:I37">
    <cfRule type="expression" dxfId="2110" priority="151">
      <formula>$H$37 &gt; 0</formula>
    </cfRule>
    <cfRule type="expression" dxfId="2109" priority="152">
      <formula>$H$37 = 0</formula>
    </cfRule>
    <cfRule type="expression" dxfId="2108" priority="153">
      <formula>$H$37 &lt; 0</formula>
    </cfRule>
  </conditionalFormatting>
  <conditionalFormatting sqref="J15:L16 K37:L37">
    <cfRule type="expression" dxfId="2107" priority="148">
      <formula>$K$37 &gt; 0</formula>
    </cfRule>
    <cfRule type="expression" dxfId="2106" priority="149">
      <formula>$K$37 = 0</formula>
    </cfRule>
    <cfRule type="expression" dxfId="2105" priority="150">
      <formula>$K$37 &lt; 0</formula>
    </cfRule>
  </conditionalFormatting>
  <conditionalFormatting sqref="M15:O16 N37:O37">
    <cfRule type="expression" dxfId="2104" priority="145">
      <formula>$N$37 &gt; 0</formula>
    </cfRule>
    <cfRule type="expression" dxfId="2103" priority="146">
      <formula>$N$37 = 0</formula>
    </cfRule>
    <cfRule type="expression" dxfId="2102" priority="147">
      <formula>$N$37 &lt; 0</formula>
    </cfRule>
  </conditionalFormatting>
  <conditionalFormatting sqref="A44:C63 M44:O63">
    <cfRule type="expression" dxfId="2101" priority="133">
      <formula>AND($N44 &gt; 0, ISNUMBER($N44))</formula>
    </cfRule>
    <cfRule type="expression" dxfId="2100" priority="134">
      <formula>AND($N44 = 0 * ISNUMBER($N44))</formula>
    </cfRule>
    <cfRule type="expression" dxfId="2099" priority="135">
      <formula>AND($N44 &lt; 0, ISNUMBER($N44))</formula>
    </cfRule>
  </conditionalFormatting>
  <conditionalFormatting sqref="A44:F63">
    <cfRule type="expression" dxfId="2098" priority="142">
      <formula>AND($E44 &gt; 0, ISNUMBER($E44))</formula>
    </cfRule>
    <cfRule type="expression" dxfId="2097" priority="143">
      <formula>AND($E44 = 0 * ISNUMBER($E44))</formula>
    </cfRule>
    <cfRule type="expression" dxfId="2096" priority="144">
      <formula>AND($E44 &lt; 0, ISNUMBER($E44))</formula>
    </cfRule>
  </conditionalFormatting>
  <conditionalFormatting sqref="A44:C63 G44:I63">
    <cfRule type="expression" dxfId="2095" priority="139">
      <formula>AND($H44 &gt; 0, ISNUMBER($H44))</formula>
    </cfRule>
    <cfRule type="expression" dxfId="2094" priority="140">
      <formula>AND($H44 = 0 * ISNUMBER($H44))</formula>
    </cfRule>
    <cfRule type="expression" dxfId="2093" priority="141">
      <formula>AND($H44 &lt; 0, ISNUMBER($H44))</formula>
    </cfRule>
  </conditionalFormatting>
  <conditionalFormatting sqref="A44:C63 J44:L63">
    <cfRule type="expression" dxfId="2092" priority="136">
      <formula>AND($K44 &gt; 0, ISNUMBER($K44))</formula>
    </cfRule>
    <cfRule type="expression" dxfId="2091" priority="137">
      <formula>AND($K44 = 0 * ISNUMBER($K44))</formula>
    </cfRule>
    <cfRule type="expression" dxfId="2090" priority="138">
      <formula>AND($K44 &lt; 0, ISNUMBER($K44))</formula>
    </cfRule>
  </conditionalFormatting>
  <conditionalFormatting sqref="D42:F43 E64:F64">
    <cfRule type="expression" dxfId="2089" priority="130">
      <formula>$E$64 &gt; 0</formula>
    </cfRule>
    <cfRule type="expression" dxfId="2088" priority="131">
      <formula>$E$64 = 0</formula>
    </cfRule>
    <cfRule type="expression" dxfId="2087" priority="132">
      <formula>$E$64 &lt; 0</formula>
    </cfRule>
  </conditionalFormatting>
  <conditionalFormatting sqref="G42:I43 H64:I64">
    <cfRule type="expression" dxfId="2086" priority="127">
      <formula>$H$64 &gt; 0</formula>
    </cfRule>
    <cfRule type="expression" dxfId="2085" priority="128">
      <formula>$H$64 = 0</formula>
    </cfRule>
    <cfRule type="expression" dxfId="2084" priority="129">
      <formula>$H$64 &lt; 0</formula>
    </cfRule>
  </conditionalFormatting>
  <conditionalFormatting sqref="J42:L43 K64:L64">
    <cfRule type="expression" dxfId="2083" priority="124">
      <formula>$K$64 &gt; 0</formula>
    </cfRule>
    <cfRule type="expression" dxfId="2082" priority="125">
      <formula>$K$64 = 0</formula>
    </cfRule>
    <cfRule type="expression" dxfId="2081" priority="126">
      <formula>$K$64 &lt; 0</formula>
    </cfRule>
  </conditionalFormatting>
  <conditionalFormatting sqref="M42:O43 N64:O64">
    <cfRule type="expression" dxfId="2080" priority="121">
      <formula>$N$64 &gt; 0</formula>
    </cfRule>
    <cfRule type="expression" dxfId="2079" priority="122">
      <formula>$N$64 = 0</formula>
    </cfRule>
    <cfRule type="expression" dxfId="2078" priority="123">
      <formula>$N$64 &lt; 0</formula>
    </cfRule>
  </conditionalFormatting>
  <conditionalFormatting sqref="A71:C90 M71:O90">
    <cfRule type="expression" dxfId="2077" priority="109">
      <formula>AND($N71 &gt; 0, ISNUMBER($N71))</formula>
    </cfRule>
    <cfRule type="expression" dxfId="2076" priority="110">
      <formula>AND($N71 = 0 * ISNUMBER($N71))</formula>
    </cfRule>
    <cfRule type="expression" dxfId="2075" priority="111">
      <formula>AND($N71 &lt; 0, ISNUMBER($N71))</formula>
    </cfRule>
  </conditionalFormatting>
  <conditionalFormatting sqref="A71:F90">
    <cfRule type="expression" dxfId="2074" priority="118">
      <formula>AND($E71 &gt; 0, ISNUMBER($E71))</formula>
    </cfRule>
    <cfRule type="expression" dxfId="2073" priority="119">
      <formula>AND($E71 = 0 * ISNUMBER($E71))</formula>
    </cfRule>
    <cfRule type="expression" dxfId="2072" priority="120">
      <formula>AND($E71 &lt; 0, ISNUMBER($E71))</formula>
    </cfRule>
  </conditionalFormatting>
  <conditionalFormatting sqref="A71:C90 G71:I90">
    <cfRule type="expression" dxfId="2071" priority="115">
      <formula>AND($H71 &gt; 0, ISNUMBER($H71))</formula>
    </cfRule>
    <cfRule type="expression" dxfId="2070" priority="116">
      <formula>AND($H71 = 0 * ISNUMBER($H71))</formula>
    </cfRule>
    <cfRule type="expression" dxfId="2069" priority="117">
      <formula>AND($H71 &lt; 0, ISNUMBER($H71))</formula>
    </cfRule>
  </conditionalFormatting>
  <conditionalFormatting sqref="A71:C90 J71:L90">
    <cfRule type="expression" dxfId="2068" priority="112">
      <formula>AND($K71 &gt; 0, ISNUMBER($K71))</formula>
    </cfRule>
    <cfRule type="expression" dxfId="2067" priority="113">
      <formula>AND($K71 = 0 * ISNUMBER($K71))</formula>
    </cfRule>
    <cfRule type="expression" dxfId="2066" priority="114">
      <formula>AND($K71 &lt; 0, ISNUMBER($K71))</formula>
    </cfRule>
  </conditionalFormatting>
  <conditionalFormatting sqref="D69:F70 E91:F91">
    <cfRule type="expression" dxfId="2065" priority="106">
      <formula>$E$91 &gt; 0</formula>
    </cfRule>
    <cfRule type="expression" dxfId="2064" priority="107">
      <formula>$E$91 = 0</formula>
    </cfRule>
    <cfRule type="expression" dxfId="2063" priority="108">
      <formula>$E$91 &lt; 0</formula>
    </cfRule>
  </conditionalFormatting>
  <conditionalFormatting sqref="G69:I70 H91:I91">
    <cfRule type="expression" dxfId="2062" priority="103">
      <formula>$H$91 &gt; 0</formula>
    </cfRule>
    <cfRule type="expression" dxfId="2061" priority="104">
      <formula>$H$91 = 0</formula>
    </cfRule>
    <cfRule type="expression" dxfId="2060" priority="105">
      <formula>$H$91 &lt; 0</formula>
    </cfRule>
  </conditionalFormatting>
  <conditionalFormatting sqref="J69:L70 K91:L91">
    <cfRule type="expression" dxfId="2059" priority="100">
      <formula>$K$91 &gt; 0</formula>
    </cfRule>
    <cfRule type="expression" dxfId="2058" priority="101">
      <formula>$K$91 = 0</formula>
    </cfRule>
    <cfRule type="expression" dxfId="2057" priority="102">
      <formula>$K$91 &lt; 0</formula>
    </cfRule>
  </conditionalFormatting>
  <conditionalFormatting sqref="M69:O70 N91:O91">
    <cfRule type="expression" dxfId="2056" priority="97">
      <formula>$N$91 &gt; 0</formula>
    </cfRule>
    <cfRule type="expression" dxfId="2055" priority="98">
      <formula>$N$91 = 0</formula>
    </cfRule>
    <cfRule type="expression" dxfId="2054" priority="99">
      <formula>$N$91 &lt; 0</formula>
    </cfRule>
  </conditionalFormatting>
  <conditionalFormatting sqref="A98:C117 M98:O117">
    <cfRule type="expression" dxfId="2053" priority="85">
      <formula>AND($N98 &gt; 0, ISNUMBER($N98))</formula>
    </cfRule>
    <cfRule type="expression" dxfId="2052" priority="86">
      <formula>AND($N98 = 0 * ISNUMBER($N98))</formula>
    </cfRule>
    <cfRule type="expression" dxfId="2051" priority="87">
      <formula>AND($N98 &lt; 0, ISNUMBER($N98))</formula>
    </cfRule>
  </conditionalFormatting>
  <conditionalFormatting sqref="A98:F117">
    <cfRule type="expression" dxfId="2050" priority="94">
      <formula>AND($E98 &gt; 0, ISNUMBER($E98))</formula>
    </cfRule>
    <cfRule type="expression" dxfId="2049" priority="95">
      <formula>AND($E98 = 0 * ISNUMBER($E98))</formula>
    </cfRule>
    <cfRule type="expression" dxfId="2048" priority="96">
      <formula>AND($E98 &lt; 0, ISNUMBER($E98))</formula>
    </cfRule>
  </conditionalFormatting>
  <conditionalFormatting sqref="A98:C117 G98:I117">
    <cfRule type="expression" dxfId="2047" priority="91">
      <formula>AND($H98 &gt; 0, ISNUMBER($H98))</formula>
    </cfRule>
    <cfRule type="expression" dxfId="2046" priority="92">
      <formula>AND($H98 = 0 * ISNUMBER($H98))</formula>
    </cfRule>
    <cfRule type="expression" dxfId="2045" priority="93">
      <formula>AND($H98 &lt; 0, ISNUMBER($H98))</formula>
    </cfRule>
  </conditionalFormatting>
  <conditionalFormatting sqref="A98:C117 J98:L117">
    <cfRule type="expression" dxfId="2044" priority="88">
      <formula>AND($K98 &gt; 0, ISNUMBER($K98))</formula>
    </cfRule>
    <cfRule type="expression" dxfId="2043" priority="89">
      <formula>AND($K98 = 0 * ISNUMBER($K98))</formula>
    </cfRule>
    <cfRule type="expression" dxfId="2042" priority="90">
      <formula>AND($K98 &lt; 0, ISNUMBER($K98))</formula>
    </cfRule>
  </conditionalFormatting>
  <conditionalFormatting sqref="D96:F97 E118:F118">
    <cfRule type="expression" dxfId="2041" priority="82">
      <formula>$E$118 &gt; 0</formula>
    </cfRule>
    <cfRule type="expression" dxfId="2040" priority="83">
      <formula>$E$118 = 0</formula>
    </cfRule>
    <cfRule type="expression" dxfId="2039" priority="84">
      <formula>$E$118 &lt; 0</formula>
    </cfRule>
  </conditionalFormatting>
  <conditionalFormatting sqref="G96:I97 H118:I118">
    <cfRule type="expression" dxfId="2038" priority="79">
      <formula>$H$118 &gt; 0</formula>
    </cfRule>
    <cfRule type="expression" dxfId="2037" priority="80">
      <formula>$H$118 = 0</formula>
    </cfRule>
    <cfRule type="expression" dxfId="2036" priority="81">
      <formula>$H$118 &lt; 0</formula>
    </cfRule>
  </conditionalFormatting>
  <conditionalFormatting sqref="J96:L97 K118:L118">
    <cfRule type="expression" dxfId="2035" priority="76">
      <formula>$K$118 &gt; 0</formula>
    </cfRule>
    <cfRule type="expression" dxfId="2034" priority="77">
      <formula>$K$118 = 0</formula>
    </cfRule>
    <cfRule type="expression" dxfId="2033" priority="78">
      <formula>$K$118 &lt; 0</formula>
    </cfRule>
  </conditionalFormatting>
  <conditionalFormatting sqref="M96:O97 N118:O118">
    <cfRule type="expression" dxfId="2032" priority="73">
      <formula>$N$118 &gt; 0</formula>
    </cfRule>
    <cfRule type="expression" dxfId="2031" priority="74">
      <formula>$N$118 = 0</formula>
    </cfRule>
    <cfRule type="expression" dxfId="2030" priority="75">
      <formula>$N$118 &lt; 0</formula>
    </cfRule>
  </conditionalFormatting>
  <conditionalFormatting sqref="A125:C144 M125:O144">
    <cfRule type="expression" dxfId="2029" priority="61">
      <formula>AND($N125 &gt; 0, ISNUMBER($N125))</formula>
    </cfRule>
    <cfRule type="expression" dxfId="2028" priority="62">
      <formula>AND($N125 = 0 * ISNUMBER($N125))</formula>
    </cfRule>
    <cfRule type="expression" dxfId="2027" priority="63">
      <formula>AND($N125 &lt; 0, ISNUMBER($N125))</formula>
    </cfRule>
  </conditionalFormatting>
  <conditionalFormatting sqref="A125:F144">
    <cfRule type="expression" dxfId="2026" priority="70">
      <formula>AND($E125 &gt; 0, ISNUMBER($E125))</formula>
    </cfRule>
    <cfRule type="expression" dxfId="2025" priority="71">
      <formula>AND($E125 = 0 * ISNUMBER($E125))</formula>
    </cfRule>
    <cfRule type="expression" dxfId="2024" priority="72">
      <formula>AND($E125 &lt; 0, ISNUMBER($E125))</formula>
    </cfRule>
  </conditionalFormatting>
  <conditionalFormatting sqref="A125:C144 G125:I144">
    <cfRule type="expression" dxfId="2023" priority="67">
      <formula>AND($H125 &gt; 0, ISNUMBER($H125))</formula>
    </cfRule>
    <cfRule type="expression" dxfId="2022" priority="68">
      <formula>AND($H125 = 0 * ISNUMBER($H125))</formula>
    </cfRule>
    <cfRule type="expression" dxfId="2021" priority="69">
      <formula>AND($H125 &lt; 0, ISNUMBER($H125))</formula>
    </cfRule>
  </conditionalFormatting>
  <conditionalFormatting sqref="A125:C144 J125:L144">
    <cfRule type="expression" dxfId="2020" priority="64">
      <formula>AND($K125 &gt; 0, ISNUMBER($K125))</formula>
    </cfRule>
    <cfRule type="expression" dxfId="2019" priority="65">
      <formula>AND($K125 = 0 * ISNUMBER($K125))</formula>
    </cfRule>
    <cfRule type="expression" dxfId="2018" priority="66">
      <formula>AND($K125 &lt; 0, ISNUMBER($K125))</formula>
    </cfRule>
  </conditionalFormatting>
  <conditionalFormatting sqref="D123:F124 E145:F145">
    <cfRule type="expression" dxfId="2017" priority="58">
      <formula>$E$145 &gt; 0</formula>
    </cfRule>
    <cfRule type="expression" dxfId="2016" priority="59">
      <formula>$E$145 = 0</formula>
    </cfRule>
    <cfRule type="expression" dxfId="2015" priority="60">
      <formula>$E$145 &lt; 0</formula>
    </cfRule>
  </conditionalFormatting>
  <conditionalFormatting sqref="G123:I124 H145:I145">
    <cfRule type="expression" dxfId="2014" priority="55">
      <formula>$H$145 &gt; 0</formula>
    </cfRule>
    <cfRule type="expression" dxfId="2013" priority="56">
      <formula>$H$145 = 0</formula>
    </cfRule>
    <cfRule type="expression" dxfId="2012" priority="57">
      <formula>$H$145 &lt; 0</formula>
    </cfRule>
  </conditionalFormatting>
  <conditionalFormatting sqref="J123:L124 K145:L145">
    <cfRule type="expression" dxfId="2011" priority="52">
      <formula>$K$145 &gt; 0</formula>
    </cfRule>
    <cfRule type="expression" dxfId="2010" priority="53">
      <formula>$K$145 = 0</formula>
    </cfRule>
    <cfRule type="expression" dxfId="2009" priority="54">
      <formula>$K$145 &lt; 0</formula>
    </cfRule>
  </conditionalFormatting>
  <conditionalFormatting sqref="M123:O124 N145:O145">
    <cfRule type="expression" dxfId="2008" priority="49">
      <formula>$N$145 &gt; 0</formula>
    </cfRule>
    <cfRule type="expression" dxfId="2007" priority="50">
      <formula>$N$145 = 0</formula>
    </cfRule>
    <cfRule type="expression" dxfId="2006" priority="51">
      <formula>$N$145 &lt; 0</formula>
    </cfRule>
  </conditionalFormatting>
  <conditionalFormatting sqref="A152:C171 M152:O171">
    <cfRule type="expression" dxfId="2005" priority="37">
      <formula>AND($N152 &gt; 0, ISNUMBER($N152))</formula>
    </cfRule>
    <cfRule type="expression" dxfId="2004" priority="38">
      <formula>AND($N152 = 0 * ISNUMBER($N152))</formula>
    </cfRule>
    <cfRule type="expression" dxfId="2003" priority="39">
      <formula>AND($N152 &lt; 0, ISNUMBER($N152))</formula>
    </cfRule>
  </conditionalFormatting>
  <conditionalFormatting sqref="A152:F171">
    <cfRule type="expression" dxfId="2002" priority="46">
      <formula>AND($E152 &gt; 0, ISNUMBER($E152))</formula>
    </cfRule>
    <cfRule type="expression" dxfId="2001" priority="47">
      <formula>AND($E152 = 0 * ISNUMBER($E152))</formula>
    </cfRule>
    <cfRule type="expression" dxfId="2000" priority="48">
      <formula>AND($E152 &lt; 0, ISNUMBER($E152))</formula>
    </cfRule>
  </conditionalFormatting>
  <conditionalFormatting sqref="A152:C171 G152:I171">
    <cfRule type="expression" dxfId="1999" priority="43">
      <formula>AND($H152 &gt; 0, ISNUMBER($H152))</formula>
    </cfRule>
    <cfRule type="expression" dxfId="1998" priority="44">
      <formula>AND($H152 = 0 * ISNUMBER($H152))</formula>
    </cfRule>
    <cfRule type="expression" dxfId="1997" priority="45">
      <formula>AND($H152 &lt; 0, ISNUMBER($H152))</formula>
    </cfRule>
  </conditionalFormatting>
  <conditionalFormatting sqref="A152:C171 J152:L171">
    <cfRule type="expression" dxfId="1996" priority="40">
      <formula>AND($K152 &gt; 0, ISNUMBER($K152))</formula>
    </cfRule>
    <cfRule type="expression" dxfId="1995" priority="41">
      <formula>AND($K152 = 0 * ISNUMBER($K152))</formula>
    </cfRule>
    <cfRule type="expression" dxfId="1994" priority="42">
      <formula>AND($K152 &lt; 0, ISNUMBER($K152))</formula>
    </cfRule>
  </conditionalFormatting>
  <conditionalFormatting sqref="D150:F151 E172:F172">
    <cfRule type="expression" dxfId="1993" priority="34">
      <formula>$E$172 &gt; 0</formula>
    </cfRule>
    <cfRule type="expression" dxfId="1992" priority="35">
      <formula>$E$172 = 0</formula>
    </cfRule>
    <cfRule type="expression" dxfId="1991" priority="36">
      <formula>$E$172 &lt; 0</formula>
    </cfRule>
  </conditionalFormatting>
  <conditionalFormatting sqref="G150:I151 H172:I172">
    <cfRule type="expression" dxfId="1990" priority="31">
      <formula>$H$172 &gt; 0</formula>
    </cfRule>
    <cfRule type="expression" dxfId="1989" priority="32">
      <formula>$H$172 = 0</formula>
    </cfRule>
    <cfRule type="expression" dxfId="1988" priority="33">
      <formula>$H$172 &lt; 0</formula>
    </cfRule>
  </conditionalFormatting>
  <conditionalFormatting sqref="J150:L151 K172:L172">
    <cfRule type="expression" dxfId="1987" priority="28">
      <formula>$K$172 &gt; 0</formula>
    </cfRule>
    <cfRule type="expression" dxfId="1986" priority="29">
      <formula>$K$172 = 0</formula>
    </cfRule>
    <cfRule type="expression" dxfId="1985" priority="30">
      <formula>$K$172 &lt; 0</formula>
    </cfRule>
  </conditionalFormatting>
  <conditionalFormatting sqref="M150:O151 N172:O172">
    <cfRule type="expression" dxfId="1984" priority="25">
      <formula>$N$172 &gt; 0</formula>
    </cfRule>
    <cfRule type="expression" dxfId="1983" priority="26">
      <formula>$N$172 = 0</formula>
    </cfRule>
    <cfRule type="expression" dxfId="1982" priority="27">
      <formula>$N$172 &lt; 0</formula>
    </cfRule>
  </conditionalFormatting>
  <conditionalFormatting sqref="A179:C198 M179:O198">
    <cfRule type="expression" dxfId="1981" priority="13">
      <formula>AND($N179 &gt; 0, ISNUMBER($N179))</formula>
    </cfRule>
    <cfRule type="expression" dxfId="1980" priority="14">
      <formula>AND($N179 = 0 * ISNUMBER($N179))</formula>
    </cfRule>
    <cfRule type="expression" dxfId="1979" priority="15">
      <formula>AND($N179 &lt; 0, ISNUMBER($N179))</formula>
    </cfRule>
  </conditionalFormatting>
  <conditionalFormatting sqref="A179:F198">
    <cfRule type="expression" dxfId="1978" priority="22">
      <formula>AND($E179 &gt; 0, ISNUMBER($E179))</formula>
    </cfRule>
    <cfRule type="expression" dxfId="1977" priority="23">
      <formula>AND($E179 = 0 * ISNUMBER($E179))</formula>
    </cfRule>
    <cfRule type="expression" dxfId="1976" priority="24">
      <formula>AND($E179 &lt; 0, ISNUMBER($E179))</formula>
    </cfRule>
  </conditionalFormatting>
  <conditionalFormatting sqref="A179:C198 G179:I198">
    <cfRule type="expression" dxfId="1975" priority="19">
      <formula>AND($H179 &gt; 0, ISNUMBER($H179))</formula>
    </cfRule>
    <cfRule type="expression" dxfId="1974" priority="20">
      <formula>AND($H179 = 0 * ISNUMBER($H179))</formula>
    </cfRule>
    <cfRule type="expression" dxfId="1973" priority="21">
      <formula>AND($H179 &lt; 0, ISNUMBER($H179))</formula>
    </cfRule>
  </conditionalFormatting>
  <conditionalFormatting sqref="A179:C198 J179:L198">
    <cfRule type="expression" dxfId="1972" priority="16">
      <formula>AND($K179 &gt; 0, ISNUMBER($K179))</formula>
    </cfRule>
    <cfRule type="expression" dxfId="1971" priority="17">
      <formula>AND($K179 = 0 * ISNUMBER($K179))</formula>
    </cfRule>
    <cfRule type="expression" dxfId="1970" priority="18">
      <formula>AND($K179 &lt; 0, ISNUMBER($K179))</formula>
    </cfRule>
  </conditionalFormatting>
  <conditionalFormatting sqref="D177:F178 E199:F199">
    <cfRule type="expression" dxfId="1969" priority="10">
      <formula>$E$199 &gt; 0</formula>
    </cfRule>
    <cfRule type="expression" dxfId="1968" priority="11">
      <formula>$E$199 = 0</formula>
    </cfRule>
    <cfRule type="expression" dxfId="1967" priority="12">
      <formula>$E$199 &lt; 0</formula>
    </cfRule>
  </conditionalFormatting>
  <conditionalFormatting sqref="G177:I178 H199:I199">
    <cfRule type="expression" dxfId="1966" priority="7">
      <formula>$H$199 &gt; 0</formula>
    </cfRule>
    <cfRule type="expression" dxfId="1965" priority="8">
      <formula>$H$199 = 0</formula>
    </cfRule>
    <cfRule type="expression" dxfId="1964" priority="9">
      <formula>$H$199 &lt; 0</formula>
    </cfRule>
  </conditionalFormatting>
  <conditionalFormatting sqref="J177:L178 K199:L199">
    <cfRule type="expression" dxfId="1963" priority="4">
      <formula>$K$199 &gt; 0</formula>
    </cfRule>
    <cfRule type="expression" dxfId="1962" priority="5">
      <formula>$K$199 = 0</formula>
    </cfRule>
    <cfRule type="expression" dxfId="1961" priority="6">
      <formula>$K$199 &lt; 0</formula>
    </cfRule>
  </conditionalFormatting>
  <conditionalFormatting sqref="M177:O178 N199:O199">
    <cfRule type="expression" dxfId="1960" priority="1">
      <formula>$N$199 &gt; 0</formula>
    </cfRule>
    <cfRule type="expression" dxfId="1959" priority="2">
      <formula>$N$199 = 0</formula>
    </cfRule>
    <cfRule type="expression" dxfId="19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BB13A-978B-49CD-96E3-9D86ABA1EC6E}">
  <sheetPr codeName="Sheet12"/>
  <dimension ref="A1:S199"/>
  <sheetViews>
    <sheetView topLeftCell="A90" zoomScaleNormal="100" workbookViewId="0">
      <selection activeCell="A100" sqref="A100:XFD10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6" t="s">
        <v>0</v>
      </c>
      <c r="B1" s="247"/>
      <c r="C1" s="247"/>
      <c r="D1" s="247"/>
      <c r="E1" s="247"/>
      <c r="F1" s="248"/>
      <c r="G1" s="277">
        <v>44353</v>
      </c>
      <c r="H1" s="278"/>
      <c r="I1" s="279"/>
      <c r="J1" s="246" t="s">
        <v>1</v>
      </c>
      <c r="K1" s="247"/>
      <c r="L1" s="247"/>
      <c r="M1" s="247"/>
      <c r="N1" s="247"/>
      <c r="O1" s="248"/>
      <c r="Q1" s="246" t="s">
        <v>2</v>
      </c>
      <c r="R1" s="248"/>
    </row>
    <row r="2" spans="1:19" ht="17.25" customHeight="1">
      <c r="A2" s="117" t="s">
        <v>3</v>
      </c>
      <c r="B2" s="280" t="s">
        <v>8</v>
      </c>
      <c r="C2" s="281"/>
      <c r="D2" s="281"/>
      <c r="E2" s="281"/>
      <c r="F2" s="282"/>
      <c r="G2" s="274" t="s">
        <v>46</v>
      </c>
      <c r="H2" s="275"/>
      <c r="I2" s="276"/>
      <c r="J2" s="1" t="s">
        <v>3</v>
      </c>
      <c r="K2" s="280" t="s">
        <v>350</v>
      </c>
      <c r="L2" s="281"/>
      <c r="M2" s="281"/>
      <c r="N2" s="281"/>
      <c r="O2" s="282"/>
      <c r="Q2" s="2" t="s">
        <v>6</v>
      </c>
      <c r="R2" s="3">
        <v>0.375</v>
      </c>
    </row>
    <row r="3" spans="1:19" ht="17.25" customHeight="1" thickBot="1">
      <c r="A3" s="118" t="s">
        <v>7</v>
      </c>
      <c r="B3" s="271" t="s">
        <v>358</v>
      </c>
      <c r="C3" s="272"/>
      <c r="D3" s="272"/>
      <c r="E3" s="272"/>
      <c r="F3" s="273"/>
      <c r="G3" s="26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4,251 KRW (0.21%)</v>
      </c>
      <c r="H3" s="268"/>
      <c r="I3" s="269"/>
      <c r="J3" s="4" t="s">
        <v>7</v>
      </c>
      <c r="K3" s="271" t="s">
        <v>351</v>
      </c>
      <c r="L3" s="272"/>
      <c r="M3" s="272"/>
      <c r="N3" s="272"/>
      <c r="O3" s="27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1" t="s">
        <v>16</v>
      </c>
      <c r="C4" s="272"/>
      <c r="D4" s="272"/>
      <c r="E4" s="272"/>
      <c r="F4" s="273"/>
      <c r="G4" s="274" t="s">
        <v>44</v>
      </c>
      <c r="H4" s="275"/>
      <c r="I4" s="276"/>
      <c r="J4" s="4" t="s">
        <v>11</v>
      </c>
      <c r="K4" s="271" t="s">
        <v>352</v>
      </c>
      <c r="L4" s="272"/>
      <c r="M4" s="272"/>
      <c r="N4" s="272"/>
      <c r="O4" s="27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1" t="s">
        <v>349</v>
      </c>
      <c r="C5" s="272"/>
      <c r="D5" s="272"/>
      <c r="E5" s="272"/>
      <c r="F5" s="273"/>
      <c r="G5" s="26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63,335 KRW (3.17%)</v>
      </c>
      <c r="H5" s="268"/>
      <c r="I5" s="269"/>
      <c r="J5" s="4" t="s">
        <v>15</v>
      </c>
      <c r="K5" s="271" t="s">
        <v>353</v>
      </c>
      <c r="L5" s="272"/>
      <c r="M5" s="272"/>
      <c r="N5" s="272"/>
      <c r="O5" s="273"/>
    </row>
    <row r="6" spans="1:19">
      <c r="A6" s="118" t="s">
        <v>18</v>
      </c>
      <c r="B6" s="271"/>
      <c r="C6" s="272"/>
      <c r="D6" s="272"/>
      <c r="E6" s="272"/>
      <c r="F6" s="273"/>
      <c r="G6" s="274" t="s">
        <v>45</v>
      </c>
      <c r="H6" s="275"/>
      <c r="I6" s="276"/>
      <c r="J6" s="4" t="s">
        <v>18</v>
      </c>
      <c r="K6" s="271" t="s">
        <v>354</v>
      </c>
      <c r="L6" s="272"/>
      <c r="M6" s="272"/>
      <c r="N6" s="272"/>
      <c r="O6" s="273"/>
    </row>
    <row r="7" spans="1:19" ht="17.25" thickBot="1">
      <c r="A7" s="118" t="s">
        <v>21</v>
      </c>
      <c r="B7" s="271"/>
      <c r="C7" s="272"/>
      <c r="D7" s="272"/>
      <c r="E7" s="272"/>
      <c r="F7" s="273"/>
      <c r="G7" s="26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12,813 KRW (0.64%)</v>
      </c>
      <c r="H7" s="268"/>
      <c r="I7" s="269"/>
      <c r="J7" s="4" t="s">
        <v>21</v>
      </c>
      <c r="K7" s="271" t="s">
        <v>355</v>
      </c>
      <c r="L7" s="272"/>
      <c r="M7" s="272"/>
      <c r="N7" s="272"/>
      <c r="O7" s="273"/>
    </row>
    <row r="8" spans="1:19" ht="17.25" thickBot="1">
      <c r="A8" s="118" t="s">
        <v>24</v>
      </c>
      <c r="B8" s="271"/>
      <c r="C8" s="272"/>
      <c r="D8" s="272"/>
      <c r="E8" s="272"/>
      <c r="F8" s="273"/>
      <c r="G8" s="274" t="s">
        <v>285</v>
      </c>
      <c r="H8" s="275"/>
      <c r="I8" s="276"/>
      <c r="J8" s="4" t="s">
        <v>24</v>
      </c>
      <c r="K8" s="271"/>
      <c r="L8" s="272"/>
      <c r="M8" s="272"/>
      <c r="N8" s="272"/>
      <c r="O8" s="273"/>
      <c r="Q8" s="246" t="s">
        <v>27</v>
      </c>
      <c r="R8" s="248"/>
    </row>
    <row r="9" spans="1:19" ht="17.25" thickBot="1">
      <c r="A9" s="118" t="s">
        <v>28</v>
      </c>
      <c r="B9" s="271"/>
      <c r="C9" s="272"/>
      <c r="D9" s="272"/>
      <c r="E9" s="272"/>
      <c r="F9" s="273"/>
      <c r="G9" s="26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39,878 KRW (1.99%)</v>
      </c>
      <c r="H9" s="268"/>
      <c r="I9" s="269"/>
      <c r="J9" s="4" t="s">
        <v>28</v>
      </c>
      <c r="K9" s="271"/>
      <c r="L9" s="272"/>
      <c r="M9" s="272"/>
      <c r="N9" s="272"/>
      <c r="O9" s="273"/>
      <c r="Q9" s="2" t="s">
        <v>29</v>
      </c>
      <c r="R9" s="6">
        <v>10</v>
      </c>
    </row>
    <row r="10" spans="1:19">
      <c r="A10" s="118" t="s">
        <v>30</v>
      </c>
      <c r="B10" s="271"/>
      <c r="C10" s="272"/>
      <c r="D10" s="272"/>
      <c r="E10" s="272"/>
      <c r="F10" s="273"/>
      <c r="G10" s="274" t="s">
        <v>47</v>
      </c>
      <c r="H10" s="275"/>
      <c r="I10" s="276"/>
      <c r="J10" s="4" t="s">
        <v>30</v>
      </c>
      <c r="K10" s="271" t="s">
        <v>356</v>
      </c>
      <c r="L10" s="272"/>
      <c r="M10" s="272"/>
      <c r="N10" s="272"/>
      <c r="O10" s="273"/>
      <c r="Q10" s="2" t="s">
        <v>31</v>
      </c>
      <c r="R10" s="6">
        <v>100</v>
      </c>
    </row>
    <row r="11" spans="1:19" ht="17.25" thickBot="1">
      <c r="A11" s="119" t="s">
        <v>32</v>
      </c>
      <c r="B11" s="264" t="s">
        <v>357</v>
      </c>
      <c r="C11" s="265"/>
      <c r="D11" s="265"/>
      <c r="E11" s="265"/>
      <c r="F11" s="266"/>
      <c r="G11" s="26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7,219 KRW (1.44%)</v>
      </c>
      <c r="H11" s="268"/>
      <c r="I11" s="269"/>
      <c r="J11" s="7" t="s">
        <v>32</v>
      </c>
      <c r="K11" s="264" t="s">
        <v>348</v>
      </c>
      <c r="L11" s="265"/>
      <c r="M11" s="265"/>
      <c r="N11" s="265"/>
      <c r="O11" s="266"/>
      <c r="Q11" s="65" t="s">
        <v>33</v>
      </c>
      <c r="R11" s="8">
        <v>1000</v>
      </c>
    </row>
    <row r="12" spans="1:19" ht="17.25" thickBot="1"/>
    <row r="13" spans="1:19" ht="17.25" customHeight="1" thickBot="1">
      <c r="A13" s="246" t="s">
        <v>34</v>
      </c>
      <c r="B13" s="247"/>
      <c r="C13" s="247"/>
      <c r="D13" s="247"/>
      <c r="E13" s="247"/>
      <c r="F13" s="247"/>
      <c r="G13" s="247"/>
      <c r="H13" s="247"/>
      <c r="I13" s="247"/>
      <c r="J13" s="247"/>
      <c r="K13" s="247"/>
      <c r="L13" s="247"/>
      <c r="M13" s="247"/>
      <c r="N13" s="247"/>
      <c r="O13" s="248"/>
      <c r="Q13" s="245"/>
      <c r="R13" s="245"/>
      <c r="S13" s="245"/>
    </row>
    <row r="14" spans="1:19" ht="17.25" customHeight="1" thickBot="1">
      <c r="A14" s="180" t="s">
        <v>35</v>
      </c>
      <c r="B14" s="246" t="s">
        <v>36</v>
      </c>
      <c r="C14" s="248"/>
      <c r="D14" s="246" t="s">
        <v>37</v>
      </c>
      <c r="E14" s="247"/>
      <c r="F14" s="248"/>
      <c r="G14" s="249">
        <f>_xlfn.IFNA(VLOOKUP(B14, 현재가테이블!$B$2:$D$200, 2, FALSE), "-")</f>
        <v>45335000</v>
      </c>
      <c r="H14" s="250"/>
      <c r="I14" s="251"/>
      <c r="J14" s="246" t="s">
        <v>38</v>
      </c>
      <c r="K14" s="247"/>
      <c r="L14" s="248"/>
      <c r="M14" s="252">
        <f>_xlfn.IFNA(VLOOKUP(B14, 현재가테이블!$B$2:$D$200, 3, FALSE), "-")</f>
        <v>-2.27209037E-2</v>
      </c>
      <c r="N14" s="253"/>
      <c r="O14" s="254"/>
      <c r="Q14" s="245"/>
      <c r="R14" s="245"/>
      <c r="S14" s="245"/>
    </row>
    <row r="15" spans="1:19" ht="17.25" customHeight="1" thickBot="1">
      <c r="A15" s="283" t="s">
        <v>39</v>
      </c>
      <c r="B15" s="284" t="str">
        <f>TEXT($G$1, "[$-ko-KR]yyyy-mm-dd(ddd) ") &amp; "오전 00:00"</f>
        <v>2021-06-06(일) 오전 00:00</v>
      </c>
      <c r="C15" s="285"/>
      <c r="D15" s="259" t="str">
        <f>TEXT($G$1, "[$-ko-KR]yyyy-mm-dd(ddd) ") &amp; "오후 14:00"</f>
        <v>2021-06-06(일) 오후 14:00</v>
      </c>
      <c r="E15" s="260"/>
      <c r="F15" s="261"/>
      <c r="G15" s="259" t="str">
        <f>TEXT($G$1, "[$-ko-KR]yyyy-mm-dd(ddd) ") &amp; "오후 19:00"</f>
        <v>2021-06-06(일) 오후 19:00</v>
      </c>
      <c r="H15" s="260"/>
      <c r="I15" s="261"/>
      <c r="J15" s="259" t="str">
        <f>TEXT($G$1, "[$-ko-KR]yyyy-mm-dd(ddd) ") &amp; "오후 21:00"</f>
        <v>2021-06-06(일) 오후 21:00</v>
      </c>
      <c r="K15" s="260"/>
      <c r="L15" s="261"/>
      <c r="M15" s="259" t="str">
        <f>TEXT($G$1+1, "[$-ko-KR]yyyy-mm-dd(ddd) ") &amp; "오전 00:00"</f>
        <v>2021-06-07(월) 오전 00:00</v>
      </c>
      <c r="N15" s="260"/>
      <c r="O15" s="261"/>
      <c r="Q15" s="245"/>
      <c r="R15" s="245"/>
      <c r="S15" s="245"/>
    </row>
    <row r="16" spans="1:19" ht="17.25" customHeight="1" thickBot="1">
      <c r="A16" s="28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1" t="s">
        <v>37</v>
      </c>
      <c r="H16" s="182" t="s">
        <v>40</v>
      </c>
      <c r="I16" s="18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5"/>
      <c r="R16" s="235"/>
      <c r="S16" s="235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100</v>
      </c>
      <c r="C17" s="76">
        <f>IF(NOT(ISBLANK(_xlfn.IFNA(VLOOKUP($A17, $A$40:$O$199, 3, FALSE), ))), _xlfn.IFNA(VLOOKUP($A17, $A$40:$O$199, 3, FALSE), ), "")</f>
        <v>6.9518716600000002E-2</v>
      </c>
      <c r="D17" s="13">
        <f>IF(NOT(ISBLANK(_xlfn.IFNA(VLOOKUP($A17, $A$40:$O$199, 4, FALSE), ))), _xlfn.IFNA(VLOOKUP($A17, $A$40:$O$199, 4, FALSE), ), "")</f>
        <v>98.7</v>
      </c>
      <c r="E17" s="14">
        <f>IF(NOT(ISBLANK(_xlfn.IFNA(VLOOKUP($A17, $A$40:$O$199, 5, FALSE), ))), _xlfn.IFNA(VLOOKUP($A17, $A$40:$O$199, 5, FALSE), ), "")</f>
        <v>-1.2999999999999972E-2</v>
      </c>
      <c r="F17" s="16">
        <f>IF(NOT(ISBLANK(_xlfn.IFNA(VLOOKUP($A17, $A$40:$O$199, 6, FALSE), ))), _xlfn.IFNA(VLOOKUP($A17, $A$40:$O$199, 6, FALSE), ), "")</f>
        <v>-1299.9999999999973</v>
      </c>
      <c r="G17" s="29">
        <f>IF(NOT(ISBLANK(_xlfn.IFNA(VLOOKUP($A17, $A$40:$O$199, 7, FALSE), ))), _xlfn.IFNA(VLOOKUP($A17, $A$40:$O$199, 7, FALSE), ), "")</f>
        <v>100</v>
      </c>
      <c r="H17" s="14">
        <f>IF(NOT(ISBLANK(_xlfn.IFNA(VLOOKUP($A17, $A$40:$O$199, 8, FALSE), ))), _xlfn.IFNA(VLOOKUP($A17, $A$40:$O$199, 8, FALSE), ), "")</f>
        <v>0</v>
      </c>
      <c r="I17" s="100">
        <f>IF(NOT(ISBLANK(_xlfn.IFNA(VLOOKUP($A17, $A$40:$O$199, 9, FALSE), ))), _xlfn.IFNA(VLOOKUP($A17, $A$40:$O$199, 9, FALSE), ), "")</f>
        <v>0</v>
      </c>
      <c r="J17" s="13">
        <f>IF(NOT(ISBLANK(_xlfn.IFNA(VLOOKUP($A17, $A$40:$O$199, 10, FALSE), ))), _xlfn.IFNA(VLOOKUP($A17, $A$40:$O$199, 10, FALSE), ), "")</f>
        <v>99.7</v>
      </c>
      <c r="K17" s="14">
        <f>IF(NOT(ISBLANK(_xlfn.IFNA(VLOOKUP($A17, $A$40:$O$199, 11, FALSE), ))), _xlfn.IFNA(VLOOKUP($A17, $A$40:$O$199, 11, FALSE), ), "")</f>
        <v>-2.9999999999999714E-3</v>
      </c>
      <c r="L17" s="16">
        <f>IF(NOT(ISBLANK(_xlfn.IFNA(VLOOKUP($A17, $A$40:$O$199, 12, FALSE), ))), _xlfn.IFNA(VLOOKUP($A17, $A$40:$O$199, 12, FALSE), ), "")</f>
        <v>-299.99999999999716</v>
      </c>
      <c r="M17" s="29">
        <f>IF(NOT(ISBLANK(_xlfn.IFNA(VLOOKUP($A17, $A$40:$O$199, 13, FALSE), ))), _xlfn.IFNA(VLOOKUP($A17, $A$40:$O$199, 13, FALSE), ), "")</f>
        <v>101</v>
      </c>
      <c r="N17" s="14">
        <f>IF(NOT(ISBLANK(_xlfn.IFNA(VLOOKUP($A17, $A$40:$O$199, 14, FALSE), ))), _xlfn.IFNA(VLOOKUP($A17, $A$40:$O$199, 14, FALSE), ), "")</f>
        <v>0.01</v>
      </c>
      <c r="O17" s="16">
        <f>IF(NOT(ISBLANK(_xlfn.IFNA(VLOOKUP($A17, $A$40:$O$199, 15, FALSE), ))), _xlfn.IFNA(VLOOKUP($A17, $A$40:$O$199, 15, FALSE), ), "")</f>
        <v>1000</v>
      </c>
      <c r="Q17" s="245"/>
      <c r="R17" s="245"/>
      <c r="S17" s="245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79.099999999999994</v>
      </c>
      <c r="C18" s="77">
        <f t="shared" ref="C18:C36" si="1">IF(NOT(ISBLANK(_xlfn.IFNA(VLOOKUP($A18, $A$40:$O$199, 3, FALSE), ))), _xlfn.IFNA(VLOOKUP($A18, $A$40:$O$199, 3, FALSE), ), "")</f>
        <v>-4.5838359500000002E-2</v>
      </c>
      <c r="D18" s="15">
        <f t="shared" ref="D18:D36" si="2">IF(NOT(ISBLANK(_xlfn.IFNA(VLOOKUP($A18, $A$40:$O$199, 4, FALSE), ))), _xlfn.IFNA(VLOOKUP($A18, $A$40:$O$199, 4, FALSE), ), "")</f>
        <v>78.8</v>
      </c>
      <c r="E18" s="32">
        <f t="shared" ref="E18:E36" si="3">IF(NOT(ISBLANK(_xlfn.IFNA(VLOOKUP($A18, $A$40:$O$199, 5, FALSE), ))), _xlfn.IFNA(VLOOKUP($A18, $A$40:$O$199, 5, FALSE), ), "")</f>
        <v>-3.7926675094816331E-3</v>
      </c>
      <c r="F18" s="18">
        <f t="shared" ref="F18:F36" si="4">IF(NOT(ISBLANK(_xlfn.IFNA(VLOOKUP($A18, $A$40:$O$199, 6, FALSE), ))), _xlfn.IFNA(VLOOKUP($A18, $A$40:$O$199, 6, FALSE), ), "")</f>
        <v>-379.26675094816329</v>
      </c>
      <c r="G18" s="31">
        <f t="shared" ref="G18:G36" si="5">IF(NOT(ISBLANK(_xlfn.IFNA(VLOOKUP($A18, $A$40:$O$199, 7, FALSE), ))), _xlfn.IFNA(VLOOKUP($A18, $A$40:$O$199, 7, FALSE), ), "")</f>
        <v>79.599999999999994</v>
      </c>
      <c r="H18" s="32">
        <f t="shared" ref="H18:H36" si="6">IF(NOT(ISBLANK(_xlfn.IFNA(VLOOKUP($A18, $A$40:$O$199, 8, FALSE), ))), _xlfn.IFNA(VLOOKUP($A18, $A$40:$O$199, 8, FALSE), ), "")</f>
        <v>6.3211125158027818E-3</v>
      </c>
      <c r="I18" s="101">
        <f t="shared" ref="I18:I36" si="7">IF(NOT(ISBLANK(_xlfn.IFNA(VLOOKUP($A18, $A$40:$O$199, 9, FALSE), ))), _xlfn.IFNA(VLOOKUP($A18, $A$40:$O$199, 9, FALSE), ), "")</f>
        <v>632.11125158027824</v>
      </c>
      <c r="J18" s="15">
        <f t="shared" ref="J18:J36" si="8">IF(NOT(ISBLANK(_xlfn.IFNA(VLOOKUP($A18, $A$40:$O$199, 10, FALSE), ))), _xlfn.IFNA(VLOOKUP($A18, $A$40:$O$199, 10, FALSE), ), "")</f>
        <v>79.8</v>
      </c>
      <c r="K18" s="32">
        <f t="shared" ref="K18:K36" si="9">IF(NOT(ISBLANK(_xlfn.IFNA(VLOOKUP($A18, $A$40:$O$199, 11, FALSE), ))), _xlfn.IFNA(VLOOKUP($A18, $A$40:$O$199, 11, FALSE), ), "")</f>
        <v>8.8495575221239301E-3</v>
      </c>
      <c r="L18" s="18">
        <f t="shared" ref="L18:L36" si="10">IF(NOT(ISBLANK(_xlfn.IFNA(VLOOKUP($A18, $A$40:$O$199, 12, FALSE), ))), _xlfn.IFNA(VLOOKUP($A18, $A$40:$O$199, 12, FALSE), ), "")</f>
        <v>884.95575221239301</v>
      </c>
      <c r="M18" s="31">
        <f t="shared" ref="M18:M36" si="11">IF(NOT(ISBLANK(_xlfn.IFNA(VLOOKUP($A18, $A$40:$O$199, 13, FALSE), ))), _xlfn.IFNA(VLOOKUP($A18, $A$40:$O$199, 13, FALSE), ), "")</f>
        <v>79.599999999999994</v>
      </c>
      <c r="N18" s="32">
        <f t="shared" ref="N18:N36" si="12">IF(NOT(ISBLANK(_xlfn.IFNA(VLOOKUP($A18, $A$40:$O$199, 14, FALSE), ))), _xlfn.IFNA(VLOOKUP($A18, $A$40:$O$199, 14, FALSE), ), "")</f>
        <v>6.3211125158027818E-3</v>
      </c>
      <c r="O18" s="18">
        <f t="shared" ref="O18:O36" si="13">IF(NOT(ISBLANK(_xlfn.IFNA(VLOOKUP($A18, $A$40:$O$199, 15, FALSE), ))), _xlfn.IFNA(VLOOKUP($A18, $A$40:$O$199, 15, FALSE), ), "")</f>
        <v>632.11125158027824</v>
      </c>
      <c r="Q18" s="245"/>
      <c r="R18" s="245"/>
      <c r="S18" s="245"/>
    </row>
    <row r="19" spans="1:19" ht="17.25" customHeight="1" thickBot="1">
      <c r="A19" s="162" t="s">
        <v>202</v>
      </c>
      <c r="B19" s="126">
        <f t="shared" si="0"/>
        <v>123</v>
      </c>
      <c r="C19" s="77">
        <f t="shared" si="1"/>
        <v>-2.3809523799999999E-2</v>
      </c>
      <c r="D19" s="15">
        <f t="shared" si="2"/>
        <v>125</v>
      </c>
      <c r="E19" s="32">
        <f t="shared" si="3"/>
        <v>1.6260162601626018E-2</v>
      </c>
      <c r="F19" s="18">
        <f t="shared" si="4"/>
        <v>1626.0162601626018</v>
      </c>
      <c r="G19" s="31">
        <f t="shared" si="5"/>
        <v>129</v>
      </c>
      <c r="H19" s="32">
        <f t="shared" si="6"/>
        <v>4.878048780487805E-2</v>
      </c>
      <c r="I19" s="101">
        <f t="shared" si="7"/>
        <v>4878.0487804878048</v>
      </c>
      <c r="J19" s="15">
        <f t="shared" si="8"/>
        <v>130</v>
      </c>
      <c r="K19" s="32">
        <f t="shared" si="9"/>
        <v>5.6910569105691054E-2</v>
      </c>
      <c r="L19" s="18">
        <f t="shared" si="10"/>
        <v>5691.0569105691056</v>
      </c>
      <c r="M19" s="31">
        <f t="shared" si="11"/>
        <v>129</v>
      </c>
      <c r="N19" s="32">
        <f t="shared" si="12"/>
        <v>4.878048780487805E-2</v>
      </c>
      <c r="O19" s="18">
        <f t="shared" si="13"/>
        <v>4878.0487804878048</v>
      </c>
      <c r="Q19" s="235"/>
      <c r="R19" s="235"/>
      <c r="S19" s="235"/>
    </row>
    <row r="20" spans="1:19" ht="17.25" customHeight="1" thickBot="1">
      <c r="A20" s="162" t="s">
        <v>120</v>
      </c>
      <c r="B20" s="126">
        <f t="shared" si="0"/>
        <v>141</v>
      </c>
      <c r="C20" s="77">
        <f t="shared" si="1"/>
        <v>-1.3986014E-2</v>
      </c>
      <c r="D20" s="15">
        <f t="shared" si="2"/>
        <v>140</v>
      </c>
      <c r="E20" s="32">
        <f t="shared" si="3"/>
        <v>-7.0921985815602835E-3</v>
      </c>
      <c r="F20" s="18">
        <f t="shared" si="4"/>
        <v>-709.21985815602841</v>
      </c>
      <c r="G20" s="31">
        <f t="shared" si="5"/>
        <v>140</v>
      </c>
      <c r="H20" s="32">
        <f t="shared" si="6"/>
        <v>-7.0921985815602835E-3</v>
      </c>
      <c r="I20" s="101">
        <f t="shared" si="7"/>
        <v>-709.21985815602841</v>
      </c>
      <c r="J20" s="15">
        <f t="shared" si="8"/>
        <v>141</v>
      </c>
      <c r="K20" s="32">
        <f t="shared" si="9"/>
        <v>0</v>
      </c>
      <c r="L20" s="18">
        <f t="shared" si="10"/>
        <v>0</v>
      </c>
      <c r="M20" s="31">
        <f t="shared" si="11"/>
        <v>142</v>
      </c>
      <c r="N20" s="32">
        <f t="shared" si="12"/>
        <v>7.0921985815602835E-3</v>
      </c>
      <c r="O20" s="18">
        <f t="shared" si="13"/>
        <v>709.21985815602841</v>
      </c>
      <c r="Q20" s="235"/>
      <c r="R20" s="235"/>
      <c r="S20" s="235"/>
    </row>
    <row r="21" spans="1:19" ht="17.25" customHeight="1" thickBot="1">
      <c r="A21" s="163" t="s">
        <v>246</v>
      </c>
      <c r="B21" s="128">
        <f t="shared" si="0"/>
        <v>311</v>
      </c>
      <c r="C21" s="78">
        <f t="shared" si="1"/>
        <v>-1.58227848E-2</v>
      </c>
      <c r="D21" s="20">
        <f t="shared" si="2"/>
        <v>308</v>
      </c>
      <c r="E21" s="21">
        <f t="shared" si="3"/>
        <v>-9.6463022508038593E-3</v>
      </c>
      <c r="F21" s="22">
        <f t="shared" si="4"/>
        <v>-964.63022508038591</v>
      </c>
      <c r="G21" s="30">
        <f t="shared" si="5"/>
        <v>311</v>
      </c>
      <c r="H21" s="21">
        <f t="shared" si="6"/>
        <v>0</v>
      </c>
      <c r="I21" s="105">
        <f t="shared" si="7"/>
        <v>0</v>
      </c>
      <c r="J21" s="20">
        <f t="shared" si="8"/>
        <v>313</v>
      </c>
      <c r="K21" s="21">
        <f t="shared" si="9"/>
        <v>6.4308681672025723E-3</v>
      </c>
      <c r="L21" s="22">
        <f t="shared" si="10"/>
        <v>643.08681672025727</v>
      </c>
      <c r="M21" s="30">
        <f t="shared" si="11"/>
        <v>311</v>
      </c>
      <c r="N21" s="21">
        <f t="shared" si="12"/>
        <v>0</v>
      </c>
      <c r="O21" s="22">
        <f t="shared" si="13"/>
        <v>0</v>
      </c>
      <c r="Q21" s="235"/>
      <c r="R21" s="235"/>
      <c r="S21" s="235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5"/>
      <c r="R22" s="235"/>
      <c r="S22" s="235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5"/>
      <c r="R23" s="235"/>
      <c r="S23" s="235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5"/>
      <c r="R24" s="235"/>
      <c r="S24" s="235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6"/>
      <c r="R26" s="237"/>
      <c r="S26" s="238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9"/>
      <c r="R27" s="240"/>
      <c r="S27" s="241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2"/>
      <c r="R28" s="243"/>
      <c r="S28" s="244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5"/>
      <c r="R29" s="235"/>
      <c r="S29" s="235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5"/>
      <c r="R30" s="245"/>
      <c r="S30" s="245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5"/>
      <c r="R31" s="245"/>
      <c r="S31" s="24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5"/>
      <c r="R32" s="235"/>
      <c r="S32" s="235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5"/>
      <c r="R33" s="235"/>
      <c r="S33" s="235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5"/>
      <c r="R34" s="235"/>
      <c r="S34" s="235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4"/>
      <c r="R35" s="225"/>
      <c r="S35" s="22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7"/>
      <c r="R36" s="228"/>
      <c r="S36" s="229"/>
    </row>
    <row r="37" spans="1:19" ht="17.25" customHeight="1" thickBot="1">
      <c r="A37" s="132" t="s">
        <v>42</v>
      </c>
      <c r="B37" s="288">
        <v>100000</v>
      </c>
      <c r="C37" s="289"/>
      <c r="D37" s="26" t="s">
        <v>43</v>
      </c>
      <c r="E37" s="27">
        <f>IF(COUNT(E17:E36), SUM(E17:E36) / COUNT(E17:E36), 0)</f>
        <v>-3.4542011480439457E-3</v>
      </c>
      <c r="F37" s="28">
        <f>SUM(F17:F36)</f>
        <v>-1727.100574021973</v>
      </c>
      <c r="G37" s="26" t="s">
        <v>43</v>
      </c>
      <c r="H37" s="27">
        <f>IF(COUNT(H17:H36), SUM(H17:H36) / COUNT(H17:H36), 0)</f>
        <v>9.6018803478241099E-3</v>
      </c>
      <c r="I37" s="28">
        <f>SUM(I17:I36)</f>
        <v>4800.940173912054</v>
      </c>
      <c r="J37" s="26" t="s">
        <v>43</v>
      </c>
      <c r="K37" s="27">
        <f>IF(COUNT(K17:K36), SUM(K17:K36) / COUNT(K17:K36), 0)</f>
        <v>1.3838198959003517E-2</v>
      </c>
      <c r="L37" s="28">
        <f>SUM(L17:L36)</f>
        <v>6919.0994795017587</v>
      </c>
      <c r="M37" s="26" t="s">
        <v>43</v>
      </c>
      <c r="N37" s="27">
        <f>IF(COUNT(N17:N36), SUM(N17:N36) / COUNT(N17:N36), 0)</f>
        <v>1.4438759780448221E-2</v>
      </c>
      <c r="O37" s="28">
        <f>SUM(O17:O36)</f>
        <v>7219.3798902241115</v>
      </c>
      <c r="Q37" s="230"/>
      <c r="R37" s="231"/>
      <c r="S37" s="232"/>
    </row>
    <row r="38" spans="1:19" ht="17.25" customHeight="1"/>
    <row r="39" spans="1:19" ht="17.25" customHeight="1" thickBot="1"/>
    <row r="40" spans="1:19" ht="17.25" customHeight="1" thickBot="1">
      <c r="A40" s="246" t="s">
        <v>44</v>
      </c>
      <c r="B40" s="247"/>
      <c r="C40" s="247"/>
      <c r="D40" s="247"/>
      <c r="E40" s="247"/>
      <c r="F40" s="247"/>
      <c r="G40" s="247"/>
      <c r="H40" s="247"/>
      <c r="I40" s="247"/>
      <c r="J40" s="247"/>
      <c r="K40" s="247"/>
      <c r="L40" s="247"/>
      <c r="M40" s="247"/>
      <c r="N40" s="247"/>
      <c r="O40" s="248"/>
      <c r="Q40" s="245"/>
      <c r="R40" s="245"/>
      <c r="S40" s="245"/>
    </row>
    <row r="41" spans="1:19" ht="17.25" customHeight="1" thickBot="1">
      <c r="A41" s="180" t="s">
        <v>297</v>
      </c>
      <c r="B41" s="246" t="s">
        <v>49</v>
      </c>
      <c r="C41" s="248"/>
      <c r="D41" s="246" t="s">
        <v>58</v>
      </c>
      <c r="E41" s="247"/>
      <c r="F41" s="248"/>
      <c r="G41" s="249">
        <f>_xlfn.IFNA(VLOOKUP(B41, 현재가테이블!$B$2:$D$200, 2, FALSE), "-")</f>
        <v>45335000</v>
      </c>
      <c r="H41" s="250"/>
      <c r="I41" s="251"/>
      <c r="J41" s="246" t="s">
        <v>59</v>
      </c>
      <c r="K41" s="247"/>
      <c r="L41" s="248"/>
      <c r="M41" s="252">
        <f>_xlfn.IFNA(VLOOKUP(B41, 현재가테이블!$B$2:$D$200, 3, FALSE), "-")</f>
        <v>-2.27209037E-2</v>
      </c>
      <c r="N41" s="253"/>
      <c r="O41" s="254"/>
      <c r="Q41" s="245"/>
      <c r="R41" s="245"/>
      <c r="S41" s="245"/>
    </row>
    <row r="42" spans="1:19" ht="17.25" customHeight="1" thickBot="1">
      <c r="A42" s="290" t="s">
        <v>55</v>
      </c>
      <c r="B42" s="286" t="str">
        <f>TEXT($G$1, "[$-ko-KR]yyyy-mm-dd(ddd) ") &amp; "오전 00:00"</f>
        <v>2021-06-06(일) 오전 00:00</v>
      </c>
      <c r="C42" s="287"/>
      <c r="D42" s="259" t="str">
        <f>TEXT($G$1, "[$-ko-KR]yyyy-mm-dd(ddd) ") &amp; "오후 14:00"</f>
        <v>2021-06-06(일) 오후 14:00</v>
      </c>
      <c r="E42" s="260"/>
      <c r="F42" s="261"/>
      <c r="G42" s="259" t="str">
        <f>TEXT($G$1, "[$-ko-KR]yyyy-mm-dd(ddd) ") &amp; "오후 19:00"</f>
        <v>2021-06-06(일) 오후 19:00</v>
      </c>
      <c r="H42" s="260"/>
      <c r="I42" s="261"/>
      <c r="J42" s="259" t="str">
        <f>TEXT($G$1, "[$-ko-KR]yyyy-mm-dd(ddd) ") &amp; "오후 21:00"</f>
        <v>2021-06-06(일) 오후 21:00</v>
      </c>
      <c r="K42" s="260"/>
      <c r="L42" s="261"/>
      <c r="M42" s="259" t="str">
        <f>TEXT($G$1+1, "[$-ko-KR]yyyy-mm-dd(ddd) ") &amp; "오전 00:00"</f>
        <v>2021-06-07(월) 오전 00:00</v>
      </c>
      <c r="N42" s="260"/>
      <c r="O42" s="261"/>
      <c r="Q42" s="245"/>
      <c r="R42" s="245"/>
      <c r="S42" s="245"/>
    </row>
    <row r="43" spans="1:19" ht="17.25" customHeight="1" thickBot="1">
      <c r="A43" s="291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81" t="s">
        <v>58</v>
      </c>
      <c r="H43" s="182" t="s">
        <v>298</v>
      </c>
      <c r="I43" s="183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5"/>
      <c r="R43" s="235"/>
      <c r="S43" s="235"/>
    </row>
    <row r="44" spans="1:19" ht="17.25" customHeight="1" thickBot="1">
      <c r="A44" s="161" t="s">
        <v>186</v>
      </c>
      <c r="B44" s="124">
        <v>19.899999999999999</v>
      </c>
      <c r="C44" s="76">
        <v>8.1521739100000004E-2</v>
      </c>
      <c r="D44" s="13">
        <v>25.4</v>
      </c>
      <c r="E44" s="14">
        <f>IF(ISNUMBER(D44), (D44 - $B44) / $B44, "")</f>
        <v>0.27638190954773872</v>
      </c>
      <c r="F44" s="16">
        <f>IF(ISNUMBER(D44), $B64 * E44, "")</f>
        <v>27638.190954773872</v>
      </c>
      <c r="G44" s="29">
        <v>22.9</v>
      </c>
      <c r="H44" s="14">
        <f>IF(ISNUMBER(G44), (G44 - $B44) / $B44, "")</f>
        <v>0.15075376884422112</v>
      </c>
      <c r="I44" s="100">
        <f>IF(ISNUMBER(G44), $B64 * H44, "")</f>
        <v>15075.376884422112</v>
      </c>
      <c r="J44" s="13">
        <v>21.3</v>
      </c>
      <c r="K44" s="14">
        <f>IF(ISNUMBER(J44), (J44 - $B44) / $B44, "")</f>
        <v>7.035175879396996E-2</v>
      </c>
      <c r="L44" s="16">
        <f>IF(ISNUMBER(J44), $B64 * K44, "")</f>
        <v>7035.1758793969957</v>
      </c>
      <c r="M44" s="29">
        <v>21.3</v>
      </c>
      <c r="N44" s="14">
        <f>IF(ISNUMBER(M44), (M44 - $B44) / $B44, "")</f>
        <v>7.035175879396996E-2</v>
      </c>
      <c r="O44" s="16">
        <f>IF(ISNUMBER(M44), $B64 * N44, "")</f>
        <v>7035.1758793969957</v>
      </c>
      <c r="Q44" s="245"/>
      <c r="R44" s="245"/>
      <c r="S44" s="245"/>
    </row>
    <row r="45" spans="1:19" ht="17.25" customHeight="1" thickBot="1">
      <c r="A45" s="162" t="s">
        <v>152</v>
      </c>
      <c r="B45" s="126">
        <v>22</v>
      </c>
      <c r="C45" s="77">
        <v>2.3255814E-2</v>
      </c>
      <c r="D45" s="15">
        <v>21.3</v>
      </c>
      <c r="E45" s="32">
        <f t="shared" ref="E45:E48" si="14">IF(ISNUMBER(D45), (D45 - $B45) / $B45, "")</f>
        <v>-3.1818181818181787E-2</v>
      </c>
      <c r="F45" s="18">
        <f>IF(ISNUMBER(D45), $B64 * E45, "")</f>
        <v>-3181.8181818181788</v>
      </c>
      <c r="G45" s="31">
        <v>21.9</v>
      </c>
      <c r="H45" s="32">
        <f t="shared" ref="H45:H48" si="15">IF(ISNUMBER(G45), (G45 - $B45) / $B45, "")</f>
        <v>-4.5454545454546103E-3</v>
      </c>
      <c r="I45" s="101">
        <f>IF(ISNUMBER(G45), $B64 * H45, "")</f>
        <v>-454.54545454546104</v>
      </c>
      <c r="J45" s="15">
        <v>21.8</v>
      </c>
      <c r="K45" s="32">
        <f t="shared" ref="K45:K48" si="16">IF(ISNUMBER(J45), (J45 - $B45) / $B45, "")</f>
        <v>-9.0909090909090592E-3</v>
      </c>
      <c r="L45" s="18">
        <f>IF(ISNUMBER(J45), $B64 * K45, "")</f>
        <v>-909.09090909090594</v>
      </c>
      <c r="M45" s="31">
        <v>21.8</v>
      </c>
      <c r="N45" s="32">
        <f t="shared" ref="N45:N48" si="17">IF(ISNUMBER(M45), (M45 - $B45) / $B45, "")</f>
        <v>-9.0909090909090592E-3</v>
      </c>
      <c r="O45" s="18">
        <f>IF(ISNUMBER(M45), $B64 * N45, "")</f>
        <v>-909.09090909090594</v>
      </c>
      <c r="Q45" s="245"/>
      <c r="R45" s="245"/>
      <c r="S45" s="245"/>
    </row>
    <row r="46" spans="1:19" ht="17.25" customHeight="1" thickBot="1">
      <c r="A46" s="162" t="s">
        <v>172</v>
      </c>
      <c r="B46" s="126">
        <v>15.2</v>
      </c>
      <c r="C46" s="77">
        <v>1.33333333E-2</v>
      </c>
      <c r="D46" s="15">
        <v>15.2</v>
      </c>
      <c r="E46" s="32">
        <f t="shared" si="14"/>
        <v>0</v>
      </c>
      <c r="F46" s="18">
        <f>IF(ISNUMBER(D46), $B64 * E46, "")</f>
        <v>0</v>
      </c>
      <c r="G46" s="31">
        <v>15.5</v>
      </c>
      <c r="H46" s="32">
        <f t="shared" si="15"/>
        <v>1.9736842105263205E-2</v>
      </c>
      <c r="I46" s="101">
        <f>IF(ISNUMBER(G46), $B64 * H46, "")</f>
        <v>1973.6842105263206</v>
      </c>
      <c r="J46" s="15">
        <v>15.5</v>
      </c>
      <c r="K46" s="32">
        <f t="shared" si="16"/>
        <v>1.9736842105263205E-2</v>
      </c>
      <c r="L46" s="18">
        <f>IF(ISNUMBER(J46), $B64 * K46, "")</f>
        <v>1973.6842105263206</v>
      </c>
      <c r="M46" s="31">
        <v>15.3</v>
      </c>
      <c r="N46" s="32">
        <f t="shared" si="17"/>
        <v>6.5789473684211468E-3</v>
      </c>
      <c r="O46" s="18">
        <f>IF(ISNUMBER(M46), $B64 * N46, "")</f>
        <v>657.89473684211464</v>
      </c>
      <c r="Q46" s="235"/>
      <c r="R46" s="235"/>
      <c r="S46" s="235"/>
    </row>
    <row r="47" spans="1:19" ht="17.25" customHeight="1" thickBot="1">
      <c r="A47" s="162" t="s">
        <v>156</v>
      </c>
      <c r="B47" s="126">
        <v>88.7</v>
      </c>
      <c r="C47" s="77">
        <v>-1.22494432E-2</v>
      </c>
      <c r="D47" s="15">
        <v>89.6</v>
      </c>
      <c r="E47" s="32">
        <f t="shared" si="14"/>
        <v>1.014656144306642E-2</v>
      </c>
      <c r="F47" s="18">
        <f>IF(ISNUMBER(D47), $B64 * E47, "")</f>
        <v>1014.6561443066421</v>
      </c>
      <c r="G47" s="31">
        <v>89.7</v>
      </c>
      <c r="H47" s="32">
        <f t="shared" si="15"/>
        <v>1.1273957158962795E-2</v>
      </c>
      <c r="I47" s="101">
        <f>IF(ISNUMBER(G47), $B64 * H47, "")</f>
        <v>1127.3957158962796</v>
      </c>
      <c r="J47" s="15">
        <v>89.3</v>
      </c>
      <c r="K47" s="32">
        <f t="shared" si="16"/>
        <v>6.7643742953776131E-3</v>
      </c>
      <c r="L47" s="18">
        <f>IF(ISNUMBER(J47), $B64 * K47, "")</f>
        <v>676.43742953776132</v>
      </c>
      <c r="M47" s="31">
        <v>89.8</v>
      </c>
      <c r="N47" s="32">
        <f t="shared" si="17"/>
        <v>1.2401352874859011E-2</v>
      </c>
      <c r="O47" s="18">
        <f>IF(ISNUMBER(M47), $B64 * N47, "")</f>
        <v>1240.135287485901</v>
      </c>
      <c r="Q47" s="235"/>
      <c r="R47" s="235"/>
      <c r="S47" s="235"/>
    </row>
    <row r="48" spans="1:19" ht="17.25" customHeight="1" thickBot="1">
      <c r="A48" s="163" t="s">
        <v>196</v>
      </c>
      <c r="B48" s="128">
        <v>11.5</v>
      </c>
      <c r="C48" s="78">
        <v>-1.7094017100000001E-2</v>
      </c>
      <c r="D48" s="20">
        <v>11.8</v>
      </c>
      <c r="E48" s="21">
        <f t="shared" si="14"/>
        <v>2.6086956521739191E-2</v>
      </c>
      <c r="F48" s="22">
        <f>IF(ISNUMBER(D48), $B64 * E48, "")</f>
        <v>2608.6956521739194</v>
      </c>
      <c r="G48" s="30">
        <v>12.2</v>
      </c>
      <c r="H48" s="21">
        <f t="shared" si="15"/>
        <v>6.0869565217391244E-2</v>
      </c>
      <c r="I48" s="105">
        <f>IF(ISNUMBER(G48), $B64 * H48, "")</f>
        <v>6086.9565217391246</v>
      </c>
      <c r="J48" s="20">
        <v>12.1</v>
      </c>
      <c r="K48" s="21">
        <f t="shared" si="16"/>
        <v>5.217391304347823E-2</v>
      </c>
      <c r="L48" s="22">
        <f>IF(ISNUMBER(J48), $B64 * K48, "")</f>
        <v>5217.3913043478233</v>
      </c>
      <c r="M48" s="30">
        <v>12.1</v>
      </c>
      <c r="N48" s="21">
        <f t="shared" si="17"/>
        <v>5.217391304347823E-2</v>
      </c>
      <c r="O48" s="22">
        <f>IF(ISNUMBER(M48), $B64 * N48, "")</f>
        <v>5217.3913043478233</v>
      </c>
      <c r="Q48" s="235"/>
      <c r="R48" s="235"/>
      <c r="S48" s="235"/>
    </row>
    <row r="49" spans="1:19" ht="17.25" customHeight="1" thickBot="1">
      <c r="A49" s="162" t="s">
        <v>222</v>
      </c>
      <c r="B49" s="129">
        <v>11.4</v>
      </c>
      <c r="C49" s="80">
        <v>-1.7241379300000002E-2</v>
      </c>
      <c r="D49" s="106">
        <v>11.7</v>
      </c>
      <c r="E49" s="107">
        <f>IF(ISNUMBER(D49), (D49 - $B49) / $B49, "")</f>
        <v>2.6315789473684115E-2</v>
      </c>
      <c r="F49" s="108">
        <f>IF(ISNUMBER(D49), $B64 * E49, "")</f>
        <v>2631.5789473684117</v>
      </c>
      <c r="G49" s="109">
        <v>12</v>
      </c>
      <c r="H49" s="107">
        <f>IF(ISNUMBER(G49), (G49 - $B49) / $B49, "")</f>
        <v>5.263157894736839E-2</v>
      </c>
      <c r="I49" s="110">
        <f>IF(ISNUMBER(G49), $B64 * H49, "")</f>
        <v>5263.1578947368389</v>
      </c>
      <c r="J49" s="106">
        <v>12</v>
      </c>
      <c r="K49" s="107">
        <f>IF(ISNUMBER(J49), (J49 - $B49) / $B49, "")</f>
        <v>5.263157894736839E-2</v>
      </c>
      <c r="L49" s="108">
        <f>IF(ISNUMBER(J49), $B64 * K49, "")</f>
        <v>5263.1578947368389</v>
      </c>
      <c r="M49" s="109">
        <v>11.8</v>
      </c>
      <c r="N49" s="107">
        <f>IF(ISNUMBER(M49), (M49 - $B49) / $B49, "")</f>
        <v>3.5087719298245647E-2</v>
      </c>
      <c r="O49" s="108">
        <f>IF(ISNUMBER(M49), $B64 * N49, "")</f>
        <v>3508.7719298245647</v>
      </c>
      <c r="Q49" s="235"/>
      <c r="R49" s="235"/>
      <c r="S49" s="235"/>
    </row>
    <row r="50" spans="1:19" ht="17.25" customHeight="1" thickBot="1">
      <c r="A50" s="162" t="s">
        <v>154</v>
      </c>
      <c r="B50" s="126">
        <v>10.9</v>
      </c>
      <c r="C50" s="77">
        <v>-1.8018018E-2</v>
      </c>
      <c r="D50" s="15">
        <v>11.4</v>
      </c>
      <c r="E50" s="32">
        <f t="shared" ref="E50:E53" si="18">IF(ISNUMBER(D50), (D50 - $B50) / $B50, "")</f>
        <v>4.5871559633027519E-2</v>
      </c>
      <c r="F50" s="18">
        <f>IF(ISNUMBER(D50), $B64 * E50, "")</f>
        <v>4587.1559633027518</v>
      </c>
      <c r="G50" s="31">
        <v>11.4</v>
      </c>
      <c r="H50" s="32">
        <f t="shared" ref="H50:H53" si="19">IF(ISNUMBER(G50), (G50 - $B50) / $B50, "")</f>
        <v>4.5871559633027519E-2</v>
      </c>
      <c r="I50" s="101">
        <f>IF(ISNUMBER(G50), $B64 * H50, "")</f>
        <v>4587.1559633027518</v>
      </c>
      <c r="J50" s="15">
        <v>11.7</v>
      </c>
      <c r="K50" s="32">
        <f t="shared" ref="K50:K53" si="20">IF(ISNUMBER(J50), (J50 - $B50) / $B50, "")</f>
        <v>7.339449541284393E-2</v>
      </c>
      <c r="L50" s="18">
        <f>IF(ISNUMBER(J50), $B64 * K50, "")</f>
        <v>7339.4495412843926</v>
      </c>
      <c r="M50" s="31">
        <v>11.6</v>
      </c>
      <c r="N50" s="32">
        <f t="shared" ref="N50:N53" si="21">IF(ISNUMBER(M50), (M50 - $B50) / $B50, "")</f>
        <v>6.4220183486238466E-2</v>
      </c>
      <c r="O50" s="18">
        <f>IF(ISNUMBER(M50), $B64 * N50, "")</f>
        <v>6422.0183486238466</v>
      </c>
      <c r="Q50" s="235"/>
      <c r="R50" s="235"/>
      <c r="S50" s="235"/>
    </row>
    <row r="51" spans="1:19" ht="17.25" customHeight="1" thickBot="1">
      <c r="A51" s="162" t="s">
        <v>220</v>
      </c>
      <c r="B51" s="126">
        <v>10.8</v>
      </c>
      <c r="C51" s="77">
        <v>-1.8181818200000002E-2</v>
      </c>
      <c r="D51" s="15">
        <v>11.3</v>
      </c>
      <c r="E51" s="32">
        <f t="shared" si="18"/>
        <v>4.6296296296296294E-2</v>
      </c>
      <c r="F51" s="18">
        <f>IF(ISNUMBER(D51), $B64 * E51, "")</f>
        <v>4629.6296296296296</v>
      </c>
      <c r="G51" s="31">
        <v>11.2</v>
      </c>
      <c r="H51" s="32">
        <f t="shared" si="19"/>
        <v>3.7037037037036903E-2</v>
      </c>
      <c r="I51" s="101">
        <f>IF(ISNUMBER(G51), $B64 * H51, "")</f>
        <v>3703.7037037036903</v>
      </c>
      <c r="J51" s="15">
        <v>11.4</v>
      </c>
      <c r="K51" s="32">
        <f t="shared" si="20"/>
        <v>5.5555555555555518E-2</v>
      </c>
      <c r="L51" s="18">
        <f>IF(ISNUMBER(J51), $B64 * K51, "")</f>
        <v>5555.555555555552</v>
      </c>
      <c r="M51" s="31">
        <v>11.2</v>
      </c>
      <c r="N51" s="32">
        <f t="shared" si="21"/>
        <v>3.7037037037036903E-2</v>
      </c>
      <c r="O51" s="18">
        <f>IF(ISNUMBER(M51), $B64 * N51, "")</f>
        <v>3703.7037037036903</v>
      </c>
      <c r="Q51" s="235"/>
      <c r="R51" s="235"/>
      <c r="S51" s="235"/>
    </row>
    <row r="52" spans="1:19" ht="17.25" customHeight="1" thickBot="1">
      <c r="A52" s="162" t="s">
        <v>228</v>
      </c>
      <c r="B52" s="126">
        <v>10.4</v>
      </c>
      <c r="C52" s="77">
        <v>-1.8867924500000001E-2</v>
      </c>
      <c r="D52" s="15">
        <v>10.9</v>
      </c>
      <c r="E52" s="32">
        <f t="shared" si="18"/>
        <v>4.8076923076923073E-2</v>
      </c>
      <c r="F52" s="18">
        <f>IF(ISNUMBER(D52), $B64 * E52, "")</f>
        <v>4807.6923076923076</v>
      </c>
      <c r="G52" s="31">
        <v>11.1</v>
      </c>
      <c r="H52" s="32">
        <f t="shared" si="19"/>
        <v>6.7307692307692235E-2</v>
      </c>
      <c r="I52" s="101">
        <f>IF(ISNUMBER(G52), $B64 * H52, "")</f>
        <v>6730.7692307692232</v>
      </c>
      <c r="J52" s="15">
        <v>11.1</v>
      </c>
      <c r="K52" s="32">
        <f t="shared" si="20"/>
        <v>6.7307692307692235E-2</v>
      </c>
      <c r="L52" s="18">
        <f>IF(ISNUMBER(J52), $B64 * K52, "")</f>
        <v>6730.7692307692232</v>
      </c>
      <c r="M52" s="31">
        <v>11</v>
      </c>
      <c r="N52" s="32">
        <f t="shared" si="21"/>
        <v>5.7692307692307654E-2</v>
      </c>
      <c r="O52" s="18">
        <f>IF(ISNUMBER(M52), $B64 * N52, "")</f>
        <v>5769.230769230765</v>
      </c>
      <c r="Q52" s="33"/>
      <c r="R52" s="33"/>
    </row>
    <row r="53" spans="1:19" ht="17.25" customHeight="1" thickBot="1">
      <c r="A53" s="130" t="s">
        <v>236</v>
      </c>
      <c r="B53" s="131">
        <v>51.5</v>
      </c>
      <c r="C53" s="79">
        <v>-1.9047618999999998E-2</v>
      </c>
      <c r="D53" s="24">
        <v>52.5</v>
      </c>
      <c r="E53" s="25">
        <f t="shared" si="18"/>
        <v>1.9417475728155338E-2</v>
      </c>
      <c r="F53" s="104">
        <f>IF(ISNUMBER(D53), $B64 * E53, "")</f>
        <v>1941.7475728155339</v>
      </c>
      <c r="G53" s="102">
        <v>53.1</v>
      </c>
      <c r="H53" s="25">
        <f t="shared" si="19"/>
        <v>3.106796116504857E-2</v>
      </c>
      <c r="I53" s="103">
        <f>IF(ISNUMBER(G53), $B64 * H53, "")</f>
        <v>3106.7961165048569</v>
      </c>
      <c r="J53" s="24">
        <v>54</v>
      </c>
      <c r="K53" s="25">
        <f t="shared" si="20"/>
        <v>4.8543689320388349E-2</v>
      </c>
      <c r="L53" s="104">
        <f>IF(ISNUMBER(J53), $B64 * K53, "")</f>
        <v>4854.3689320388348</v>
      </c>
      <c r="M53" s="102">
        <v>53.1</v>
      </c>
      <c r="N53" s="25">
        <f t="shared" si="21"/>
        <v>3.106796116504857E-2</v>
      </c>
      <c r="O53" s="104">
        <f>IF(ISNUMBER(M53), $B64 * N53, "")</f>
        <v>3106.7961165048569</v>
      </c>
      <c r="Q53" s="236"/>
      <c r="R53" s="237"/>
      <c r="S53" s="238"/>
    </row>
    <row r="54" spans="1:19" ht="17.25" customHeight="1">
      <c r="A54" s="161" t="s">
        <v>266</v>
      </c>
      <c r="B54" s="124">
        <v>57.2</v>
      </c>
      <c r="C54" s="76">
        <v>-2.0547945200000001E-2</v>
      </c>
      <c r="D54" s="13">
        <v>58.6</v>
      </c>
      <c r="E54" s="14">
        <f>IF(ISNUMBER(D54), (D54 - $B54) / $B54, "")</f>
        <v>2.4475524475524448E-2</v>
      </c>
      <c r="F54" s="16">
        <f>IF(ISNUMBER(D54), $B64 * E54, "")</f>
        <v>2447.5524475524448</v>
      </c>
      <c r="G54" s="29">
        <v>59.8</v>
      </c>
      <c r="H54" s="14">
        <f>IF(ISNUMBER(G54), (G54 - $B54) / $B54, "")</f>
        <v>4.5454545454545352E-2</v>
      </c>
      <c r="I54" s="100">
        <f>IF(ISNUMBER(G54), $B64 * H54, "")</f>
        <v>4545.454545454535</v>
      </c>
      <c r="J54" s="13">
        <v>63.9</v>
      </c>
      <c r="K54" s="14">
        <f>IF(ISNUMBER(J54), (J54 - $B54) / $B54, "")</f>
        <v>0.11713286713286705</v>
      </c>
      <c r="L54" s="16">
        <f>IF(ISNUMBER(J54), $B64 * K54, "")</f>
        <v>11713.286713286705</v>
      </c>
      <c r="M54" s="29">
        <v>59.7</v>
      </c>
      <c r="N54" s="14">
        <f>IF(ISNUMBER(M54), (M54 - $B54) / $B54, "")</f>
        <v>4.3706293706293704E-2</v>
      </c>
      <c r="O54" s="16">
        <f>IF(ISNUMBER(M54), $B64 * N54, "")</f>
        <v>4370.62937062937</v>
      </c>
      <c r="Q54" s="239"/>
      <c r="R54" s="240"/>
      <c r="S54" s="241"/>
    </row>
    <row r="55" spans="1:19" ht="17.25" customHeight="1" thickBot="1">
      <c r="A55" s="162" t="s">
        <v>254</v>
      </c>
      <c r="B55" s="126">
        <v>51.3</v>
      </c>
      <c r="C55" s="77">
        <v>-2.2857142899999999E-2</v>
      </c>
      <c r="D55" s="15">
        <v>51.3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52.3</v>
      </c>
      <c r="H55" s="32">
        <f t="shared" ref="H55:H58" si="23">IF(ISNUMBER(G55), (G55 - $B55) / $B55, "")</f>
        <v>1.9493177387914232E-2</v>
      </c>
      <c r="I55" s="101">
        <f>IF(ISNUMBER(G55), $B64 * H55, "")</f>
        <v>1949.3177387914232</v>
      </c>
      <c r="J55" s="15">
        <v>52</v>
      </c>
      <c r="K55" s="32">
        <f t="shared" ref="K55:K58" si="24">IF(ISNUMBER(J55), (J55 - $B55) / $B55, "")</f>
        <v>1.3645224171540018E-2</v>
      </c>
      <c r="L55" s="18">
        <f>IF(ISNUMBER(J55), $B64 * K55, "")</f>
        <v>1364.5224171540017</v>
      </c>
      <c r="M55" s="31">
        <v>51.8</v>
      </c>
      <c r="N55" s="32">
        <f t="shared" ref="N55:N58" si="25">IF(ISNUMBER(M55), (M55 - $B55) / $B55, "")</f>
        <v>9.7465886939571162E-3</v>
      </c>
      <c r="O55" s="18">
        <f>IF(ISNUMBER(M55), $B64 * N55, "")</f>
        <v>974.65886939571158</v>
      </c>
      <c r="Q55" s="242"/>
      <c r="R55" s="243"/>
      <c r="S55" s="244"/>
    </row>
    <row r="56" spans="1:19" ht="17.25" customHeight="1" thickBot="1">
      <c r="A56" s="162" t="s">
        <v>65</v>
      </c>
      <c r="B56" s="126">
        <v>36.6</v>
      </c>
      <c r="C56" s="77">
        <v>-2.4E-2</v>
      </c>
      <c r="D56" s="15">
        <v>36.6</v>
      </c>
      <c r="E56" s="32">
        <f t="shared" si="22"/>
        <v>0</v>
      </c>
      <c r="F56" s="18">
        <f>IF(ISNUMBER(D56), $B64 * E56, "")</f>
        <v>0</v>
      </c>
      <c r="G56" s="31">
        <v>36.9</v>
      </c>
      <c r="H56" s="32">
        <f t="shared" si="23"/>
        <v>8.1967213114753322E-3</v>
      </c>
      <c r="I56" s="101">
        <f>IF(ISNUMBER(G56), $B64 * H56, "")</f>
        <v>819.67213114753326</v>
      </c>
      <c r="J56" s="15">
        <v>37.200000000000003</v>
      </c>
      <c r="K56" s="32">
        <f t="shared" si="24"/>
        <v>1.6393442622950859E-2</v>
      </c>
      <c r="L56" s="18">
        <f>IF(ISNUMBER(J56), $B64 * K56, "")</f>
        <v>1639.3442622950859</v>
      </c>
      <c r="M56" s="31">
        <v>36.9</v>
      </c>
      <c r="N56" s="32">
        <f t="shared" si="25"/>
        <v>8.1967213114753322E-3</v>
      </c>
      <c r="O56" s="18">
        <f>IF(ISNUMBER(M56), $B64 * N56, "")</f>
        <v>819.67213114753326</v>
      </c>
      <c r="Q56" s="235"/>
      <c r="R56" s="235"/>
      <c r="S56" s="235"/>
    </row>
    <row r="57" spans="1:19" ht="17.25" customHeight="1" thickBot="1">
      <c r="A57" s="162" t="s">
        <v>268</v>
      </c>
      <c r="B57" s="126">
        <v>52.1</v>
      </c>
      <c r="C57" s="77">
        <v>-2.6168224300000001E-2</v>
      </c>
      <c r="D57" s="15">
        <v>53.1</v>
      </c>
      <c r="E57" s="32">
        <f t="shared" si="22"/>
        <v>1.9193857965451054E-2</v>
      </c>
      <c r="F57" s="18">
        <f>IF(ISNUMBER(D57), $B64 * E57, "")</f>
        <v>1919.3857965451054</v>
      </c>
      <c r="G57" s="31">
        <v>53.6</v>
      </c>
      <c r="H57" s="32">
        <f t="shared" si="23"/>
        <v>2.8790786948176581E-2</v>
      </c>
      <c r="I57" s="101">
        <f>IF(ISNUMBER(G57), $B64 * H57, "")</f>
        <v>2879.0786948176583</v>
      </c>
      <c r="J57" s="15">
        <v>53.6</v>
      </c>
      <c r="K57" s="32">
        <f t="shared" si="24"/>
        <v>2.8790786948176581E-2</v>
      </c>
      <c r="L57" s="18">
        <f>IF(ISNUMBER(J57), $B64 * K57, "")</f>
        <v>2879.0786948176583</v>
      </c>
      <c r="M57" s="31">
        <v>53.3</v>
      </c>
      <c r="N57" s="32">
        <f t="shared" si="25"/>
        <v>2.3032629558541184E-2</v>
      </c>
      <c r="O57" s="18">
        <f>IF(ISNUMBER(M57), $B64 * N57, "")</f>
        <v>2303.2629558541184</v>
      </c>
      <c r="Q57" s="245"/>
      <c r="R57" s="245"/>
      <c r="S57" s="245"/>
    </row>
    <row r="58" spans="1:19" ht="17.25" customHeight="1" thickBot="1">
      <c r="A58" s="163" t="s">
        <v>214</v>
      </c>
      <c r="B58" s="128">
        <v>13.7</v>
      </c>
      <c r="C58" s="78">
        <v>-2.83687943E-2</v>
      </c>
      <c r="D58" s="20">
        <v>13.9</v>
      </c>
      <c r="E58" s="21">
        <f t="shared" si="22"/>
        <v>1.4598540145985481E-2</v>
      </c>
      <c r="F58" s="22">
        <f>IF(ISNUMBER(D58), $B64 * E58, "")</f>
        <v>1459.854014598548</v>
      </c>
      <c r="G58" s="30">
        <v>14.2</v>
      </c>
      <c r="H58" s="21">
        <f t="shared" si="23"/>
        <v>3.6496350364963508E-2</v>
      </c>
      <c r="I58" s="105">
        <f>IF(ISNUMBER(G58), $B64 * H58, "")</f>
        <v>3649.6350364963509</v>
      </c>
      <c r="J58" s="20">
        <v>14.2</v>
      </c>
      <c r="K58" s="21">
        <f t="shared" si="24"/>
        <v>3.6496350364963508E-2</v>
      </c>
      <c r="L58" s="22">
        <f>IF(ISNUMBER(J58), $B64 * K58, "")</f>
        <v>3649.6350364963509</v>
      </c>
      <c r="M58" s="30">
        <v>14</v>
      </c>
      <c r="N58" s="21">
        <f t="shared" si="25"/>
        <v>2.1897810218978155E-2</v>
      </c>
      <c r="O58" s="22">
        <f>IF(ISNUMBER(M58), $B64 * N58, "")</f>
        <v>2189.7810218978157</v>
      </c>
      <c r="Q58" s="245"/>
      <c r="R58" s="245"/>
      <c r="S58" s="245"/>
    </row>
    <row r="59" spans="1:19" ht="17.25" customHeight="1" thickBot="1">
      <c r="A59" s="162" t="s">
        <v>218</v>
      </c>
      <c r="B59" s="129">
        <v>16.600000000000001</v>
      </c>
      <c r="C59" s="80">
        <v>-2.9239766100000002E-2</v>
      </c>
      <c r="D59" s="106">
        <v>16.7</v>
      </c>
      <c r="E59" s="107">
        <f>IF(ISNUMBER(D59), (D59 - $B59) / $B59, "")</f>
        <v>6.0240963855420398E-3</v>
      </c>
      <c r="F59" s="108">
        <f>IF(ISNUMBER(D59), $B64 * E59, "")</f>
        <v>602.40963855420398</v>
      </c>
      <c r="G59" s="109">
        <v>17</v>
      </c>
      <c r="H59" s="107">
        <f>IF(ISNUMBER(G59), (G59 - $B59) / $B59, "")</f>
        <v>2.4096385542168586E-2</v>
      </c>
      <c r="I59" s="110">
        <f>IF(ISNUMBER(G59), $B64 * H59, "")</f>
        <v>2409.6385542168587</v>
      </c>
      <c r="J59" s="106">
        <v>17</v>
      </c>
      <c r="K59" s="107">
        <f>IF(ISNUMBER(J59), (J59 - $B59) / $B59, "")</f>
        <v>2.4096385542168586E-2</v>
      </c>
      <c r="L59" s="108">
        <f>IF(ISNUMBER(J59), $B64 * K59, "")</f>
        <v>2409.6385542168587</v>
      </c>
      <c r="M59" s="109">
        <v>16.899999999999999</v>
      </c>
      <c r="N59" s="107">
        <f>IF(ISNUMBER(M59), (M59 - $B59) / $B59, "")</f>
        <v>1.8072289156626332E-2</v>
      </c>
      <c r="O59" s="108">
        <f>IF(ISNUMBER(M59), $B64 * N59, "")</f>
        <v>1807.2289156626332</v>
      </c>
      <c r="Q59" s="235"/>
      <c r="R59" s="235"/>
      <c r="S59" s="235"/>
    </row>
    <row r="60" spans="1:19" ht="17.25" customHeight="1" thickBot="1">
      <c r="A60" s="162" t="s">
        <v>198</v>
      </c>
      <c r="B60" s="126">
        <v>16.5</v>
      </c>
      <c r="C60" s="77">
        <v>-2.9411764699999999E-2</v>
      </c>
      <c r="D60" s="15">
        <v>16.600000000000001</v>
      </c>
      <c r="E60" s="32">
        <f t="shared" ref="E60:E63" si="26">IF(ISNUMBER(D60), (D60 - $B60) / $B60, "")</f>
        <v>6.0606060606061465E-3</v>
      </c>
      <c r="F60" s="18">
        <f>IF(ISNUMBER(D60), $B64 * E60, "")</f>
        <v>606.06060606061465</v>
      </c>
      <c r="G60" s="31">
        <v>17</v>
      </c>
      <c r="H60" s="32">
        <f t="shared" ref="H60:H63" si="27">IF(ISNUMBER(G60), (G60 - $B60) / $B60, "")</f>
        <v>3.0303030303030304E-2</v>
      </c>
      <c r="I60" s="101">
        <f>IF(ISNUMBER(G60), $B64 * H60, "")</f>
        <v>3030.3030303030305</v>
      </c>
      <c r="J60" s="15">
        <v>17</v>
      </c>
      <c r="K60" s="32">
        <f t="shared" ref="K60:K63" si="28">IF(ISNUMBER(J60), (J60 - $B60) / $B60, "")</f>
        <v>3.0303030303030304E-2</v>
      </c>
      <c r="L60" s="18">
        <f>IF(ISNUMBER(J60), $B64 * K60, "")</f>
        <v>3030.3030303030305</v>
      </c>
      <c r="M60" s="31">
        <v>16.899999999999999</v>
      </c>
      <c r="N60" s="32">
        <f t="shared" ref="N60:N63" si="29">IF(ISNUMBER(M60), (M60 - $B60) / $B60, "")</f>
        <v>2.4242424242424156E-2</v>
      </c>
      <c r="O60" s="18">
        <f>IF(ISNUMBER(M60), $B64 * N60, "")</f>
        <v>2424.2424242424154</v>
      </c>
      <c r="Q60" s="235"/>
      <c r="R60" s="235"/>
      <c r="S60" s="235"/>
    </row>
    <row r="61" spans="1:19" ht="17.25" customHeight="1" thickBot="1">
      <c r="A61" s="162" t="s">
        <v>72</v>
      </c>
      <c r="B61" s="126">
        <v>20.6</v>
      </c>
      <c r="C61" s="77">
        <v>-3.2863849799999997E-2</v>
      </c>
      <c r="D61" s="15">
        <v>21.6</v>
      </c>
      <c r="E61" s="32">
        <f t="shared" si="26"/>
        <v>4.8543689320388349E-2</v>
      </c>
      <c r="F61" s="18">
        <f>IF(ISNUMBER(D61), $B64 * E61, "")</f>
        <v>4854.3689320388348</v>
      </c>
      <c r="G61" s="31">
        <v>21.6</v>
      </c>
      <c r="H61" s="32">
        <f t="shared" si="27"/>
        <v>4.8543689320388349E-2</v>
      </c>
      <c r="I61" s="101">
        <f>IF(ISNUMBER(G61), $B64 * H61, "")</f>
        <v>4854.3689320388348</v>
      </c>
      <c r="J61" s="15">
        <v>25.4</v>
      </c>
      <c r="K61" s="32">
        <f t="shared" si="28"/>
        <v>0.23300970873786392</v>
      </c>
      <c r="L61" s="18">
        <f>IF(ISNUMBER(J61), $B64 * K61, "")</f>
        <v>23300.970873786391</v>
      </c>
      <c r="M61" s="31">
        <v>22.5</v>
      </c>
      <c r="N61" s="32">
        <f t="shared" si="29"/>
        <v>9.2233009708737795E-2</v>
      </c>
      <c r="O61" s="18">
        <f>IF(ISNUMBER(M61), $B64 * N61, "")</f>
        <v>9223.3009708737791</v>
      </c>
      <c r="Q61" s="235"/>
      <c r="R61" s="235"/>
      <c r="S61" s="235"/>
    </row>
    <row r="62" spans="1:19" ht="17.25" customHeight="1">
      <c r="A62" s="162" t="s">
        <v>260</v>
      </c>
      <c r="B62" s="126">
        <v>75.7</v>
      </c>
      <c r="C62" s="77">
        <v>-3.3205619399999997E-2</v>
      </c>
      <c r="D62" s="15">
        <v>75.8</v>
      </c>
      <c r="E62" s="32">
        <f t="shared" si="26"/>
        <v>1.3210039630118138E-3</v>
      </c>
      <c r="F62" s="18">
        <f>IF(ISNUMBER(D62), $B64 * E62, "")</f>
        <v>132.10039630118138</v>
      </c>
      <c r="G62" s="31">
        <v>77.3</v>
      </c>
      <c r="H62" s="32">
        <f t="shared" si="27"/>
        <v>2.1136063408190148E-2</v>
      </c>
      <c r="I62" s="101">
        <f>IF(ISNUMBER(G62), $B64 * H62, "")</f>
        <v>2113.6063408190148</v>
      </c>
      <c r="J62" s="15">
        <v>78</v>
      </c>
      <c r="K62" s="32">
        <f t="shared" si="28"/>
        <v>3.0383091149273411E-2</v>
      </c>
      <c r="L62" s="18">
        <f>IF(ISNUMBER(J62), $B64 * K62, "")</f>
        <v>3038.3091149273409</v>
      </c>
      <c r="M62" s="31">
        <v>76.7</v>
      </c>
      <c r="N62" s="32">
        <f t="shared" si="29"/>
        <v>1.3210039630118889E-2</v>
      </c>
      <c r="O62" s="18">
        <f>IF(ISNUMBER(M62), $B64 * N62, "")</f>
        <v>1321.003963011889</v>
      </c>
      <c r="Q62" s="224"/>
      <c r="R62" s="225"/>
      <c r="S62" s="226"/>
    </row>
    <row r="63" spans="1:19" ht="17.25" customHeight="1" thickBot="1">
      <c r="A63" s="130" t="s">
        <v>278</v>
      </c>
      <c r="B63" s="131">
        <v>79.099999999999994</v>
      </c>
      <c r="C63" s="79">
        <v>-3.4188034200000002E-2</v>
      </c>
      <c r="D63" s="24">
        <v>79.900000000000006</v>
      </c>
      <c r="E63" s="25">
        <f t="shared" si="26"/>
        <v>1.0113780025284595E-2</v>
      </c>
      <c r="F63" s="104">
        <f>IF(ISNUMBER(D63), $B64 * E63, "")</f>
        <v>1011.3780025284594</v>
      </c>
      <c r="G63" s="102">
        <v>80.5</v>
      </c>
      <c r="H63" s="25">
        <f t="shared" si="27"/>
        <v>1.769911504424786E-2</v>
      </c>
      <c r="I63" s="103">
        <f>IF(ISNUMBER(G63), $B64 * H63, "")</f>
        <v>1769.911504424786</v>
      </c>
      <c r="J63" s="24">
        <v>80.400000000000006</v>
      </c>
      <c r="K63" s="25">
        <f t="shared" si="28"/>
        <v>1.6434892541087376E-2</v>
      </c>
      <c r="L63" s="104">
        <f>IF(ISNUMBER(J63), $B64 * K63, "")</f>
        <v>1643.4892541087377</v>
      </c>
      <c r="M63" s="102">
        <v>80.8</v>
      </c>
      <c r="N63" s="25">
        <f t="shared" si="29"/>
        <v>2.1491782553729494E-2</v>
      </c>
      <c r="O63" s="104">
        <f>IF(ISNUMBER(M63), $B64 * N63, "")</f>
        <v>2149.1782553729495</v>
      </c>
      <c r="Q63" s="227"/>
      <c r="R63" s="228"/>
      <c r="S63" s="229"/>
    </row>
    <row r="64" spans="1:19" ht="17.25" customHeight="1" thickBot="1">
      <c r="A64" s="132" t="s">
        <v>300</v>
      </c>
      <c r="B64" s="288">
        <f>$B$37</f>
        <v>100000</v>
      </c>
      <c r="C64" s="289"/>
      <c r="D64" s="26" t="s">
        <v>301</v>
      </c>
      <c r="E64" s="27">
        <f>IF(COUNT(E44:E63), SUM(E44:E63) / COUNT(E44:E63), 0)</f>
        <v>2.9855319412212138E-2</v>
      </c>
      <c r="F64" s="28">
        <f>SUM(F44:F63)</f>
        <v>59710.638824424277</v>
      </c>
      <c r="G64" s="26" t="s">
        <v>301</v>
      </c>
      <c r="H64" s="27">
        <f>IF(COUNT(H44:H63), SUM(H44:H63) / COUNT(H44:H63), 0)</f>
        <v>3.7610718647782877E-2</v>
      </c>
      <c r="I64" s="28">
        <f>SUM(I44:I63)</f>
        <v>75221.43729556576</v>
      </c>
      <c r="J64" s="26" t="s">
        <v>301</v>
      </c>
      <c r="K64" s="27">
        <f>IF(COUNT(K44:K63), SUM(K44:K63) / COUNT(K44:K63), 0)</f>
        <v>4.92027385102475E-2</v>
      </c>
      <c r="L64" s="28">
        <f>SUM(L44:L63)</f>
        <v>98405.477020494975</v>
      </c>
      <c r="M64" s="26" t="s">
        <v>301</v>
      </c>
      <c r="N64" s="27">
        <f>IF(COUNT(N44:N63), SUM(N44:N63) / COUNT(N44:N63), 0)</f>
        <v>3.166749302247894E-2</v>
      </c>
      <c r="O64" s="28">
        <f>SUM(O44:O63)</f>
        <v>63334.98604495787</v>
      </c>
      <c r="Q64" s="230"/>
      <c r="R64" s="231"/>
      <c r="S64" s="232"/>
    </row>
    <row r="65" spans="1:19" ht="17.25" customHeight="1"/>
    <row r="66" spans="1:19" ht="17.25" customHeight="1" thickBot="1"/>
    <row r="67" spans="1:19" ht="17.25" thickBot="1">
      <c r="A67" s="246" t="s">
        <v>45</v>
      </c>
      <c r="B67" s="247"/>
      <c r="C67" s="247"/>
      <c r="D67" s="247"/>
      <c r="E67" s="247"/>
      <c r="F67" s="247"/>
      <c r="G67" s="247"/>
      <c r="H67" s="247"/>
      <c r="I67" s="247"/>
      <c r="J67" s="247"/>
      <c r="K67" s="247"/>
      <c r="L67" s="247"/>
      <c r="M67" s="247"/>
      <c r="N67" s="247"/>
      <c r="O67" s="248"/>
      <c r="Q67" s="245"/>
      <c r="R67" s="245"/>
      <c r="S67" s="245"/>
    </row>
    <row r="68" spans="1:19" ht="17.25" thickBot="1">
      <c r="A68" s="180" t="s">
        <v>297</v>
      </c>
      <c r="B68" s="246" t="s">
        <v>49</v>
      </c>
      <c r="C68" s="248"/>
      <c r="D68" s="246" t="s">
        <v>58</v>
      </c>
      <c r="E68" s="247"/>
      <c r="F68" s="248"/>
      <c r="G68" s="249">
        <f>_xlfn.IFNA(VLOOKUP(B68, 현재가테이블!$B$2:$D$200, 2, FALSE), "-")</f>
        <v>45335000</v>
      </c>
      <c r="H68" s="250"/>
      <c r="I68" s="251"/>
      <c r="J68" s="246" t="s">
        <v>59</v>
      </c>
      <c r="K68" s="247"/>
      <c r="L68" s="248"/>
      <c r="M68" s="252">
        <f>_xlfn.IFNA(VLOOKUP(B68, 현재가테이블!$B$2:$D$200, 3, FALSE), "-")</f>
        <v>-2.27209037E-2</v>
      </c>
      <c r="N68" s="253"/>
      <c r="O68" s="254"/>
      <c r="Q68" s="245"/>
      <c r="R68" s="245"/>
      <c r="S68" s="245"/>
    </row>
    <row r="69" spans="1:19" ht="17.25" thickBot="1">
      <c r="A69" s="290" t="s">
        <v>55</v>
      </c>
      <c r="B69" s="286" t="str">
        <f>TEXT($G$1, "[$-ko-KR]yyyy-mm-dd(ddd) ") &amp; "오전 00:00"</f>
        <v>2021-06-06(일) 오전 00:00</v>
      </c>
      <c r="C69" s="287"/>
      <c r="D69" s="259" t="str">
        <f>TEXT($G$1, "[$-ko-KR]yyyy-mm-dd(ddd) ") &amp; "오후 14:00"</f>
        <v>2021-06-06(일) 오후 14:00</v>
      </c>
      <c r="E69" s="260"/>
      <c r="F69" s="261"/>
      <c r="G69" s="259" t="str">
        <f>TEXT($G$1, "[$-ko-KR]yyyy-mm-dd(ddd) ") &amp; "오후 19:00"</f>
        <v>2021-06-06(일) 오후 19:00</v>
      </c>
      <c r="H69" s="260"/>
      <c r="I69" s="261"/>
      <c r="J69" s="259" t="str">
        <f>TEXT($G$1, "[$-ko-KR]yyyy-mm-dd(ddd) ") &amp; "오후 21:00"</f>
        <v>2021-06-06(일) 오후 21:00</v>
      </c>
      <c r="K69" s="260"/>
      <c r="L69" s="261"/>
      <c r="M69" s="259" t="str">
        <f>TEXT($G$1+1, "[$-ko-KR]yyyy-mm-dd(ddd) ") &amp; "오전 00:00"</f>
        <v>2021-06-07(월) 오전 00:00</v>
      </c>
      <c r="N69" s="260"/>
      <c r="O69" s="261"/>
      <c r="Q69" s="245"/>
      <c r="R69" s="245"/>
      <c r="S69" s="245"/>
    </row>
    <row r="70" spans="1:19" ht="17.25" thickBot="1">
      <c r="A70" s="291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81" t="s">
        <v>58</v>
      </c>
      <c r="H70" s="182" t="s">
        <v>298</v>
      </c>
      <c r="I70" s="183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5"/>
      <c r="R70" s="235"/>
      <c r="S70" s="235"/>
    </row>
    <row r="71" spans="1:19" ht="17.25" thickBot="1">
      <c r="A71" s="161" t="s">
        <v>142</v>
      </c>
      <c r="B71" s="124">
        <v>525</v>
      </c>
      <c r="C71" s="76">
        <v>8.0246913599999997E-2</v>
      </c>
      <c r="D71" s="13">
        <v>521</v>
      </c>
      <c r="E71" s="14">
        <f>IF(ISNUMBER(D71), (D71 - $B71) / $B71, "")</f>
        <v>-7.619047619047619E-3</v>
      </c>
      <c r="F71" s="16">
        <f>IF(ISNUMBER(D71), $B91 * E71, "")</f>
        <v>-761.90476190476193</v>
      </c>
      <c r="G71" s="29">
        <v>495</v>
      </c>
      <c r="H71" s="14">
        <f>IF(ISNUMBER(G71), (G71 - $B71) / $B71, "")</f>
        <v>-5.7142857142857141E-2</v>
      </c>
      <c r="I71" s="100">
        <f>IF(ISNUMBER(G71), $B91 * H71, "")</f>
        <v>-5714.2857142857138</v>
      </c>
      <c r="J71" s="13">
        <v>496</v>
      </c>
      <c r="K71" s="14">
        <f>IF(ISNUMBER(J71), (J71 - $B71) / $B71, "")</f>
        <v>-5.5238095238095239E-2</v>
      </c>
      <c r="L71" s="16">
        <f>IF(ISNUMBER(J71), $B91 * K71, "")</f>
        <v>-5523.8095238095239</v>
      </c>
      <c r="M71" s="29">
        <v>491</v>
      </c>
      <c r="N71" s="14">
        <f>IF(ISNUMBER(M71), (M71 - $B71) / $B71, "")</f>
        <v>-6.4761904761904757E-2</v>
      </c>
      <c r="O71" s="16">
        <f>IF(ISNUMBER(M71), $B91 * N71, "")</f>
        <v>-6476.1904761904752</v>
      </c>
      <c r="Q71" s="245"/>
      <c r="R71" s="245"/>
      <c r="S71" s="245"/>
    </row>
    <row r="72" spans="1:19" ht="17.25" thickBot="1">
      <c r="A72" s="162" t="s">
        <v>134</v>
      </c>
      <c r="B72" s="126">
        <v>100</v>
      </c>
      <c r="C72" s="77">
        <v>6.9518716600000002E-2</v>
      </c>
      <c r="D72" s="15">
        <v>98.7</v>
      </c>
      <c r="E72" s="32">
        <f t="shared" ref="E72:E75" si="30">IF(ISNUMBER(D72), (D72 - $B72) / $B72, "")</f>
        <v>-1.2999999999999972E-2</v>
      </c>
      <c r="F72" s="18">
        <f>IF(ISNUMBER(D72), $B91 * E72, "")</f>
        <v>-1299.9999999999973</v>
      </c>
      <c r="G72" s="31">
        <v>100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>
        <v>99.7</v>
      </c>
      <c r="K72" s="32">
        <f t="shared" ref="K72:K75" si="32">IF(ISNUMBER(J72), (J72 - $B72) / $B72, "")</f>
        <v>-2.9999999999999714E-3</v>
      </c>
      <c r="L72" s="18">
        <f>IF(ISNUMBER(J72), $B91 * K72, "")</f>
        <v>-299.99999999999716</v>
      </c>
      <c r="M72" s="31">
        <v>101</v>
      </c>
      <c r="N72" s="32">
        <f t="shared" ref="N72:N75" si="33">IF(ISNUMBER(M72), (M72 - $B72) / $B72, "")</f>
        <v>0.01</v>
      </c>
      <c r="O72" s="18">
        <f>IF(ISNUMBER(M72), $B91 * N72, "")</f>
        <v>1000</v>
      </c>
      <c r="Q72" s="245"/>
      <c r="R72" s="245"/>
      <c r="S72" s="245"/>
    </row>
    <row r="73" spans="1:19" ht="17.25" thickBot="1">
      <c r="A73" s="162" t="s">
        <v>112</v>
      </c>
      <c r="B73" s="126">
        <v>202</v>
      </c>
      <c r="C73" s="77">
        <v>4.6632124400000002E-2</v>
      </c>
      <c r="D73" s="15">
        <v>203</v>
      </c>
      <c r="E73" s="32">
        <f t="shared" si="30"/>
        <v>4.9504950495049506E-3</v>
      </c>
      <c r="F73" s="18">
        <f>IF(ISNUMBER(D73), $B91 * E73, "")</f>
        <v>495.04950495049508</v>
      </c>
      <c r="G73" s="31">
        <v>194</v>
      </c>
      <c r="H73" s="32">
        <f t="shared" si="31"/>
        <v>-3.9603960396039604E-2</v>
      </c>
      <c r="I73" s="101">
        <f>IF(ISNUMBER(G73), $B91 * H73, "")</f>
        <v>-3960.3960396039606</v>
      </c>
      <c r="J73" s="15">
        <v>192</v>
      </c>
      <c r="K73" s="32">
        <f t="shared" si="32"/>
        <v>-4.9504950495049507E-2</v>
      </c>
      <c r="L73" s="18">
        <f>IF(ISNUMBER(J73), $B91 * K73, "")</f>
        <v>-4950.4950495049507</v>
      </c>
      <c r="M73" s="31">
        <v>191</v>
      </c>
      <c r="N73" s="32">
        <f t="shared" si="33"/>
        <v>-5.4455445544554455E-2</v>
      </c>
      <c r="O73" s="18">
        <f>IF(ISNUMBER(M73), $B91 * N73, "")</f>
        <v>-5445.5445544554459</v>
      </c>
      <c r="Q73" s="235"/>
      <c r="R73" s="235"/>
      <c r="S73" s="235"/>
    </row>
    <row r="74" spans="1:19" ht="17.25" thickBot="1">
      <c r="A74" s="162" t="s">
        <v>61</v>
      </c>
      <c r="B74" s="126">
        <v>958</v>
      </c>
      <c r="C74" s="77">
        <v>8.4210525999999994E-3</v>
      </c>
      <c r="D74" s="15">
        <v>952</v>
      </c>
      <c r="E74" s="32">
        <f t="shared" si="30"/>
        <v>-6.2630480167014616E-3</v>
      </c>
      <c r="F74" s="18">
        <f>IF(ISNUMBER(D74), $B91 * E74, "")</f>
        <v>-626.30480167014616</v>
      </c>
      <c r="G74" s="31">
        <v>952</v>
      </c>
      <c r="H74" s="32">
        <f t="shared" si="31"/>
        <v>-6.2630480167014616E-3</v>
      </c>
      <c r="I74" s="101">
        <f>IF(ISNUMBER(G74), $B91 * H74, "")</f>
        <v>-626.30480167014616</v>
      </c>
      <c r="J74" s="15">
        <v>953</v>
      </c>
      <c r="K74" s="32">
        <f t="shared" si="32"/>
        <v>-5.2192066805845511E-3</v>
      </c>
      <c r="L74" s="18">
        <f>IF(ISNUMBER(J74), $B91 * K74, "")</f>
        <v>-521.92066805845513</v>
      </c>
      <c r="M74" s="31">
        <v>954</v>
      </c>
      <c r="N74" s="32">
        <f t="shared" si="33"/>
        <v>-4.1753653444676405E-3</v>
      </c>
      <c r="O74" s="18">
        <f>IF(ISNUMBER(M74), $B91 * N74, "")</f>
        <v>-417.53653444676405</v>
      </c>
      <c r="Q74" s="235"/>
      <c r="R74" s="235"/>
      <c r="S74" s="235"/>
    </row>
    <row r="75" spans="1:19" ht="17.25" thickBot="1">
      <c r="A75" s="163" t="s">
        <v>296</v>
      </c>
      <c r="B75" s="128">
        <v>440</v>
      </c>
      <c r="C75" s="78">
        <v>6.8649886E-3</v>
      </c>
      <c r="D75" s="20">
        <v>435</v>
      </c>
      <c r="E75" s="21">
        <f t="shared" si="30"/>
        <v>-1.1363636363636364E-2</v>
      </c>
      <c r="F75" s="22">
        <f>IF(ISNUMBER(D75), $B91 * E75, "")</f>
        <v>-1136.3636363636365</v>
      </c>
      <c r="G75" s="30">
        <v>429</v>
      </c>
      <c r="H75" s="21">
        <f t="shared" si="31"/>
        <v>-2.5000000000000001E-2</v>
      </c>
      <c r="I75" s="105">
        <f>IF(ISNUMBER(G75), $B91 * H75, "")</f>
        <v>-2500</v>
      </c>
      <c r="J75" s="20">
        <v>430</v>
      </c>
      <c r="K75" s="21">
        <f t="shared" si="32"/>
        <v>-2.2727272727272728E-2</v>
      </c>
      <c r="L75" s="22">
        <f>IF(ISNUMBER(J75), $B91 * K75, "")</f>
        <v>-2272.727272727273</v>
      </c>
      <c r="M75" s="30">
        <v>433</v>
      </c>
      <c r="N75" s="21">
        <f t="shared" si="33"/>
        <v>-1.5909090909090907E-2</v>
      </c>
      <c r="O75" s="22">
        <f>IF(ISNUMBER(M75), $B91 * N75, "")</f>
        <v>-1590.9090909090908</v>
      </c>
      <c r="Q75" s="235"/>
      <c r="R75" s="235"/>
      <c r="S75" s="235"/>
    </row>
    <row r="76" spans="1:19" ht="17.25" thickBot="1">
      <c r="A76" s="162" t="s">
        <v>80</v>
      </c>
      <c r="B76" s="129">
        <v>887</v>
      </c>
      <c r="C76" s="80">
        <v>3.3936652000000002E-3</v>
      </c>
      <c r="D76" s="106">
        <v>882</v>
      </c>
      <c r="E76" s="107">
        <f>IF(ISNUMBER(D76), (D76 - $B76) / $B76, "")</f>
        <v>-5.6369785794813977E-3</v>
      </c>
      <c r="F76" s="108">
        <f>IF(ISNUMBER(D76), $B91 * E76, "")</f>
        <v>-563.69785794813981</v>
      </c>
      <c r="G76" s="109">
        <v>883</v>
      </c>
      <c r="H76" s="107">
        <f>IF(ISNUMBER(G76), (G76 - $B76) / $B76, "")</f>
        <v>-4.5095828635851182E-3</v>
      </c>
      <c r="I76" s="110">
        <f>IF(ISNUMBER(G76), $B91 * H76, "")</f>
        <v>-450.95828635851183</v>
      </c>
      <c r="J76" s="106">
        <v>884</v>
      </c>
      <c r="K76" s="107">
        <f>IF(ISNUMBER(J76), (J76 - $B76) / $B76, "")</f>
        <v>-3.3821871476888386E-3</v>
      </c>
      <c r="L76" s="108">
        <f>IF(ISNUMBER(J76), $B91 * K76, "")</f>
        <v>-338.21871476888384</v>
      </c>
      <c r="M76" s="109">
        <v>883</v>
      </c>
      <c r="N76" s="107">
        <f>IF(ISNUMBER(M76), (M76 - $B76) / $B76, "")</f>
        <v>-4.5095828635851182E-3</v>
      </c>
      <c r="O76" s="108">
        <f>IF(ISNUMBER(M76), $B91 * N76, "")</f>
        <v>-450.95828635851183</v>
      </c>
      <c r="Q76" s="235"/>
      <c r="R76" s="235"/>
      <c r="S76" s="235"/>
    </row>
    <row r="77" spans="1:19" ht="17.25" thickBot="1">
      <c r="A77" s="162" t="s">
        <v>232</v>
      </c>
      <c r="B77" s="126">
        <v>115</v>
      </c>
      <c r="C77" s="77">
        <v>0</v>
      </c>
      <c r="D77" s="15">
        <v>121</v>
      </c>
      <c r="E77" s="32">
        <f t="shared" ref="E77:E80" si="34">IF(ISNUMBER(D77), (D77 - $B77) / $B77, "")</f>
        <v>5.2173913043478258E-2</v>
      </c>
      <c r="F77" s="18">
        <f>IF(ISNUMBER(D77), $B91 * E77, "")</f>
        <v>5217.391304347826</v>
      </c>
      <c r="G77" s="31">
        <v>120</v>
      </c>
      <c r="H77" s="32">
        <f t="shared" ref="H77:H80" si="35">IF(ISNUMBER(G77), (G77 - $B77) / $B77, "")</f>
        <v>4.3478260869565216E-2</v>
      </c>
      <c r="I77" s="101">
        <f>IF(ISNUMBER(G77), $B91 * H77, "")</f>
        <v>4347.826086956522</v>
      </c>
      <c r="J77" s="15">
        <v>122</v>
      </c>
      <c r="K77" s="32">
        <f t="shared" ref="K77:K80" si="36">IF(ISNUMBER(J77), (J77 - $B77) / $B77, "")</f>
        <v>6.0869565217391307E-2</v>
      </c>
      <c r="L77" s="18">
        <f>IF(ISNUMBER(J77), $B91 * K77, "")</f>
        <v>6086.9565217391309</v>
      </c>
      <c r="M77" s="31">
        <v>120</v>
      </c>
      <c r="N77" s="32">
        <f t="shared" ref="N77:N80" si="37">IF(ISNUMBER(M77), (M77 - $B77) / $B77, "")</f>
        <v>4.3478260869565216E-2</v>
      </c>
      <c r="O77" s="18">
        <f>IF(ISNUMBER(M77), $B91 * N77, "")</f>
        <v>4347.826086956522</v>
      </c>
      <c r="Q77" s="235"/>
      <c r="R77" s="235"/>
      <c r="S77" s="235"/>
    </row>
    <row r="78" spans="1:19" ht="17.25" thickBot="1">
      <c r="A78" s="162" t="s">
        <v>132</v>
      </c>
      <c r="B78" s="126">
        <v>155</v>
      </c>
      <c r="C78" s="77">
        <v>0</v>
      </c>
      <c r="D78" s="15">
        <v>153</v>
      </c>
      <c r="E78" s="32">
        <f t="shared" si="34"/>
        <v>-1.2903225806451613E-2</v>
      </c>
      <c r="F78" s="18">
        <f>IF(ISNUMBER(D78), $B91 * E78, "")</f>
        <v>-1290.3225806451612</v>
      </c>
      <c r="G78" s="31">
        <v>153</v>
      </c>
      <c r="H78" s="32">
        <f t="shared" si="35"/>
        <v>-1.2903225806451613E-2</v>
      </c>
      <c r="I78" s="101">
        <f>IF(ISNUMBER(G78), $B91 * H78, "")</f>
        <v>-1290.3225806451612</v>
      </c>
      <c r="J78" s="15">
        <v>152</v>
      </c>
      <c r="K78" s="32">
        <f t="shared" si="36"/>
        <v>-1.935483870967742E-2</v>
      </c>
      <c r="L78" s="18">
        <f>IF(ISNUMBER(J78), $B91 * K78, "")</f>
        <v>-1935.483870967742</v>
      </c>
      <c r="M78" s="31">
        <v>154</v>
      </c>
      <c r="N78" s="32">
        <f t="shared" si="37"/>
        <v>-6.4516129032258064E-3</v>
      </c>
      <c r="O78" s="18">
        <f>IF(ISNUMBER(M78), $B91 * N78, "")</f>
        <v>-645.16129032258061</v>
      </c>
      <c r="Q78" s="235"/>
      <c r="R78" s="235"/>
      <c r="S78" s="235"/>
    </row>
    <row r="79" spans="1:19" ht="17.25" thickBot="1">
      <c r="A79" s="162" t="s">
        <v>51</v>
      </c>
      <c r="B79" s="126">
        <v>445</v>
      </c>
      <c r="C79" s="77">
        <v>-8.9086860000000007E-3</v>
      </c>
      <c r="D79" s="15">
        <v>446</v>
      </c>
      <c r="E79" s="32">
        <f t="shared" si="34"/>
        <v>2.2471910112359553E-3</v>
      </c>
      <c r="F79" s="18">
        <f>IF(ISNUMBER(D79), $B91 * E79, "")</f>
        <v>224.71910112359552</v>
      </c>
      <c r="G79" s="31">
        <v>445</v>
      </c>
      <c r="H79" s="32">
        <f t="shared" si="35"/>
        <v>0</v>
      </c>
      <c r="I79" s="101">
        <f>IF(ISNUMBER(G79), $B91 * H79, "")</f>
        <v>0</v>
      </c>
      <c r="J79" s="15">
        <v>442</v>
      </c>
      <c r="K79" s="32">
        <f t="shared" si="36"/>
        <v>-6.7415730337078653E-3</v>
      </c>
      <c r="L79" s="18">
        <f>IF(ISNUMBER(J79), $B91 * K79, "")</f>
        <v>-674.15730337078651</v>
      </c>
      <c r="M79" s="31">
        <v>443</v>
      </c>
      <c r="N79" s="32">
        <f t="shared" si="37"/>
        <v>-4.4943820224719105E-3</v>
      </c>
      <c r="O79" s="18">
        <f>IF(ISNUMBER(M79), $B91 * N79, "")</f>
        <v>-449.43820224719104</v>
      </c>
      <c r="Q79" s="33"/>
      <c r="R79" s="33"/>
    </row>
    <row r="80" spans="1:19" ht="17.25" thickBot="1">
      <c r="A80" s="130" t="s">
        <v>120</v>
      </c>
      <c r="B80" s="131">
        <v>141</v>
      </c>
      <c r="C80" s="79">
        <v>-1.3986014E-2</v>
      </c>
      <c r="D80" s="24">
        <v>140</v>
      </c>
      <c r="E80" s="25">
        <f t="shared" si="34"/>
        <v>-7.0921985815602835E-3</v>
      </c>
      <c r="F80" s="104">
        <f>IF(ISNUMBER(D80), $B91 * E80, "")</f>
        <v>-709.21985815602841</v>
      </c>
      <c r="G80" s="102">
        <v>140</v>
      </c>
      <c r="H80" s="25">
        <f t="shared" si="35"/>
        <v>-7.0921985815602835E-3</v>
      </c>
      <c r="I80" s="103">
        <f>IF(ISNUMBER(G80), $B91 * H80, "")</f>
        <v>-709.21985815602841</v>
      </c>
      <c r="J80" s="24">
        <v>141</v>
      </c>
      <c r="K80" s="25">
        <f t="shared" si="36"/>
        <v>0</v>
      </c>
      <c r="L80" s="104">
        <f>IF(ISNUMBER(J80), $B91 * K80, "")</f>
        <v>0</v>
      </c>
      <c r="M80" s="102">
        <v>142</v>
      </c>
      <c r="N80" s="25">
        <f t="shared" si="37"/>
        <v>7.0921985815602835E-3</v>
      </c>
      <c r="O80" s="104">
        <f>IF(ISNUMBER(M80), $B91 * N80, "")</f>
        <v>709.21985815602841</v>
      </c>
      <c r="Q80" s="236"/>
      <c r="R80" s="237"/>
      <c r="S80" s="238"/>
    </row>
    <row r="81" spans="1:19">
      <c r="A81" s="161" t="s">
        <v>262</v>
      </c>
      <c r="B81" s="124">
        <v>620</v>
      </c>
      <c r="C81" s="76">
        <v>-1.43084261E-2</v>
      </c>
      <c r="D81" s="13">
        <v>626</v>
      </c>
      <c r="E81" s="14">
        <f>IF(ISNUMBER(D81), (D81 - $B81) / $B81, "")</f>
        <v>9.6774193548387101E-3</v>
      </c>
      <c r="F81" s="16">
        <f>IF(ISNUMBER(D81), $B91 * E81, "")</f>
        <v>967.74193548387098</v>
      </c>
      <c r="G81" s="29">
        <v>651</v>
      </c>
      <c r="H81" s="14">
        <f>IF(ISNUMBER(G81), (G81 - $B81) / $B81, "")</f>
        <v>0.05</v>
      </c>
      <c r="I81" s="100">
        <f>IF(ISNUMBER(G81), $B91 * H81, "")</f>
        <v>5000</v>
      </c>
      <c r="J81" s="13">
        <v>660</v>
      </c>
      <c r="K81" s="14">
        <f>IF(ISNUMBER(J81), (J81 - $B81) / $B81, "")</f>
        <v>6.4516129032258063E-2</v>
      </c>
      <c r="L81" s="16">
        <f>IF(ISNUMBER(J81), $B91 * K81, "")</f>
        <v>6451.6129032258059</v>
      </c>
      <c r="M81" s="29">
        <v>638</v>
      </c>
      <c r="N81" s="14">
        <f>IF(ISNUMBER(M81), (M81 - $B81) / $B81, "")</f>
        <v>2.903225806451613E-2</v>
      </c>
      <c r="O81" s="16">
        <f>IF(ISNUMBER(M81), $B91 * N81, "")</f>
        <v>2903.2258064516132</v>
      </c>
      <c r="Q81" s="239"/>
      <c r="R81" s="240"/>
      <c r="S81" s="241"/>
    </row>
    <row r="82" spans="1:19" ht="17.25" thickBot="1">
      <c r="A82" s="162" t="s">
        <v>246</v>
      </c>
      <c r="B82" s="126">
        <v>311</v>
      </c>
      <c r="C82" s="77">
        <v>-1.58227848E-2</v>
      </c>
      <c r="D82" s="15">
        <v>308</v>
      </c>
      <c r="E82" s="32">
        <f t="shared" ref="E82:E85" si="38">IF(ISNUMBER(D82), (D82 - $B82) / $B82, "")</f>
        <v>-9.6463022508038593E-3</v>
      </c>
      <c r="F82" s="18">
        <f>IF(ISNUMBER(D82), $B91 * E82, "")</f>
        <v>-964.63022508038591</v>
      </c>
      <c r="G82" s="31">
        <v>311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313</v>
      </c>
      <c r="K82" s="32">
        <f t="shared" ref="K82:K85" si="40">IF(ISNUMBER(J82), (J82 - $B82) / $B82, "")</f>
        <v>6.4308681672025723E-3</v>
      </c>
      <c r="L82" s="18">
        <f>IF(ISNUMBER(J82), $B91 * K82, "")</f>
        <v>643.08681672025727</v>
      </c>
      <c r="M82" s="31">
        <v>311</v>
      </c>
      <c r="N82" s="32">
        <f t="shared" ref="N82:N85" si="41">IF(ISNUMBER(M82), (M82 - $B82) / $B82, "")</f>
        <v>0</v>
      </c>
      <c r="O82" s="18">
        <f>IF(ISNUMBER(M82), $B91 * N82, "")</f>
        <v>0</v>
      </c>
      <c r="Q82" s="242"/>
      <c r="R82" s="243"/>
      <c r="S82" s="244"/>
    </row>
    <row r="83" spans="1:19" ht="17.25" thickBot="1">
      <c r="A83" s="162" t="s">
        <v>148</v>
      </c>
      <c r="B83" s="126">
        <v>117</v>
      </c>
      <c r="C83" s="77">
        <v>-1.6806722699999999E-2</v>
      </c>
      <c r="D83" s="15">
        <v>118</v>
      </c>
      <c r="E83" s="32">
        <f t="shared" si="38"/>
        <v>8.5470085470085479E-3</v>
      </c>
      <c r="F83" s="18">
        <f>IF(ISNUMBER(D83), $B91 * E83, "")</f>
        <v>854.70085470085473</v>
      </c>
      <c r="G83" s="31">
        <v>119</v>
      </c>
      <c r="H83" s="32">
        <f t="shared" si="39"/>
        <v>1.7094017094017096E-2</v>
      </c>
      <c r="I83" s="101">
        <f>IF(ISNUMBER(G83), $B91 * H83, "")</f>
        <v>1709.4017094017095</v>
      </c>
      <c r="J83" s="15">
        <v>122</v>
      </c>
      <c r="K83" s="32">
        <f t="shared" si="40"/>
        <v>4.2735042735042736E-2</v>
      </c>
      <c r="L83" s="18">
        <f>IF(ISNUMBER(J83), $B91 * K83, "")</f>
        <v>4273.5042735042734</v>
      </c>
      <c r="M83" s="31">
        <v>120</v>
      </c>
      <c r="N83" s="32">
        <f t="shared" si="41"/>
        <v>2.564102564102564E-2</v>
      </c>
      <c r="O83" s="18">
        <f>IF(ISNUMBER(M83), $B91 * N83, "")</f>
        <v>2564.102564102564</v>
      </c>
      <c r="Q83" s="235"/>
      <c r="R83" s="235"/>
      <c r="S83" s="235"/>
    </row>
    <row r="84" spans="1:19" ht="17.25" thickBot="1">
      <c r="A84" s="162" t="s">
        <v>282</v>
      </c>
      <c r="B84" s="126">
        <v>108</v>
      </c>
      <c r="C84" s="77">
        <v>-1.8181818200000002E-2</v>
      </c>
      <c r="D84" s="15">
        <v>108</v>
      </c>
      <c r="E84" s="32">
        <f t="shared" si="38"/>
        <v>0</v>
      </c>
      <c r="F84" s="18">
        <f>IF(ISNUMBER(D84), $B91 * E84, "")</f>
        <v>0</v>
      </c>
      <c r="G84" s="31">
        <v>111</v>
      </c>
      <c r="H84" s="32">
        <f t="shared" si="39"/>
        <v>2.7777777777777776E-2</v>
      </c>
      <c r="I84" s="101">
        <f>IF(ISNUMBER(G84), $B91 * H84, "")</f>
        <v>2777.7777777777778</v>
      </c>
      <c r="J84" s="15">
        <v>110</v>
      </c>
      <c r="K84" s="32">
        <f t="shared" si="40"/>
        <v>1.8518518518518517E-2</v>
      </c>
      <c r="L84" s="18">
        <f>IF(ISNUMBER(J84), $B91 * K84, "")</f>
        <v>1851.8518518518517</v>
      </c>
      <c r="M84" s="31">
        <v>110</v>
      </c>
      <c r="N84" s="32">
        <f t="shared" si="41"/>
        <v>1.8518518518518517E-2</v>
      </c>
      <c r="O84" s="18">
        <f>IF(ISNUMBER(M84), $B91 * N84, "")</f>
        <v>1851.8518518518517</v>
      </c>
      <c r="Q84" s="245"/>
      <c r="R84" s="245"/>
      <c r="S84" s="245"/>
    </row>
    <row r="85" spans="1:19" ht="17.25" thickBot="1">
      <c r="A85" s="163" t="s">
        <v>202</v>
      </c>
      <c r="B85" s="128">
        <v>123</v>
      </c>
      <c r="C85" s="78">
        <v>-2.3809523799999999E-2</v>
      </c>
      <c r="D85" s="20">
        <v>125</v>
      </c>
      <c r="E85" s="21">
        <f t="shared" si="38"/>
        <v>1.6260162601626018E-2</v>
      </c>
      <c r="F85" s="22">
        <f>IF(ISNUMBER(D85), $B91 * E85, "")</f>
        <v>1626.0162601626018</v>
      </c>
      <c r="G85" s="30">
        <v>129</v>
      </c>
      <c r="H85" s="21">
        <f t="shared" si="39"/>
        <v>4.878048780487805E-2</v>
      </c>
      <c r="I85" s="105">
        <f>IF(ISNUMBER(G85), $B91 * H85, "")</f>
        <v>4878.0487804878048</v>
      </c>
      <c r="J85" s="20">
        <v>130</v>
      </c>
      <c r="K85" s="21">
        <f t="shared" si="40"/>
        <v>5.6910569105691054E-2</v>
      </c>
      <c r="L85" s="22">
        <f>IF(ISNUMBER(J85), $B91 * K85, "")</f>
        <v>5691.0569105691056</v>
      </c>
      <c r="M85" s="30">
        <v>129</v>
      </c>
      <c r="N85" s="21">
        <f t="shared" si="41"/>
        <v>4.878048780487805E-2</v>
      </c>
      <c r="O85" s="22">
        <f>IF(ISNUMBER(M85), $B91 * N85, "")</f>
        <v>4878.0487804878048</v>
      </c>
      <c r="Q85" s="245"/>
      <c r="R85" s="245"/>
      <c r="S85" s="245"/>
    </row>
    <row r="86" spans="1:19" ht="17.25" thickBot="1">
      <c r="A86" s="162" t="s">
        <v>216</v>
      </c>
      <c r="B86" s="129">
        <v>275</v>
      </c>
      <c r="C86" s="80">
        <v>-2.4822694999999999E-2</v>
      </c>
      <c r="D86" s="106">
        <v>274</v>
      </c>
      <c r="E86" s="107">
        <f>IF(ISNUMBER(D86), (D86 - $B86) / $B86, "")</f>
        <v>-3.6363636363636364E-3</v>
      </c>
      <c r="F86" s="108">
        <f>IF(ISNUMBER(D86), $B91 * E86, "")</f>
        <v>-363.63636363636363</v>
      </c>
      <c r="G86" s="109">
        <v>277</v>
      </c>
      <c r="H86" s="107">
        <f>IF(ISNUMBER(G86), (G86 - $B86) / $B86, "")</f>
        <v>7.2727272727272727E-3</v>
      </c>
      <c r="I86" s="110">
        <f>IF(ISNUMBER(G86), $B91 * H86, "")</f>
        <v>727.27272727272725</v>
      </c>
      <c r="J86" s="106">
        <v>281</v>
      </c>
      <c r="K86" s="107">
        <f>IF(ISNUMBER(J86), (J86 - $B86) / $B86, "")</f>
        <v>2.181818181818182E-2</v>
      </c>
      <c r="L86" s="108">
        <f>IF(ISNUMBER(J86), $B91 * K86, "")</f>
        <v>2181.818181818182</v>
      </c>
      <c r="M86" s="109">
        <v>279</v>
      </c>
      <c r="N86" s="107">
        <f>IF(ISNUMBER(M86), (M86 - $B86) / $B86, "")</f>
        <v>1.4545454545454545E-2</v>
      </c>
      <c r="O86" s="108">
        <f>IF(ISNUMBER(M86), $B91 * N86, "")</f>
        <v>1454.5454545454545</v>
      </c>
      <c r="Q86" s="235"/>
      <c r="R86" s="235"/>
      <c r="S86" s="235"/>
    </row>
    <row r="87" spans="1:19" ht="17.25" thickBot="1">
      <c r="A87" s="162" t="s">
        <v>88</v>
      </c>
      <c r="B87" s="126">
        <v>307</v>
      </c>
      <c r="C87" s="77">
        <v>-2.53968254E-2</v>
      </c>
      <c r="D87" s="15">
        <v>307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309</v>
      </c>
      <c r="H87" s="32">
        <f t="shared" ref="H87:H90" si="43">IF(ISNUMBER(G87), (G87 - $B87) / $B87, "")</f>
        <v>6.5146579804560263E-3</v>
      </c>
      <c r="I87" s="101">
        <f>IF(ISNUMBER(G87), $B91 * H87, "")</f>
        <v>651.46579804560258</v>
      </c>
      <c r="J87" s="15">
        <v>311</v>
      </c>
      <c r="K87" s="32">
        <f t="shared" ref="K87:K90" si="44">IF(ISNUMBER(J87), (J87 - $B87) / $B87, "")</f>
        <v>1.3029315960912053E-2</v>
      </c>
      <c r="L87" s="18">
        <f>IF(ISNUMBER(J87), $B91 * K87, "")</f>
        <v>1302.9315960912052</v>
      </c>
      <c r="M87" s="31">
        <v>310</v>
      </c>
      <c r="N87" s="32">
        <f t="shared" ref="N87:N90" si="45">IF(ISNUMBER(M87), (M87 - $B87) / $B87, "")</f>
        <v>9.7719869706840382E-3</v>
      </c>
      <c r="O87" s="18">
        <f>IF(ISNUMBER(M87), $B91 * N87, "")</f>
        <v>977.19869706840382</v>
      </c>
      <c r="Q87" s="235"/>
      <c r="R87" s="235"/>
      <c r="S87" s="235"/>
    </row>
    <row r="88" spans="1:19" ht="17.25" thickBot="1">
      <c r="A88" s="162" t="s">
        <v>230</v>
      </c>
      <c r="B88" s="126">
        <v>111</v>
      </c>
      <c r="C88" s="77">
        <v>-2.6315789499999999E-2</v>
      </c>
      <c r="D88" s="15">
        <v>112</v>
      </c>
      <c r="E88" s="32">
        <f t="shared" si="42"/>
        <v>9.0090090090090089E-3</v>
      </c>
      <c r="F88" s="18">
        <f>IF(ISNUMBER(D88), $B91 * E88, "")</f>
        <v>900.90090090090087</v>
      </c>
      <c r="G88" s="31">
        <v>114</v>
      </c>
      <c r="H88" s="32">
        <f t="shared" si="43"/>
        <v>2.7027027027027029E-2</v>
      </c>
      <c r="I88" s="101">
        <f>IF(ISNUMBER(G88), $B91 * H88, "")</f>
        <v>2702.7027027027029</v>
      </c>
      <c r="J88" s="15">
        <v>114</v>
      </c>
      <c r="K88" s="32">
        <f t="shared" si="44"/>
        <v>2.7027027027027029E-2</v>
      </c>
      <c r="L88" s="18">
        <f>IF(ISNUMBER(J88), $B91 * K88, "")</f>
        <v>2702.7027027027029</v>
      </c>
      <c r="M88" s="31">
        <v>114</v>
      </c>
      <c r="N88" s="32">
        <f t="shared" si="45"/>
        <v>2.7027027027027029E-2</v>
      </c>
      <c r="O88" s="18">
        <f>IF(ISNUMBER(M88), $B91 * N88, "")</f>
        <v>2702.7027027027029</v>
      </c>
      <c r="Q88" s="235"/>
      <c r="R88" s="235"/>
      <c r="S88" s="235"/>
    </row>
    <row r="89" spans="1:19">
      <c r="A89" s="162" t="s">
        <v>174</v>
      </c>
      <c r="B89" s="126">
        <v>184</v>
      </c>
      <c r="C89" s="77">
        <v>-2.6455026499999999E-2</v>
      </c>
      <c r="D89" s="15">
        <v>185</v>
      </c>
      <c r="E89" s="32">
        <f t="shared" si="42"/>
        <v>5.434782608695652E-3</v>
      </c>
      <c r="F89" s="18">
        <f>IF(ISNUMBER(D89), $B91 * E89, "")</f>
        <v>543.47826086956525</v>
      </c>
      <c r="G89" s="31">
        <v>187</v>
      </c>
      <c r="H89" s="32">
        <f t="shared" si="43"/>
        <v>1.6304347826086956E-2</v>
      </c>
      <c r="I89" s="101">
        <f>IF(ISNUMBER(G89), $B91 * H89, "")</f>
        <v>1630.4347826086955</v>
      </c>
      <c r="J89" s="15">
        <v>186</v>
      </c>
      <c r="K89" s="32">
        <f t="shared" si="44"/>
        <v>1.0869565217391304E-2</v>
      </c>
      <c r="L89" s="18">
        <f>IF(ISNUMBER(J89), $B91 * K89, "")</f>
        <v>1086.9565217391305</v>
      </c>
      <c r="M89" s="31">
        <v>190</v>
      </c>
      <c r="N89" s="32">
        <f t="shared" si="45"/>
        <v>3.2608695652173912E-2</v>
      </c>
      <c r="O89" s="18">
        <f>IF(ISNUMBER(M89), $B91 * N89, "")</f>
        <v>3260.869565217391</v>
      </c>
      <c r="Q89" s="224"/>
      <c r="R89" s="225"/>
      <c r="S89" s="226"/>
    </row>
    <row r="90" spans="1:19" ht="17.25" thickBot="1">
      <c r="A90" s="130" t="s">
        <v>238</v>
      </c>
      <c r="B90" s="131">
        <v>183</v>
      </c>
      <c r="C90" s="79">
        <v>-2.65957447E-2</v>
      </c>
      <c r="D90" s="24">
        <v>184</v>
      </c>
      <c r="E90" s="25">
        <f t="shared" si="42"/>
        <v>5.4644808743169399E-3</v>
      </c>
      <c r="F90" s="104">
        <f>IF(ISNUMBER(D90), $B91 * E90, "")</f>
        <v>546.44808743169403</v>
      </c>
      <c r="G90" s="102">
        <v>187</v>
      </c>
      <c r="H90" s="25">
        <f t="shared" si="43"/>
        <v>2.185792349726776E-2</v>
      </c>
      <c r="I90" s="103">
        <f>IF(ISNUMBER(G90), $B91 * H90, "")</f>
        <v>2185.7923497267761</v>
      </c>
      <c r="J90" s="24">
        <v>187</v>
      </c>
      <c r="K90" s="25">
        <f t="shared" si="44"/>
        <v>2.185792349726776E-2</v>
      </c>
      <c r="L90" s="104">
        <f>IF(ISNUMBER(J90), $B91 * K90, "")</f>
        <v>2185.7923497267761</v>
      </c>
      <c r="M90" s="102">
        <v>186</v>
      </c>
      <c r="N90" s="25">
        <f t="shared" si="45"/>
        <v>1.6393442622950821E-2</v>
      </c>
      <c r="O90" s="104">
        <f>IF(ISNUMBER(M90), $B91 * N90, "")</f>
        <v>1639.344262295082</v>
      </c>
      <c r="Q90" s="227"/>
      <c r="R90" s="228"/>
      <c r="S90" s="229"/>
    </row>
    <row r="91" spans="1:19" ht="17.25" thickBot="1">
      <c r="A91" s="132" t="s">
        <v>300</v>
      </c>
      <c r="B91" s="288">
        <f>$B$37</f>
        <v>100000</v>
      </c>
      <c r="C91" s="289"/>
      <c r="D91" s="26" t="s">
        <v>301</v>
      </c>
      <c r="E91" s="27">
        <f>IF(COUNT(E71:E90), SUM(E71:E90) / COUNT(E71:E90), 0)</f>
        <v>1.8301830622833918E-3</v>
      </c>
      <c r="F91" s="28">
        <f>SUM(F71:F90)</f>
        <v>3660.3661245667836</v>
      </c>
      <c r="G91" s="26" t="s">
        <v>301</v>
      </c>
      <c r="H91" s="27">
        <f>IF(COUNT(H71:H90), SUM(H71:H90) / COUNT(H71:H90), 0)</f>
        <v>5.6796177171303973E-3</v>
      </c>
      <c r="I91" s="28">
        <f>SUM(I71:I90)</f>
        <v>11359.235434260798</v>
      </c>
      <c r="J91" s="26" t="s">
        <v>301</v>
      </c>
      <c r="K91" s="27">
        <f>IF(COUNT(K71:K90), SUM(K71:K90) / COUNT(K71:K90), 0)</f>
        <v>8.9707291132404034E-3</v>
      </c>
      <c r="L91" s="28">
        <f>SUM(L71:L90)</f>
        <v>17941.458226480809</v>
      </c>
      <c r="M91" s="26" t="s">
        <v>301</v>
      </c>
      <c r="N91" s="27">
        <f>IF(COUNT(N71:N90), SUM(N71:N90) / COUNT(N71:N90), 0)</f>
        <v>6.4065985974526797E-3</v>
      </c>
      <c r="O91" s="28">
        <f>SUM(O71:O90)</f>
        <v>12813.197194905359</v>
      </c>
      <c r="Q91" s="230"/>
      <c r="R91" s="231"/>
      <c r="S91" s="232"/>
    </row>
    <row r="93" spans="1:19" ht="17.25" thickBot="1"/>
    <row r="94" spans="1:19" ht="17.25" thickBot="1">
      <c r="A94" s="246" t="s">
        <v>46</v>
      </c>
      <c r="B94" s="247"/>
      <c r="C94" s="247"/>
      <c r="D94" s="247"/>
      <c r="E94" s="247"/>
      <c r="F94" s="247"/>
      <c r="G94" s="247"/>
      <c r="H94" s="247"/>
      <c r="I94" s="247"/>
      <c r="J94" s="247"/>
      <c r="K94" s="247"/>
      <c r="L94" s="247"/>
      <c r="M94" s="247"/>
      <c r="N94" s="247"/>
      <c r="O94" s="248"/>
      <c r="Q94" s="245"/>
      <c r="R94" s="245"/>
      <c r="S94" s="245"/>
    </row>
    <row r="95" spans="1:19" ht="17.25" thickBot="1">
      <c r="A95" s="180" t="s">
        <v>297</v>
      </c>
      <c r="B95" s="246" t="s">
        <v>49</v>
      </c>
      <c r="C95" s="248"/>
      <c r="D95" s="246" t="s">
        <v>58</v>
      </c>
      <c r="E95" s="247"/>
      <c r="F95" s="248"/>
      <c r="G95" s="249">
        <f>_xlfn.IFNA(VLOOKUP(B95, 현재가테이블!$B$2:$D$200, 2, FALSE), "-")</f>
        <v>45335000</v>
      </c>
      <c r="H95" s="250"/>
      <c r="I95" s="251"/>
      <c r="J95" s="246" t="s">
        <v>59</v>
      </c>
      <c r="K95" s="247"/>
      <c r="L95" s="248"/>
      <c r="M95" s="252">
        <f>_xlfn.IFNA(VLOOKUP(B95, 현재가테이블!$B$2:$D$200, 3, FALSE), "-")</f>
        <v>-2.27209037E-2</v>
      </c>
      <c r="N95" s="253"/>
      <c r="O95" s="254"/>
      <c r="Q95" s="245"/>
      <c r="R95" s="245"/>
      <c r="S95" s="245"/>
    </row>
    <row r="96" spans="1:19" ht="17.25" thickBot="1">
      <c r="A96" s="290" t="s">
        <v>55</v>
      </c>
      <c r="B96" s="286" t="str">
        <f>TEXT($G$1, "[$-ko-KR]yyyy-mm-dd(ddd) ") &amp; "오전 00:00"</f>
        <v>2021-06-06(일) 오전 00:00</v>
      </c>
      <c r="C96" s="287"/>
      <c r="D96" s="259" t="str">
        <f>TEXT($G$1, "[$-ko-KR]yyyy-mm-dd(ddd) ") &amp; "오후 14:00"</f>
        <v>2021-06-06(일) 오후 14:00</v>
      </c>
      <c r="E96" s="260"/>
      <c r="F96" s="261"/>
      <c r="G96" s="259" t="str">
        <f>TEXT($G$1, "[$-ko-KR]yyyy-mm-dd(ddd) ") &amp; "오후 19:00"</f>
        <v>2021-06-06(일) 오후 19:00</v>
      </c>
      <c r="H96" s="260"/>
      <c r="I96" s="261"/>
      <c r="J96" s="259" t="str">
        <f>TEXT($G$1, "[$-ko-KR]yyyy-mm-dd(ddd) ") &amp; "오후 21:00"</f>
        <v>2021-06-06(일) 오후 21:00</v>
      </c>
      <c r="K96" s="260"/>
      <c r="L96" s="261"/>
      <c r="M96" s="259" t="str">
        <f>TEXT($G$1+1, "[$-ko-KR]yyyy-mm-dd(ddd) ") &amp; "오전 00:00"</f>
        <v>2021-06-07(월) 오전 00:00</v>
      </c>
      <c r="N96" s="260"/>
      <c r="O96" s="261"/>
      <c r="Q96" s="245"/>
      <c r="R96" s="245"/>
      <c r="S96" s="245"/>
    </row>
    <row r="97" spans="1:19" ht="17.25" thickBot="1">
      <c r="A97" s="291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81" t="s">
        <v>58</v>
      </c>
      <c r="H97" s="182" t="s">
        <v>298</v>
      </c>
      <c r="I97" s="183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5"/>
      <c r="R97" s="235"/>
      <c r="S97" s="235"/>
    </row>
    <row r="98" spans="1:19" ht="17.25" thickBot="1">
      <c r="A98" s="161" t="s">
        <v>186</v>
      </c>
      <c r="B98" s="124">
        <v>19.899999999999999</v>
      </c>
      <c r="C98" s="76">
        <v>8.1521739100000004E-2</v>
      </c>
      <c r="D98" s="13">
        <v>25.4</v>
      </c>
      <c r="E98" s="14">
        <f>IF(ISNUMBER(D98), (D98 - $B98) / $B98, "")</f>
        <v>0.27638190954773872</v>
      </c>
      <c r="F98" s="16">
        <f>IF(ISNUMBER(D98), $B118 * E98, "")</f>
        <v>27638.190954773872</v>
      </c>
      <c r="G98" s="29">
        <v>22.9</v>
      </c>
      <c r="H98" s="14">
        <f>IF(ISNUMBER(G98), (G98 - $B98) / $B98, "")</f>
        <v>0.15075376884422112</v>
      </c>
      <c r="I98" s="100">
        <f>IF(ISNUMBER(G98), $B118 * H98, "")</f>
        <v>15075.376884422112</v>
      </c>
      <c r="J98" s="13">
        <v>21.3</v>
      </c>
      <c r="K98" s="14">
        <f>IF(ISNUMBER(J98), (J98 - $B98) / $B98, "")</f>
        <v>7.035175879396996E-2</v>
      </c>
      <c r="L98" s="16">
        <f>IF(ISNUMBER(J98), $B118 * K98, "")</f>
        <v>7035.1758793969957</v>
      </c>
      <c r="M98" s="29">
        <v>21.3</v>
      </c>
      <c r="N98" s="14">
        <f>IF(ISNUMBER(M98), (M98 - $B98) / $B98, "")</f>
        <v>7.035175879396996E-2</v>
      </c>
      <c r="O98" s="16">
        <f>IF(ISNUMBER(M98), $B118 * N98, "")</f>
        <v>7035.1758793969957</v>
      </c>
      <c r="Q98" s="245"/>
      <c r="R98" s="245"/>
      <c r="S98" s="245"/>
    </row>
    <row r="99" spans="1:19" ht="17.25" thickBot="1">
      <c r="A99" s="162" t="s">
        <v>142</v>
      </c>
      <c r="B99" s="126">
        <v>525</v>
      </c>
      <c r="C99" s="77">
        <v>8.0246913599999997E-2</v>
      </c>
      <c r="D99" s="15">
        <v>521</v>
      </c>
      <c r="E99" s="32">
        <f t="shared" ref="E99:E102" si="46">IF(ISNUMBER(D99), (D99 - $B99) / $B99, "")</f>
        <v>-7.619047619047619E-3</v>
      </c>
      <c r="F99" s="18">
        <f>IF(ISNUMBER(D99), $B118 * E99, "")</f>
        <v>-761.90476190476193</v>
      </c>
      <c r="G99" s="31">
        <v>495</v>
      </c>
      <c r="H99" s="32">
        <f t="shared" ref="H99:H102" si="47">IF(ISNUMBER(G99), (G99 - $B99) / $B99, "")</f>
        <v>-5.7142857142857141E-2</v>
      </c>
      <c r="I99" s="101">
        <f>IF(ISNUMBER(G99), $B118 * H99, "")</f>
        <v>-5714.2857142857138</v>
      </c>
      <c r="J99" s="15">
        <v>496</v>
      </c>
      <c r="K99" s="32">
        <f t="shared" ref="K99:K102" si="48">IF(ISNUMBER(J99), (J99 - $B99) / $B99, "")</f>
        <v>-5.5238095238095239E-2</v>
      </c>
      <c r="L99" s="18">
        <f>IF(ISNUMBER(J99), $B118 * K99, "")</f>
        <v>-5523.8095238095239</v>
      </c>
      <c r="M99" s="31">
        <v>491</v>
      </c>
      <c r="N99" s="32">
        <f t="shared" ref="N99:N102" si="49">IF(ISNUMBER(M99), (M99 - $B99) / $B99, "")</f>
        <v>-6.4761904761904757E-2</v>
      </c>
      <c r="O99" s="18">
        <f>IF(ISNUMBER(M99), $B118 * N99, "")</f>
        <v>-6476.1904761904752</v>
      </c>
      <c r="Q99" s="245"/>
      <c r="R99" s="245"/>
      <c r="S99" s="245"/>
    </row>
    <row r="100" spans="1:19" ht="17.25" thickBot="1">
      <c r="A100" s="162" t="s">
        <v>134</v>
      </c>
      <c r="B100" s="126">
        <v>100</v>
      </c>
      <c r="C100" s="77">
        <v>6.9518716600000002E-2</v>
      </c>
      <c r="D100" s="15">
        <v>98.7</v>
      </c>
      <c r="E100" s="32">
        <f t="shared" si="46"/>
        <v>-1.2999999999999972E-2</v>
      </c>
      <c r="F100" s="18">
        <f>IF(ISNUMBER(D100), $B118 * E100, "")</f>
        <v>-1299.9999999999973</v>
      </c>
      <c r="G100" s="31">
        <v>100</v>
      </c>
      <c r="H100" s="32">
        <f t="shared" si="47"/>
        <v>0</v>
      </c>
      <c r="I100" s="101">
        <f>IF(ISNUMBER(G100), $B118 * H100, "")</f>
        <v>0</v>
      </c>
      <c r="J100" s="15">
        <v>99.7</v>
      </c>
      <c r="K100" s="32">
        <f t="shared" si="48"/>
        <v>-2.9999999999999714E-3</v>
      </c>
      <c r="L100" s="18">
        <f>IF(ISNUMBER(J100), $B118 * K100, "")</f>
        <v>-299.99999999999716</v>
      </c>
      <c r="M100" s="31">
        <v>101</v>
      </c>
      <c r="N100" s="32">
        <f t="shared" si="49"/>
        <v>0.01</v>
      </c>
      <c r="O100" s="18">
        <f>IF(ISNUMBER(M100), $B118 * N100, "")</f>
        <v>1000</v>
      </c>
      <c r="Q100" s="235"/>
      <c r="R100" s="235"/>
      <c r="S100" s="235"/>
    </row>
    <row r="101" spans="1:19" ht="17.25" thickBot="1">
      <c r="A101" s="162" t="s">
        <v>112</v>
      </c>
      <c r="B101" s="126">
        <v>202</v>
      </c>
      <c r="C101" s="77">
        <v>4.6632124400000002E-2</v>
      </c>
      <c r="D101" s="15">
        <v>203</v>
      </c>
      <c r="E101" s="32">
        <f t="shared" si="46"/>
        <v>4.9504950495049506E-3</v>
      </c>
      <c r="F101" s="18">
        <f>IF(ISNUMBER(D101), $B118 * E101, "")</f>
        <v>495.04950495049508</v>
      </c>
      <c r="G101" s="31">
        <v>194</v>
      </c>
      <c r="H101" s="32">
        <f t="shared" si="47"/>
        <v>-3.9603960396039604E-2</v>
      </c>
      <c r="I101" s="101">
        <f>IF(ISNUMBER(G101), $B118 * H101, "")</f>
        <v>-3960.3960396039606</v>
      </c>
      <c r="J101" s="15">
        <v>192</v>
      </c>
      <c r="K101" s="32">
        <f t="shared" si="48"/>
        <v>-4.9504950495049507E-2</v>
      </c>
      <c r="L101" s="18">
        <f>IF(ISNUMBER(J101), $B118 * K101, "")</f>
        <v>-4950.4950495049507</v>
      </c>
      <c r="M101" s="31">
        <v>191</v>
      </c>
      <c r="N101" s="32">
        <f t="shared" si="49"/>
        <v>-5.4455445544554455E-2</v>
      </c>
      <c r="O101" s="18">
        <f>IF(ISNUMBER(M101), $B118 * N101, "")</f>
        <v>-5445.5445544554459</v>
      </c>
      <c r="Q101" s="235"/>
      <c r="R101" s="235"/>
      <c r="S101" s="235"/>
    </row>
    <row r="102" spans="1:19" ht="17.25" thickBot="1">
      <c r="A102" s="163" t="s">
        <v>114</v>
      </c>
      <c r="B102" s="128">
        <v>10760</v>
      </c>
      <c r="C102" s="78">
        <v>4.4660194200000003E-2</v>
      </c>
      <c r="D102" s="20">
        <v>10640</v>
      </c>
      <c r="E102" s="21">
        <f t="shared" si="46"/>
        <v>-1.1152416356877323E-2</v>
      </c>
      <c r="F102" s="22">
        <f>IF(ISNUMBER(D102), $B118 * E102, "")</f>
        <v>-1115.2416356877322</v>
      </c>
      <c r="G102" s="30">
        <v>10400</v>
      </c>
      <c r="H102" s="21">
        <f t="shared" si="47"/>
        <v>-3.3457249070631967E-2</v>
      </c>
      <c r="I102" s="105">
        <f>IF(ISNUMBER(G102), $B118 * H102, "")</f>
        <v>-3345.7249070631965</v>
      </c>
      <c r="J102" s="20">
        <v>10280</v>
      </c>
      <c r="K102" s="21">
        <f t="shared" si="48"/>
        <v>-4.4609665427509292E-2</v>
      </c>
      <c r="L102" s="22">
        <f>IF(ISNUMBER(J102), $B118 * K102, "")</f>
        <v>-4460.966542750929</v>
      </c>
      <c r="M102" s="30">
        <v>10410</v>
      </c>
      <c r="N102" s="21">
        <f t="shared" si="49"/>
        <v>-3.2527881040892194E-2</v>
      </c>
      <c r="O102" s="22">
        <f>IF(ISNUMBER(M102), $B118 * N102, "")</f>
        <v>-3252.7881040892194</v>
      </c>
      <c r="Q102" s="235"/>
      <c r="R102" s="235"/>
      <c r="S102" s="235"/>
    </row>
    <row r="103" spans="1:19" ht="17.25" thickBot="1">
      <c r="A103" s="162" t="s">
        <v>118</v>
      </c>
      <c r="B103" s="129">
        <v>5610</v>
      </c>
      <c r="C103" s="80">
        <v>3.6011080299999998E-2</v>
      </c>
      <c r="D103" s="106">
        <v>5520</v>
      </c>
      <c r="E103" s="107">
        <f>IF(ISNUMBER(D103), (D103 - $B103) / $B103, "")</f>
        <v>-1.6042780748663103E-2</v>
      </c>
      <c r="F103" s="108">
        <f>IF(ISNUMBER(D103), $B118 * E103, "")</f>
        <v>-1604.2780748663104</v>
      </c>
      <c r="G103" s="109">
        <v>5405</v>
      </c>
      <c r="H103" s="107">
        <f>IF(ISNUMBER(G103), (G103 - $B103) / $B103, "")</f>
        <v>-3.6541889483065956E-2</v>
      </c>
      <c r="I103" s="110">
        <f>IF(ISNUMBER(G103), $B118 * H103, "")</f>
        <v>-3654.1889483065956</v>
      </c>
      <c r="J103" s="106">
        <v>5340</v>
      </c>
      <c r="K103" s="107">
        <f>IF(ISNUMBER(J103), (J103 - $B103) / $B103, "")</f>
        <v>-4.8128342245989303E-2</v>
      </c>
      <c r="L103" s="108">
        <f>IF(ISNUMBER(J103), $B118 * K103, "")</f>
        <v>-4812.8342245989306</v>
      </c>
      <c r="M103" s="109">
        <v>5390</v>
      </c>
      <c r="N103" s="107">
        <f>IF(ISNUMBER(M103), (M103 - $B103) / $B103, "")</f>
        <v>-3.9215686274509803E-2</v>
      </c>
      <c r="O103" s="108">
        <f>IF(ISNUMBER(M103), $B118 * N103, "")</f>
        <v>-3921.5686274509803</v>
      </c>
      <c r="Q103" s="235"/>
      <c r="R103" s="235"/>
      <c r="S103" s="235"/>
    </row>
    <row r="104" spans="1:19" ht="17.25" thickBot="1">
      <c r="A104" s="162" t="s">
        <v>164</v>
      </c>
      <c r="B104" s="126">
        <v>16650</v>
      </c>
      <c r="C104" s="77">
        <v>3.0321782200000001E-2</v>
      </c>
      <c r="D104" s="15">
        <v>16980</v>
      </c>
      <c r="E104" s="32">
        <f t="shared" ref="E104:E107" si="50">IF(ISNUMBER(D104), (D104 - $B104) / $B104, "")</f>
        <v>1.9819819819819819E-2</v>
      </c>
      <c r="F104" s="18">
        <f>IF(ISNUMBER(D104), $B118 * E104, "")</f>
        <v>1981.9819819819818</v>
      </c>
      <c r="G104" s="31">
        <v>18420</v>
      </c>
      <c r="H104" s="32">
        <f t="shared" ref="H104:H107" si="51">IF(ISNUMBER(G104), (G104 - $B104) / $B104, "")</f>
        <v>0.1063063063063063</v>
      </c>
      <c r="I104" s="101">
        <f>IF(ISNUMBER(G104), $B118 * H104, "")</f>
        <v>10630.630630630631</v>
      </c>
      <c r="J104" s="15">
        <v>18200</v>
      </c>
      <c r="K104" s="32">
        <f t="shared" ref="K104:K107" si="52">IF(ISNUMBER(J104), (J104 - $B104) / $B104, "")</f>
        <v>9.3093093093093091E-2</v>
      </c>
      <c r="L104" s="18">
        <f>IF(ISNUMBER(J104), $B118 * K104, "")</f>
        <v>9309.3093093093084</v>
      </c>
      <c r="M104" s="31">
        <v>18940</v>
      </c>
      <c r="N104" s="32">
        <f t="shared" ref="N104:N107" si="53">IF(ISNUMBER(M104), (M104 - $B104) / $B104, "")</f>
        <v>0.13753753753753753</v>
      </c>
      <c r="O104" s="18">
        <f>IF(ISNUMBER(M104), $B118 * N104, "")</f>
        <v>13753.753753753754</v>
      </c>
      <c r="Q104" s="235"/>
      <c r="R104" s="235"/>
      <c r="S104" s="235"/>
    </row>
    <row r="105" spans="1:19" ht="17.25" thickBot="1">
      <c r="A105" s="162" t="s">
        <v>152</v>
      </c>
      <c r="B105" s="126">
        <v>22</v>
      </c>
      <c r="C105" s="77">
        <v>2.3255814E-2</v>
      </c>
      <c r="D105" s="15">
        <v>21.3</v>
      </c>
      <c r="E105" s="32">
        <f t="shared" si="50"/>
        <v>-3.1818181818181787E-2</v>
      </c>
      <c r="F105" s="18">
        <f>IF(ISNUMBER(D105), $B118 * E105, "")</f>
        <v>-3181.8181818181788</v>
      </c>
      <c r="G105" s="31">
        <v>21.9</v>
      </c>
      <c r="H105" s="32">
        <f t="shared" si="51"/>
        <v>-4.5454545454546103E-3</v>
      </c>
      <c r="I105" s="101">
        <f>IF(ISNUMBER(G105), $B118 * H105, "")</f>
        <v>-454.54545454546104</v>
      </c>
      <c r="J105" s="15">
        <v>21.8</v>
      </c>
      <c r="K105" s="32">
        <f t="shared" si="52"/>
        <v>-9.0909090909090592E-3</v>
      </c>
      <c r="L105" s="18">
        <f>IF(ISNUMBER(J105), $B118 * K105, "")</f>
        <v>-909.09090909090594</v>
      </c>
      <c r="M105" s="31">
        <v>21.8</v>
      </c>
      <c r="N105" s="32">
        <f t="shared" si="53"/>
        <v>-9.0909090909090592E-3</v>
      </c>
      <c r="O105" s="18">
        <f>IF(ISNUMBER(M105), $B118 * N105, "")</f>
        <v>-909.09090909090594</v>
      </c>
      <c r="Q105" s="235"/>
      <c r="R105" s="235"/>
      <c r="S105" s="235"/>
    </row>
    <row r="106" spans="1:19" ht="17.25" thickBot="1">
      <c r="A106" s="162" t="s">
        <v>172</v>
      </c>
      <c r="B106" s="126">
        <v>15.2</v>
      </c>
      <c r="C106" s="77">
        <v>1.33333333E-2</v>
      </c>
      <c r="D106" s="15">
        <v>15.2</v>
      </c>
      <c r="E106" s="32">
        <f t="shared" si="50"/>
        <v>0</v>
      </c>
      <c r="F106" s="18">
        <f>IF(ISNUMBER(D106), $B118 * E106, "")</f>
        <v>0</v>
      </c>
      <c r="G106" s="31">
        <v>15.5</v>
      </c>
      <c r="H106" s="32">
        <f t="shared" si="51"/>
        <v>1.9736842105263205E-2</v>
      </c>
      <c r="I106" s="101">
        <f>IF(ISNUMBER(G106), $B118 * H106, "")</f>
        <v>1973.6842105263206</v>
      </c>
      <c r="J106" s="15">
        <v>15.5</v>
      </c>
      <c r="K106" s="32">
        <f t="shared" si="52"/>
        <v>1.9736842105263205E-2</v>
      </c>
      <c r="L106" s="18">
        <f>IF(ISNUMBER(J106), $B118 * K106, "")</f>
        <v>1973.6842105263206</v>
      </c>
      <c r="M106" s="31">
        <v>15.3</v>
      </c>
      <c r="N106" s="32">
        <f t="shared" si="53"/>
        <v>6.5789473684211468E-3</v>
      </c>
      <c r="O106" s="18">
        <f>IF(ISNUMBER(M106), $B118 * N106, "")</f>
        <v>657.89473684211464</v>
      </c>
      <c r="Q106" s="33"/>
      <c r="R106" s="33"/>
    </row>
    <row r="107" spans="1:19" ht="17.25" thickBot="1">
      <c r="A107" s="130" t="s">
        <v>74</v>
      </c>
      <c r="B107" s="131">
        <v>17790</v>
      </c>
      <c r="C107" s="79">
        <v>1.1945392500000001E-2</v>
      </c>
      <c r="D107" s="24">
        <v>17310</v>
      </c>
      <c r="E107" s="25">
        <f t="shared" si="50"/>
        <v>-2.6981450252951095E-2</v>
      </c>
      <c r="F107" s="104">
        <f>IF(ISNUMBER(D107), $B118 * E107, "")</f>
        <v>-2698.1450252951095</v>
      </c>
      <c r="G107" s="102">
        <v>17510</v>
      </c>
      <c r="H107" s="25">
        <f t="shared" si="51"/>
        <v>-1.5739179314221474E-2</v>
      </c>
      <c r="I107" s="103">
        <f>IF(ISNUMBER(G107), $B118 * H107, "")</f>
        <v>-1573.9179314221474</v>
      </c>
      <c r="J107" s="24">
        <v>17250</v>
      </c>
      <c r="K107" s="25">
        <f t="shared" si="52"/>
        <v>-3.0354131534569982E-2</v>
      </c>
      <c r="L107" s="104">
        <f>IF(ISNUMBER(J107), $B118 * K107, "")</f>
        <v>-3035.4131534569983</v>
      </c>
      <c r="M107" s="102">
        <v>17270</v>
      </c>
      <c r="N107" s="25">
        <f t="shared" si="53"/>
        <v>-2.9229904440697022E-2</v>
      </c>
      <c r="O107" s="104">
        <f>IF(ISNUMBER(M107), $B118 * N107, "")</f>
        <v>-2922.9904440697023</v>
      </c>
      <c r="Q107" s="236"/>
      <c r="R107" s="237"/>
      <c r="S107" s="238"/>
    </row>
    <row r="108" spans="1:19">
      <c r="A108" s="161" t="s">
        <v>61</v>
      </c>
      <c r="B108" s="124">
        <v>958</v>
      </c>
      <c r="C108" s="76">
        <v>8.4210525999999994E-3</v>
      </c>
      <c r="D108" s="13">
        <v>952</v>
      </c>
      <c r="E108" s="14">
        <f>IF(ISNUMBER(D108), (D108 - $B108) / $B108, "")</f>
        <v>-6.2630480167014616E-3</v>
      </c>
      <c r="F108" s="16">
        <f>IF(ISNUMBER(D108), $B118 * E108, "")</f>
        <v>-626.30480167014616</v>
      </c>
      <c r="G108" s="29">
        <v>952</v>
      </c>
      <c r="H108" s="14">
        <f>IF(ISNUMBER(G108), (G108 - $B108) / $B108, "")</f>
        <v>-6.2630480167014616E-3</v>
      </c>
      <c r="I108" s="100">
        <f>IF(ISNUMBER(G108), $B118 * H108, "")</f>
        <v>-626.30480167014616</v>
      </c>
      <c r="J108" s="13">
        <v>953</v>
      </c>
      <c r="K108" s="14">
        <f>IF(ISNUMBER(J108), (J108 - $B108) / $B108, "")</f>
        <v>-5.2192066805845511E-3</v>
      </c>
      <c r="L108" s="16">
        <f>IF(ISNUMBER(J108), $B118 * K108, "")</f>
        <v>-521.92066805845513</v>
      </c>
      <c r="M108" s="29">
        <v>954</v>
      </c>
      <c r="N108" s="14">
        <f>IF(ISNUMBER(M108), (M108 - $B108) / $B108, "")</f>
        <v>-4.1753653444676405E-3</v>
      </c>
      <c r="O108" s="16">
        <f>IF(ISNUMBER(M108), $B118 * N108, "")</f>
        <v>-417.53653444676405</v>
      </c>
      <c r="Q108" s="239"/>
      <c r="R108" s="240"/>
      <c r="S108" s="241"/>
    </row>
    <row r="109" spans="1:19" ht="17.25" thickBot="1">
      <c r="A109" s="162" t="s">
        <v>296</v>
      </c>
      <c r="B109" s="126">
        <v>440</v>
      </c>
      <c r="C109" s="77">
        <v>6.8649886E-3</v>
      </c>
      <c r="D109" s="15">
        <v>435</v>
      </c>
      <c r="E109" s="32">
        <f t="shared" ref="E109:E112" si="54">IF(ISNUMBER(D109), (D109 - $B109) / $B109, "")</f>
        <v>-1.1363636363636364E-2</v>
      </c>
      <c r="F109" s="18">
        <f>IF(ISNUMBER(D109), $B118 * E109, "")</f>
        <v>-1136.3636363636365</v>
      </c>
      <c r="G109" s="31">
        <v>429</v>
      </c>
      <c r="H109" s="32">
        <f t="shared" ref="H109:H112" si="55">IF(ISNUMBER(G109), (G109 - $B109) / $B109, "")</f>
        <v>-2.5000000000000001E-2</v>
      </c>
      <c r="I109" s="101">
        <f>IF(ISNUMBER(G109), $B118 * H109, "")</f>
        <v>-2500</v>
      </c>
      <c r="J109" s="15">
        <v>430</v>
      </c>
      <c r="K109" s="32">
        <f t="shared" ref="K109:K112" si="56">IF(ISNUMBER(J109), (J109 - $B109) / $B109, "")</f>
        <v>-2.2727272727272728E-2</v>
      </c>
      <c r="L109" s="18">
        <f>IF(ISNUMBER(J109), $B118 * K109, "")</f>
        <v>-2272.727272727273</v>
      </c>
      <c r="M109" s="31">
        <v>433</v>
      </c>
      <c r="N109" s="32">
        <f t="shared" ref="N109:N112" si="57">IF(ISNUMBER(M109), (M109 - $B109) / $B109, "")</f>
        <v>-1.5909090909090907E-2</v>
      </c>
      <c r="O109" s="18">
        <f>IF(ISNUMBER(M109), $B118 * N109, "")</f>
        <v>-1590.9090909090908</v>
      </c>
      <c r="Q109" s="242"/>
      <c r="R109" s="243"/>
      <c r="S109" s="244"/>
    </row>
    <row r="110" spans="1:19" ht="17.25" thickBot="1">
      <c r="A110" s="162" t="s">
        <v>63</v>
      </c>
      <c r="B110" s="126">
        <v>65990</v>
      </c>
      <c r="C110" s="77">
        <v>6.4053683000000004E-3</v>
      </c>
      <c r="D110" s="15">
        <v>65400</v>
      </c>
      <c r="E110" s="32">
        <f t="shared" si="54"/>
        <v>-8.9407485982724664E-3</v>
      </c>
      <c r="F110" s="18">
        <f>IF(ISNUMBER(D110), $B118 * E110, "")</f>
        <v>-894.07485982724666</v>
      </c>
      <c r="G110" s="31">
        <v>65300</v>
      </c>
      <c r="H110" s="32">
        <f t="shared" si="55"/>
        <v>-1.0456129716623731E-2</v>
      </c>
      <c r="I110" s="101">
        <f>IF(ISNUMBER(G110), $B118 * H110, "")</f>
        <v>-1045.612971662373</v>
      </c>
      <c r="J110" s="15">
        <v>65620</v>
      </c>
      <c r="K110" s="32">
        <f t="shared" si="56"/>
        <v>-5.6069101378996818E-3</v>
      </c>
      <c r="L110" s="18">
        <f>IF(ISNUMBER(J110), $B118 * K110, "")</f>
        <v>-560.69101378996822</v>
      </c>
      <c r="M110" s="31">
        <v>65740</v>
      </c>
      <c r="N110" s="32">
        <f t="shared" si="57"/>
        <v>-3.7884527958781632E-3</v>
      </c>
      <c r="O110" s="18">
        <f>IF(ISNUMBER(M110), $B118 * N110, "")</f>
        <v>-378.84527958781632</v>
      </c>
      <c r="Q110" s="235"/>
      <c r="R110" s="235"/>
      <c r="S110" s="235"/>
    </row>
    <row r="111" spans="1:19" ht="17.25" thickBot="1">
      <c r="A111" s="162" t="s">
        <v>80</v>
      </c>
      <c r="B111" s="126">
        <v>887</v>
      </c>
      <c r="C111" s="77">
        <v>3.3936652000000002E-3</v>
      </c>
      <c r="D111" s="15">
        <v>882</v>
      </c>
      <c r="E111" s="32">
        <f t="shared" si="54"/>
        <v>-5.6369785794813977E-3</v>
      </c>
      <c r="F111" s="18">
        <f>IF(ISNUMBER(D111), $B118 * E111, "")</f>
        <v>-563.69785794813981</v>
      </c>
      <c r="G111" s="31">
        <v>883</v>
      </c>
      <c r="H111" s="32">
        <f t="shared" si="55"/>
        <v>-4.5095828635851182E-3</v>
      </c>
      <c r="I111" s="101">
        <f>IF(ISNUMBER(G111), $B118 * H111, "")</f>
        <v>-450.95828635851183</v>
      </c>
      <c r="J111" s="15">
        <v>884</v>
      </c>
      <c r="K111" s="32">
        <f t="shared" si="56"/>
        <v>-3.3821871476888386E-3</v>
      </c>
      <c r="L111" s="18">
        <f>IF(ISNUMBER(J111), $B118 * K111, "")</f>
        <v>-338.21871476888384</v>
      </c>
      <c r="M111" s="31">
        <v>883</v>
      </c>
      <c r="N111" s="32">
        <f t="shared" si="57"/>
        <v>-4.5095828635851182E-3</v>
      </c>
      <c r="O111" s="18">
        <f>IF(ISNUMBER(M111), $B118 * N111, "")</f>
        <v>-450.95828635851183</v>
      </c>
      <c r="Q111" s="245"/>
      <c r="R111" s="245"/>
      <c r="S111" s="245"/>
    </row>
    <row r="112" spans="1:19" ht="17.25" thickBot="1">
      <c r="A112" s="163" t="s">
        <v>274</v>
      </c>
      <c r="B112" s="128">
        <v>9130</v>
      </c>
      <c r="C112" s="78">
        <v>2.7457441000000001E-3</v>
      </c>
      <c r="D112" s="20">
        <v>9170</v>
      </c>
      <c r="E112" s="21">
        <f t="shared" si="54"/>
        <v>4.3811610076670317E-3</v>
      </c>
      <c r="F112" s="22">
        <f>IF(ISNUMBER(D112), $B118 * E112, "")</f>
        <v>438.11610076670314</v>
      </c>
      <c r="G112" s="30">
        <v>9465</v>
      </c>
      <c r="H112" s="21">
        <f t="shared" si="55"/>
        <v>3.6692223439211392E-2</v>
      </c>
      <c r="I112" s="105">
        <f>IF(ISNUMBER(G112), $B118 * H112, "")</f>
        <v>3669.2223439211393</v>
      </c>
      <c r="J112" s="20">
        <v>9420</v>
      </c>
      <c r="K112" s="21">
        <f t="shared" si="56"/>
        <v>3.1763417305585982E-2</v>
      </c>
      <c r="L112" s="22">
        <f>IF(ISNUMBER(J112), $B118 * K112, "")</f>
        <v>3176.3417305585981</v>
      </c>
      <c r="M112" s="30">
        <v>9295</v>
      </c>
      <c r="N112" s="21">
        <f t="shared" si="57"/>
        <v>1.8072289156626505E-2</v>
      </c>
      <c r="O112" s="22">
        <f>IF(ISNUMBER(M112), $B118 * N112, "")</f>
        <v>1807.2289156626505</v>
      </c>
      <c r="Q112" s="245"/>
      <c r="R112" s="245"/>
      <c r="S112" s="245"/>
    </row>
    <row r="113" spans="1:19" ht="17.25" thickBot="1">
      <c r="A113" s="162" t="s">
        <v>178</v>
      </c>
      <c r="B113" s="129">
        <v>27900</v>
      </c>
      <c r="C113" s="80">
        <v>1.7953321E-3</v>
      </c>
      <c r="D113" s="106">
        <v>27840</v>
      </c>
      <c r="E113" s="107">
        <f>IF(ISNUMBER(D113), (D113 - $B113) / $B113, "")</f>
        <v>-2.1505376344086021E-3</v>
      </c>
      <c r="F113" s="108">
        <f>IF(ISNUMBER(D113), $B118 * E113, "")</f>
        <v>-215.05376344086022</v>
      </c>
      <c r="G113" s="109">
        <v>28450</v>
      </c>
      <c r="H113" s="107">
        <f>IF(ISNUMBER(G113), (G113 - $B113) / $B113, "")</f>
        <v>1.9713261648745518E-2</v>
      </c>
      <c r="I113" s="110">
        <f>IF(ISNUMBER(G113), $B118 * H113, "")</f>
        <v>1971.3261648745518</v>
      </c>
      <c r="J113" s="106">
        <v>28250</v>
      </c>
      <c r="K113" s="107">
        <f>IF(ISNUMBER(J113), (J113 - $B113) / $B113, "")</f>
        <v>1.2544802867383513E-2</v>
      </c>
      <c r="L113" s="108">
        <f>IF(ISNUMBER(J113), $B118 * K113, "")</f>
        <v>1254.4802867383512</v>
      </c>
      <c r="M113" s="109">
        <v>28260</v>
      </c>
      <c r="N113" s="107">
        <f>IF(ISNUMBER(M113), (M113 - $B113) / $B113, "")</f>
        <v>1.2903225806451613E-2</v>
      </c>
      <c r="O113" s="108">
        <f>IF(ISNUMBER(M113), $B118 * N113, "")</f>
        <v>1290.3225806451612</v>
      </c>
      <c r="Q113" s="235"/>
      <c r="R113" s="235"/>
      <c r="S113" s="235"/>
    </row>
    <row r="114" spans="1:19" ht="17.25" thickBot="1">
      <c r="A114" s="162" t="s">
        <v>232</v>
      </c>
      <c r="B114" s="126">
        <v>115</v>
      </c>
      <c r="C114" s="77">
        <v>0</v>
      </c>
      <c r="D114" s="15">
        <v>121</v>
      </c>
      <c r="E114" s="32">
        <f t="shared" ref="E114:E117" si="58">IF(ISNUMBER(D114), (D114 - $B114) / $B114, "")</f>
        <v>5.2173913043478258E-2</v>
      </c>
      <c r="F114" s="18">
        <f>IF(ISNUMBER(D114), $B118 * E114, "")</f>
        <v>5217.391304347826</v>
      </c>
      <c r="G114" s="31">
        <v>120</v>
      </c>
      <c r="H114" s="32">
        <f t="shared" ref="H114:H117" si="59">IF(ISNUMBER(G114), (G114 - $B114) / $B114, "")</f>
        <v>4.3478260869565216E-2</v>
      </c>
      <c r="I114" s="101">
        <f>IF(ISNUMBER(G114), $B118 * H114, "")</f>
        <v>4347.826086956522</v>
      </c>
      <c r="J114" s="15">
        <v>122</v>
      </c>
      <c r="K114" s="32">
        <f t="shared" ref="K114:K117" si="60">IF(ISNUMBER(J114), (J114 - $B114) / $B114, "")</f>
        <v>6.0869565217391307E-2</v>
      </c>
      <c r="L114" s="18">
        <f>IF(ISNUMBER(J114), $B118 * K114, "")</f>
        <v>6086.9565217391309</v>
      </c>
      <c r="M114" s="31">
        <v>120</v>
      </c>
      <c r="N114" s="32">
        <f t="shared" ref="N114:N117" si="61">IF(ISNUMBER(M114), (M114 - $B114) / $B114, "")</f>
        <v>4.3478260869565216E-2</v>
      </c>
      <c r="O114" s="18">
        <f>IF(ISNUMBER(M114), $B118 * N114, "")</f>
        <v>4347.826086956522</v>
      </c>
      <c r="Q114" s="235"/>
      <c r="R114" s="235"/>
      <c r="S114" s="235"/>
    </row>
    <row r="115" spans="1:19" ht="17.25" thickBot="1">
      <c r="A115" s="162" t="s">
        <v>132</v>
      </c>
      <c r="B115" s="126">
        <v>155</v>
      </c>
      <c r="C115" s="77">
        <v>0</v>
      </c>
      <c r="D115" s="15">
        <v>153</v>
      </c>
      <c r="E115" s="32">
        <f t="shared" si="58"/>
        <v>-1.2903225806451613E-2</v>
      </c>
      <c r="F115" s="18">
        <f>IF(ISNUMBER(D115), $B118 * E115, "")</f>
        <v>-1290.3225806451612</v>
      </c>
      <c r="G115" s="31">
        <v>153</v>
      </c>
      <c r="H115" s="32">
        <f t="shared" si="59"/>
        <v>-1.2903225806451613E-2</v>
      </c>
      <c r="I115" s="101">
        <f>IF(ISNUMBER(G115), $B118 * H115, "")</f>
        <v>-1290.3225806451612</v>
      </c>
      <c r="J115" s="15">
        <v>152</v>
      </c>
      <c r="K115" s="32">
        <f t="shared" si="60"/>
        <v>-1.935483870967742E-2</v>
      </c>
      <c r="L115" s="18">
        <f>IF(ISNUMBER(J115), $B118 * K115, "")</f>
        <v>-1935.483870967742</v>
      </c>
      <c r="M115" s="31">
        <v>154</v>
      </c>
      <c r="N115" s="32">
        <f t="shared" si="61"/>
        <v>-6.4516129032258064E-3</v>
      </c>
      <c r="O115" s="18">
        <f>IF(ISNUMBER(M115), $B118 * N115, "")</f>
        <v>-645.16129032258061</v>
      </c>
      <c r="Q115" s="235"/>
      <c r="R115" s="235"/>
      <c r="S115" s="235"/>
    </row>
    <row r="116" spans="1:19">
      <c r="A116" s="162" t="s">
        <v>51</v>
      </c>
      <c r="B116" s="126">
        <v>445</v>
      </c>
      <c r="C116" s="77">
        <v>-8.9086860000000007E-3</v>
      </c>
      <c r="D116" s="15">
        <v>446</v>
      </c>
      <c r="E116" s="32">
        <f t="shared" si="58"/>
        <v>2.2471910112359553E-3</v>
      </c>
      <c r="F116" s="18">
        <f>IF(ISNUMBER(D116), $B118 * E116, "")</f>
        <v>224.71910112359552</v>
      </c>
      <c r="G116" s="31">
        <v>445</v>
      </c>
      <c r="H116" s="32">
        <f t="shared" si="59"/>
        <v>0</v>
      </c>
      <c r="I116" s="101">
        <f>IF(ISNUMBER(G116), $B118 * H116, "")</f>
        <v>0</v>
      </c>
      <c r="J116" s="15">
        <v>442</v>
      </c>
      <c r="K116" s="32">
        <f t="shared" si="60"/>
        <v>-6.7415730337078653E-3</v>
      </c>
      <c r="L116" s="18">
        <f>IF(ISNUMBER(J116), $B118 * K116, "")</f>
        <v>-674.15730337078651</v>
      </c>
      <c r="M116" s="31">
        <v>443</v>
      </c>
      <c r="N116" s="32">
        <f t="shared" si="61"/>
        <v>-4.4943820224719105E-3</v>
      </c>
      <c r="O116" s="18">
        <f>IF(ISNUMBER(M116), $B118 * N116, "")</f>
        <v>-449.43820224719104</v>
      </c>
      <c r="Q116" s="224"/>
      <c r="R116" s="225"/>
      <c r="S116" s="226"/>
    </row>
    <row r="117" spans="1:19" ht="17.25" thickBot="1">
      <c r="A117" s="130" t="s">
        <v>106</v>
      </c>
      <c r="B117" s="131">
        <v>1230</v>
      </c>
      <c r="C117" s="79">
        <v>-1.20481928E-2</v>
      </c>
      <c r="D117" s="24">
        <v>1210</v>
      </c>
      <c r="E117" s="25">
        <f t="shared" si="58"/>
        <v>-1.6260162601626018E-2</v>
      </c>
      <c r="F117" s="104">
        <f>IF(ISNUMBER(D117), $B118 * E117, "")</f>
        <v>-1626.0162601626018</v>
      </c>
      <c r="G117" s="102">
        <v>1245</v>
      </c>
      <c r="H117" s="25">
        <f t="shared" si="59"/>
        <v>1.2195121951219513E-2</v>
      </c>
      <c r="I117" s="103">
        <f>IF(ISNUMBER(G117), $B118 * H117, "")</f>
        <v>1219.5121951219512</v>
      </c>
      <c r="J117" s="24">
        <v>1240</v>
      </c>
      <c r="K117" s="25">
        <f t="shared" si="60"/>
        <v>8.130081300813009E-3</v>
      </c>
      <c r="L117" s="104">
        <f>IF(ISNUMBER(J117), $B118 * K117, "")</f>
        <v>813.00813008130092</v>
      </c>
      <c r="M117" s="102">
        <v>1245</v>
      </c>
      <c r="N117" s="25">
        <f t="shared" si="61"/>
        <v>1.2195121951219513E-2</v>
      </c>
      <c r="O117" s="104">
        <f>IF(ISNUMBER(M117), $B118 * N117, "")</f>
        <v>1219.5121951219512</v>
      </c>
      <c r="Q117" s="227"/>
      <c r="R117" s="228"/>
      <c r="S117" s="229"/>
    </row>
    <row r="118" spans="1:19" ht="17.25" thickBot="1">
      <c r="A118" s="132" t="s">
        <v>300</v>
      </c>
      <c r="B118" s="288">
        <f>$B$37</f>
        <v>100000</v>
      </c>
      <c r="C118" s="289"/>
      <c r="D118" s="26" t="s">
        <v>301</v>
      </c>
      <c r="E118" s="27">
        <f>IF(COUNT(E98:E117), SUM(E98:E117) / COUNT(E98:E117), 0)</f>
        <v>9.4911137541572963E-3</v>
      </c>
      <c r="F118" s="28">
        <f>SUM(F98:F117)</f>
        <v>18982.227508314583</v>
      </c>
      <c r="G118" s="26" t="s">
        <v>301</v>
      </c>
      <c r="H118" s="27">
        <f>IF(COUNT(H98:H117), SUM(H98:H117) / COUNT(H98:H117), 0)</f>
        <v>7.1356604404449794E-3</v>
      </c>
      <c r="I118" s="28">
        <f>SUM(I98:I117)</f>
        <v>14271.32088088996</v>
      </c>
      <c r="J118" s="26" t="s">
        <v>301</v>
      </c>
      <c r="K118" s="27">
        <f>IF(COUNT(K98:K117), SUM(K98:K117) / COUNT(K98:K117), 0)</f>
        <v>-3.234260892726692E-4</v>
      </c>
      <c r="L118" s="28">
        <f>SUM(L98:L117)</f>
        <v>-646.85217854533983</v>
      </c>
      <c r="M118" s="26" t="s">
        <v>301</v>
      </c>
      <c r="N118" s="27">
        <f>IF(COUNT(N98:N117), SUM(N98:N117) / COUNT(N98:N117), 0)</f>
        <v>2.1253461745802324E-3</v>
      </c>
      <c r="O118" s="28">
        <f>SUM(O98:O117)</f>
        <v>4250.692349160463</v>
      </c>
      <c r="Q118" s="230"/>
      <c r="R118" s="231"/>
      <c r="S118" s="232"/>
    </row>
    <row r="120" spans="1:19" ht="17.25" thickBot="1"/>
    <row r="121" spans="1:19" ht="17.25" thickBot="1">
      <c r="A121" s="246" t="s">
        <v>288</v>
      </c>
      <c r="B121" s="247"/>
      <c r="C121" s="247"/>
      <c r="D121" s="247"/>
      <c r="E121" s="247"/>
      <c r="F121" s="247"/>
      <c r="G121" s="247"/>
      <c r="H121" s="247"/>
      <c r="I121" s="247"/>
      <c r="J121" s="247"/>
      <c r="K121" s="247"/>
      <c r="L121" s="247"/>
      <c r="M121" s="247"/>
      <c r="N121" s="247"/>
      <c r="O121" s="248"/>
      <c r="Q121" s="245"/>
      <c r="R121" s="245"/>
      <c r="S121" s="245"/>
    </row>
    <row r="122" spans="1:19" ht="17.25" thickBot="1">
      <c r="A122" s="180" t="s">
        <v>297</v>
      </c>
      <c r="B122" s="246" t="s">
        <v>49</v>
      </c>
      <c r="C122" s="248"/>
      <c r="D122" s="246" t="s">
        <v>58</v>
      </c>
      <c r="E122" s="247"/>
      <c r="F122" s="248"/>
      <c r="G122" s="249">
        <f>_xlfn.IFNA(VLOOKUP(B122, 현재가테이블!$B$2:$D$200, 2, FALSE), "-")</f>
        <v>45335000</v>
      </c>
      <c r="H122" s="250"/>
      <c r="I122" s="251"/>
      <c r="J122" s="246" t="s">
        <v>59</v>
      </c>
      <c r="K122" s="247"/>
      <c r="L122" s="248"/>
      <c r="M122" s="252">
        <f>_xlfn.IFNA(VLOOKUP(B122, 현재가테이블!$B$2:$D$200, 3, FALSE), "-")</f>
        <v>-2.27209037E-2</v>
      </c>
      <c r="N122" s="253"/>
      <c r="O122" s="254"/>
      <c r="Q122" s="245"/>
      <c r="R122" s="245"/>
      <c r="S122" s="245"/>
    </row>
    <row r="123" spans="1:19" ht="17.25" thickBot="1">
      <c r="A123" s="290" t="s">
        <v>55</v>
      </c>
      <c r="B123" s="286" t="str">
        <f>TEXT($G$1, "[$-ko-KR]yyyy-mm-dd(ddd) ") &amp; "오전 00:00"</f>
        <v>2021-06-06(일) 오전 00:00</v>
      </c>
      <c r="C123" s="287"/>
      <c r="D123" s="259" t="str">
        <f>TEXT($G$1, "[$-ko-KR]yyyy-mm-dd(ddd) ") &amp; "오후 14:00"</f>
        <v>2021-06-06(일) 오후 14:00</v>
      </c>
      <c r="E123" s="260"/>
      <c r="F123" s="261"/>
      <c r="G123" s="259" t="str">
        <f>TEXT($G$1, "[$-ko-KR]yyyy-mm-dd(ddd) ") &amp; "오후 19:00"</f>
        <v>2021-06-06(일) 오후 19:00</v>
      </c>
      <c r="H123" s="260"/>
      <c r="I123" s="261"/>
      <c r="J123" s="259" t="str">
        <f>TEXT($G$1, "[$-ko-KR]yyyy-mm-dd(ddd) ") &amp; "오후 21:00"</f>
        <v>2021-06-06(일) 오후 21:00</v>
      </c>
      <c r="K123" s="260"/>
      <c r="L123" s="261"/>
      <c r="M123" s="259" t="str">
        <f>TEXT($G$1+1, "[$-ko-KR]yyyy-mm-dd(ddd) ") &amp; "오전 00:00"</f>
        <v>2021-06-07(월) 오전 00:00</v>
      </c>
      <c r="N123" s="260"/>
      <c r="O123" s="261"/>
      <c r="Q123" s="245"/>
      <c r="R123" s="245"/>
      <c r="S123" s="245"/>
    </row>
    <row r="124" spans="1:19" ht="17.25" thickBot="1">
      <c r="A124" s="291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81" t="s">
        <v>58</v>
      </c>
      <c r="H124" s="182" t="s">
        <v>298</v>
      </c>
      <c r="I124" s="183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5"/>
      <c r="R124" s="235"/>
      <c r="S124" s="235"/>
    </row>
    <row r="125" spans="1:19" ht="17.25" thickBot="1">
      <c r="A125" s="161" t="s">
        <v>222</v>
      </c>
      <c r="B125" s="124">
        <v>11.4</v>
      </c>
      <c r="C125" s="76">
        <v>-1.7241379300000002E-2</v>
      </c>
      <c r="D125" s="13">
        <v>11.7</v>
      </c>
      <c r="E125" s="14">
        <f>IF(ISNUMBER(D125), (D125 - $B125) / $B125, "")</f>
        <v>2.6315789473684115E-2</v>
      </c>
      <c r="F125" s="16">
        <f>IF(ISNUMBER(D125), $B145 * E125, "")</f>
        <v>2631.5789473684117</v>
      </c>
      <c r="G125" s="29">
        <v>12</v>
      </c>
      <c r="H125" s="14">
        <f>IF(ISNUMBER(G125), (G125 - $B125) / $B125, "")</f>
        <v>5.263157894736839E-2</v>
      </c>
      <c r="I125" s="100">
        <f>IF(ISNUMBER(G125), $B145 * H125, "")</f>
        <v>5263.1578947368389</v>
      </c>
      <c r="J125" s="13">
        <v>12</v>
      </c>
      <c r="K125" s="14">
        <f>IF(ISNUMBER(J125), (J125 - $B125) / $B125, "")</f>
        <v>5.263157894736839E-2</v>
      </c>
      <c r="L125" s="16">
        <f>IF(ISNUMBER(J125), $B145 * K125, "")</f>
        <v>5263.1578947368389</v>
      </c>
      <c r="M125" s="29">
        <v>11.8</v>
      </c>
      <c r="N125" s="14">
        <f>IF(ISNUMBER(M125), (M125 - $B125) / $B125, "")</f>
        <v>3.5087719298245647E-2</v>
      </c>
      <c r="O125" s="16">
        <f>IF(ISNUMBER(M125), $B145 * N125, "")</f>
        <v>3508.7719298245647</v>
      </c>
      <c r="Q125" s="245"/>
      <c r="R125" s="245"/>
      <c r="S125" s="245"/>
    </row>
    <row r="126" spans="1:19" ht="17.25" thickBot="1">
      <c r="A126" s="162" t="s">
        <v>154</v>
      </c>
      <c r="B126" s="126">
        <v>10.9</v>
      </c>
      <c r="C126" s="77">
        <v>-1.8018018E-2</v>
      </c>
      <c r="D126" s="15">
        <v>11.4</v>
      </c>
      <c r="E126" s="32">
        <f t="shared" ref="E126:E129" si="62">IF(ISNUMBER(D126), (D126 - $B126) / $B126, "")</f>
        <v>4.5871559633027519E-2</v>
      </c>
      <c r="F126" s="18">
        <f>IF(ISNUMBER(D126), $B145 * E126, "")</f>
        <v>4587.1559633027518</v>
      </c>
      <c r="G126" s="31">
        <v>11.4</v>
      </c>
      <c r="H126" s="32">
        <f t="shared" ref="H126:H129" si="63">IF(ISNUMBER(G126), (G126 - $B126) / $B126, "")</f>
        <v>4.5871559633027519E-2</v>
      </c>
      <c r="I126" s="101">
        <f>IF(ISNUMBER(G126), $B145 * H126, "")</f>
        <v>4587.1559633027518</v>
      </c>
      <c r="J126" s="15">
        <v>11.7</v>
      </c>
      <c r="K126" s="32">
        <f t="shared" ref="K126:K129" si="64">IF(ISNUMBER(J126), (J126 - $B126) / $B126, "")</f>
        <v>7.339449541284393E-2</v>
      </c>
      <c r="L126" s="18">
        <f>IF(ISNUMBER(J126), $B145 * K126, "")</f>
        <v>7339.4495412843926</v>
      </c>
      <c r="M126" s="31">
        <v>11.6</v>
      </c>
      <c r="N126" s="32">
        <f t="shared" ref="N126:N129" si="65">IF(ISNUMBER(M126), (M126 - $B126) / $B126, "")</f>
        <v>6.4220183486238466E-2</v>
      </c>
      <c r="O126" s="18">
        <f>IF(ISNUMBER(M126), $B145 * N126, "")</f>
        <v>6422.0183486238466</v>
      </c>
      <c r="Q126" s="245"/>
      <c r="R126" s="245"/>
      <c r="S126" s="245"/>
    </row>
    <row r="127" spans="1:19" ht="17.25" thickBot="1">
      <c r="A127" s="162" t="s">
        <v>220</v>
      </c>
      <c r="B127" s="126">
        <v>10.8</v>
      </c>
      <c r="C127" s="77">
        <v>-1.8181818200000002E-2</v>
      </c>
      <c r="D127" s="15">
        <v>11.3</v>
      </c>
      <c r="E127" s="32">
        <f t="shared" si="62"/>
        <v>4.6296296296296294E-2</v>
      </c>
      <c r="F127" s="18">
        <f>IF(ISNUMBER(D127), $B145 * E127, "")</f>
        <v>4629.6296296296296</v>
      </c>
      <c r="G127" s="31">
        <v>11.2</v>
      </c>
      <c r="H127" s="32">
        <f t="shared" si="63"/>
        <v>3.7037037037036903E-2</v>
      </c>
      <c r="I127" s="101">
        <f>IF(ISNUMBER(G127), $B145 * H127, "")</f>
        <v>3703.7037037036903</v>
      </c>
      <c r="J127" s="15">
        <v>11.4</v>
      </c>
      <c r="K127" s="32">
        <f t="shared" si="64"/>
        <v>5.5555555555555518E-2</v>
      </c>
      <c r="L127" s="18">
        <f>IF(ISNUMBER(J127), $B145 * K127, "")</f>
        <v>5555.555555555552</v>
      </c>
      <c r="M127" s="31">
        <v>11.2</v>
      </c>
      <c r="N127" s="32">
        <f t="shared" si="65"/>
        <v>3.7037037037036903E-2</v>
      </c>
      <c r="O127" s="18">
        <f>IF(ISNUMBER(M127), $B145 * N127, "")</f>
        <v>3703.7037037036903</v>
      </c>
      <c r="Q127" s="235"/>
      <c r="R127" s="235"/>
      <c r="S127" s="235"/>
    </row>
    <row r="128" spans="1:19" ht="17.25" thickBot="1">
      <c r="A128" s="162" t="s">
        <v>228</v>
      </c>
      <c r="B128" s="126">
        <v>10.4</v>
      </c>
      <c r="C128" s="77">
        <v>-1.8867924500000001E-2</v>
      </c>
      <c r="D128" s="15">
        <v>10.9</v>
      </c>
      <c r="E128" s="32">
        <f t="shared" si="62"/>
        <v>4.8076923076923073E-2</v>
      </c>
      <c r="F128" s="18">
        <f>IF(ISNUMBER(D128), $B145 * E128, "")</f>
        <v>4807.6923076923076</v>
      </c>
      <c r="G128" s="31">
        <v>11.1</v>
      </c>
      <c r="H128" s="32">
        <f t="shared" si="63"/>
        <v>6.7307692307692235E-2</v>
      </c>
      <c r="I128" s="101">
        <f>IF(ISNUMBER(G128), $B145 * H128, "")</f>
        <v>6730.7692307692232</v>
      </c>
      <c r="J128" s="15">
        <v>11.1</v>
      </c>
      <c r="K128" s="32">
        <f t="shared" si="64"/>
        <v>6.7307692307692235E-2</v>
      </c>
      <c r="L128" s="18">
        <f>IF(ISNUMBER(J128), $B145 * K128, "")</f>
        <v>6730.7692307692232</v>
      </c>
      <c r="M128" s="31">
        <v>11</v>
      </c>
      <c r="N128" s="32">
        <f t="shared" si="65"/>
        <v>5.7692307692307654E-2</v>
      </c>
      <c r="O128" s="18">
        <f>IF(ISNUMBER(M128), $B145 * N128, "")</f>
        <v>5769.230769230765</v>
      </c>
      <c r="Q128" s="235"/>
      <c r="R128" s="235"/>
      <c r="S128" s="235"/>
    </row>
    <row r="129" spans="1:19" ht="17.25" thickBot="1">
      <c r="A129" s="163" t="s">
        <v>236</v>
      </c>
      <c r="B129" s="128">
        <v>51.5</v>
      </c>
      <c r="C129" s="78">
        <v>-1.9047618999999998E-2</v>
      </c>
      <c r="D129" s="20">
        <v>52.5</v>
      </c>
      <c r="E129" s="21">
        <f t="shared" si="62"/>
        <v>1.9417475728155338E-2</v>
      </c>
      <c r="F129" s="22">
        <f>IF(ISNUMBER(D129), $B145 * E129, "")</f>
        <v>1941.7475728155339</v>
      </c>
      <c r="G129" s="30">
        <v>53.1</v>
      </c>
      <c r="H129" s="21">
        <f t="shared" si="63"/>
        <v>3.106796116504857E-2</v>
      </c>
      <c r="I129" s="105">
        <f>IF(ISNUMBER(G129), $B145 * H129, "")</f>
        <v>3106.7961165048569</v>
      </c>
      <c r="J129" s="20">
        <v>54</v>
      </c>
      <c r="K129" s="21">
        <f t="shared" si="64"/>
        <v>4.8543689320388349E-2</v>
      </c>
      <c r="L129" s="22">
        <f>IF(ISNUMBER(J129), $B145 * K129, "")</f>
        <v>4854.3689320388348</v>
      </c>
      <c r="M129" s="30">
        <v>53.1</v>
      </c>
      <c r="N129" s="21">
        <f t="shared" si="65"/>
        <v>3.106796116504857E-2</v>
      </c>
      <c r="O129" s="22">
        <f>IF(ISNUMBER(M129), $B145 * N129, "")</f>
        <v>3106.7961165048569</v>
      </c>
      <c r="Q129" s="235"/>
      <c r="R129" s="235"/>
      <c r="S129" s="235"/>
    </row>
    <row r="130" spans="1:19" ht="17.25" thickBot="1">
      <c r="A130" s="162" t="s">
        <v>266</v>
      </c>
      <c r="B130" s="129">
        <v>57.2</v>
      </c>
      <c r="C130" s="80">
        <v>-2.0547945200000001E-2</v>
      </c>
      <c r="D130" s="106">
        <v>58.6</v>
      </c>
      <c r="E130" s="107">
        <f>IF(ISNUMBER(D130), (D130 - $B130) / $B130, "")</f>
        <v>2.4475524475524448E-2</v>
      </c>
      <c r="F130" s="108">
        <f>IF(ISNUMBER(D130), $B145 * E130, "")</f>
        <v>2447.5524475524448</v>
      </c>
      <c r="G130" s="109">
        <v>59.8</v>
      </c>
      <c r="H130" s="107">
        <f>IF(ISNUMBER(G130), (G130 - $B130) / $B130, "")</f>
        <v>4.5454545454545352E-2</v>
      </c>
      <c r="I130" s="110">
        <f>IF(ISNUMBER(G130), $B145 * H130, "")</f>
        <v>4545.454545454535</v>
      </c>
      <c r="J130" s="106">
        <v>63.9</v>
      </c>
      <c r="K130" s="107">
        <f>IF(ISNUMBER(J130), (J130 - $B130) / $B130, "")</f>
        <v>0.11713286713286705</v>
      </c>
      <c r="L130" s="108">
        <f>IF(ISNUMBER(J130), $B145 * K130, "")</f>
        <v>11713.286713286705</v>
      </c>
      <c r="M130" s="109">
        <v>59.7</v>
      </c>
      <c r="N130" s="107">
        <f>IF(ISNUMBER(M130), (M130 - $B130) / $B130, "")</f>
        <v>4.3706293706293704E-2</v>
      </c>
      <c r="O130" s="108">
        <f>IF(ISNUMBER(M130), $B145 * N130, "")</f>
        <v>4370.62937062937</v>
      </c>
      <c r="Q130" s="235"/>
      <c r="R130" s="235"/>
      <c r="S130" s="235"/>
    </row>
    <row r="131" spans="1:19" ht="17.25" thickBot="1">
      <c r="A131" s="162" t="s">
        <v>254</v>
      </c>
      <c r="B131" s="126">
        <v>51.3</v>
      </c>
      <c r="C131" s="77">
        <v>-2.2857142899999999E-2</v>
      </c>
      <c r="D131" s="15">
        <v>51.3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52.3</v>
      </c>
      <c r="H131" s="32">
        <f t="shared" ref="H131:H134" si="67">IF(ISNUMBER(G131), (G131 - $B131) / $B131, "")</f>
        <v>1.9493177387914232E-2</v>
      </c>
      <c r="I131" s="101">
        <f>IF(ISNUMBER(G131), $B145 * H131, "")</f>
        <v>1949.3177387914232</v>
      </c>
      <c r="J131" s="15">
        <v>52</v>
      </c>
      <c r="K131" s="32">
        <f t="shared" ref="K131:K134" si="68">IF(ISNUMBER(J131), (J131 - $B131) / $B131, "")</f>
        <v>1.3645224171540018E-2</v>
      </c>
      <c r="L131" s="18">
        <f>IF(ISNUMBER(J131), $B145 * K131, "")</f>
        <v>1364.5224171540017</v>
      </c>
      <c r="M131" s="31">
        <v>51.8</v>
      </c>
      <c r="N131" s="32">
        <f t="shared" ref="N131:N134" si="69">IF(ISNUMBER(M131), (M131 - $B131) / $B131, "")</f>
        <v>9.7465886939571162E-3</v>
      </c>
      <c r="O131" s="18">
        <f>IF(ISNUMBER(M131), $B145 * N131, "")</f>
        <v>974.65886939571158</v>
      </c>
      <c r="Q131" s="235"/>
      <c r="R131" s="235"/>
      <c r="S131" s="235"/>
    </row>
    <row r="132" spans="1:19" ht="17.25" thickBot="1">
      <c r="A132" s="162" t="s">
        <v>65</v>
      </c>
      <c r="B132" s="126">
        <v>36.6</v>
      </c>
      <c r="C132" s="77">
        <v>-2.4E-2</v>
      </c>
      <c r="D132" s="15">
        <v>36.6</v>
      </c>
      <c r="E132" s="32">
        <f t="shared" si="66"/>
        <v>0</v>
      </c>
      <c r="F132" s="18">
        <f>IF(ISNUMBER(D132), $B145 * E132, "")</f>
        <v>0</v>
      </c>
      <c r="G132" s="31">
        <v>36.9</v>
      </c>
      <c r="H132" s="32">
        <f t="shared" si="67"/>
        <v>8.1967213114753322E-3</v>
      </c>
      <c r="I132" s="101">
        <f>IF(ISNUMBER(G132), $B145 * H132, "")</f>
        <v>819.67213114753326</v>
      </c>
      <c r="J132" s="15">
        <v>37.200000000000003</v>
      </c>
      <c r="K132" s="32">
        <f t="shared" si="68"/>
        <v>1.6393442622950859E-2</v>
      </c>
      <c r="L132" s="18">
        <f>IF(ISNUMBER(J132), $B145 * K132, "")</f>
        <v>1639.3442622950859</v>
      </c>
      <c r="M132" s="31">
        <v>36.9</v>
      </c>
      <c r="N132" s="32">
        <f t="shared" si="69"/>
        <v>8.1967213114753322E-3</v>
      </c>
      <c r="O132" s="18">
        <f>IF(ISNUMBER(M132), $B145 * N132, "")</f>
        <v>819.67213114753326</v>
      </c>
      <c r="Q132" s="235"/>
      <c r="R132" s="235"/>
      <c r="S132" s="235"/>
    </row>
    <row r="133" spans="1:19" ht="17.25" thickBot="1">
      <c r="A133" s="162" t="s">
        <v>268</v>
      </c>
      <c r="B133" s="126">
        <v>52.1</v>
      </c>
      <c r="C133" s="77">
        <v>-2.6168224300000001E-2</v>
      </c>
      <c r="D133" s="15">
        <v>53.1</v>
      </c>
      <c r="E133" s="32">
        <f t="shared" si="66"/>
        <v>1.9193857965451054E-2</v>
      </c>
      <c r="F133" s="18">
        <f>IF(ISNUMBER(D133), $B145 * E133, "")</f>
        <v>1919.3857965451054</v>
      </c>
      <c r="G133" s="31">
        <v>53.6</v>
      </c>
      <c r="H133" s="32">
        <f t="shared" si="67"/>
        <v>2.8790786948176581E-2</v>
      </c>
      <c r="I133" s="101">
        <f>IF(ISNUMBER(G133), $B145 * H133, "")</f>
        <v>2879.0786948176583</v>
      </c>
      <c r="J133" s="15">
        <v>53.6</v>
      </c>
      <c r="K133" s="32">
        <f t="shared" si="68"/>
        <v>2.8790786948176581E-2</v>
      </c>
      <c r="L133" s="18">
        <f>IF(ISNUMBER(J133), $B145 * K133, "")</f>
        <v>2879.0786948176583</v>
      </c>
      <c r="M133" s="31">
        <v>53.3</v>
      </c>
      <c r="N133" s="32">
        <f t="shared" si="69"/>
        <v>2.3032629558541184E-2</v>
      </c>
      <c r="O133" s="18">
        <f>IF(ISNUMBER(M133), $B145 * N133, "")</f>
        <v>2303.2629558541184</v>
      </c>
      <c r="Q133" s="33"/>
      <c r="R133" s="33"/>
    </row>
    <row r="134" spans="1:19" ht="17.25" thickBot="1">
      <c r="A134" s="130" t="s">
        <v>214</v>
      </c>
      <c r="B134" s="131">
        <v>13.7</v>
      </c>
      <c r="C134" s="79">
        <v>-2.83687943E-2</v>
      </c>
      <c r="D134" s="24">
        <v>13.9</v>
      </c>
      <c r="E134" s="25">
        <f t="shared" si="66"/>
        <v>1.4598540145985481E-2</v>
      </c>
      <c r="F134" s="104">
        <f>IF(ISNUMBER(D134), $B145 * E134, "")</f>
        <v>1459.854014598548</v>
      </c>
      <c r="G134" s="102">
        <v>14.2</v>
      </c>
      <c r="H134" s="25">
        <f t="shared" si="67"/>
        <v>3.6496350364963508E-2</v>
      </c>
      <c r="I134" s="103">
        <f>IF(ISNUMBER(G134), $B145 * H134, "")</f>
        <v>3649.6350364963509</v>
      </c>
      <c r="J134" s="24">
        <v>14.2</v>
      </c>
      <c r="K134" s="25">
        <f t="shared" si="68"/>
        <v>3.6496350364963508E-2</v>
      </c>
      <c r="L134" s="104">
        <f>IF(ISNUMBER(J134), $B145 * K134, "")</f>
        <v>3649.6350364963509</v>
      </c>
      <c r="M134" s="102">
        <v>14</v>
      </c>
      <c r="N134" s="25">
        <f t="shared" si="69"/>
        <v>2.1897810218978155E-2</v>
      </c>
      <c r="O134" s="104">
        <f>IF(ISNUMBER(M134), $B145 * N134, "")</f>
        <v>2189.7810218978157</v>
      </c>
      <c r="Q134" s="236"/>
      <c r="R134" s="237"/>
      <c r="S134" s="238"/>
    </row>
    <row r="135" spans="1:19">
      <c r="A135" s="161" t="s">
        <v>218</v>
      </c>
      <c r="B135" s="124">
        <v>16.600000000000001</v>
      </c>
      <c r="C135" s="76">
        <v>-2.9239766100000002E-2</v>
      </c>
      <c r="D135" s="13">
        <v>16.7</v>
      </c>
      <c r="E135" s="14">
        <f>IF(ISNUMBER(D135), (D135 - $B135) / $B135, "")</f>
        <v>6.0240963855420398E-3</v>
      </c>
      <c r="F135" s="16">
        <f>IF(ISNUMBER(D135), $B145 * E135, "")</f>
        <v>602.40963855420398</v>
      </c>
      <c r="G135" s="29">
        <v>17</v>
      </c>
      <c r="H135" s="14">
        <f>IF(ISNUMBER(G135), (G135 - $B135) / $B135, "")</f>
        <v>2.4096385542168586E-2</v>
      </c>
      <c r="I135" s="100">
        <f>IF(ISNUMBER(G135), $B145 * H135, "")</f>
        <v>2409.6385542168587</v>
      </c>
      <c r="J135" s="13">
        <v>17</v>
      </c>
      <c r="K135" s="14">
        <f>IF(ISNUMBER(J135), (J135 - $B135) / $B135, "")</f>
        <v>2.4096385542168586E-2</v>
      </c>
      <c r="L135" s="16">
        <f>IF(ISNUMBER(J135), $B145 * K135, "")</f>
        <v>2409.6385542168587</v>
      </c>
      <c r="M135" s="29">
        <v>16.899999999999999</v>
      </c>
      <c r="N135" s="14">
        <f>IF(ISNUMBER(M135), (M135 - $B135) / $B135, "")</f>
        <v>1.8072289156626332E-2</v>
      </c>
      <c r="O135" s="16">
        <f>IF(ISNUMBER(M135), $B145 * N135, "")</f>
        <v>1807.2289156626332</v>
      </c>
      <c r="Q135" s="239"/>
      <c r="R135" s="240"/>
      <c r="S135" s="241"/>
    </row>
    <row r="136" spans="1:19" ht="17.25" thickBot="1">
      <c r="A136" s="162" t="s">
        <v>198</v>
      </c>
      <c r="B136" s="126">
        <v>16.5</v>
      </c>
      <c r="C136" s="77">
        <v>-2.9411764699999999E-2</v>
      </c>
      <c r="D136" s="15">
        <v>16.600000000000001</v>
      </c>
      <c r="E136" s="32">
        <f t="shared" ref="E136:E139" si="70">IF(ISNUMBER(D136), (D136 - $B136) / $B136, "")</f>
        <v>6.0606060606061465E-3</v>
      </c>
      <c r="F136" s="18">
        <f>IF(ISNUMBER(D136), $B145 * E136, "")</f>
        <v>606.06060606061465</v>
      </c>
      <c r="G136" s="31">
        <v>17</v>
      </c>
      <c r="H136" s="32">
        <f t="shared" ref="H136:H139" si="71">IF(ISNUMBER(G136), (G136 - $B136) / $B136, "")</f>
        <v>3.0303030303030304E-2</v>
      </c>
      <c r="I136" s="101">
        <f>IF(ISNUMBER(G136), $B145 * H136, "")</f>
        <v>3030.3030303030305</v>
      </c>
      <c r="J136" s="15">
        <v>17</v>
      </c>
      <c r="K136" s="32">
        <f t="shared" ref="K136:K139" si="72">IF(ISNUMBER(J136), (J136 - $B136) / $B136, "")</f>
        <v>3.0303030303030304E-2</v>
      </c>
      <c r="L136" s="18">
        <f>IF(ISNUMBER(J136), $B145 * K136, "")</f>
        <v>3030.3030303030305</v>
      </c>
      <c r="M136" s="31">
        <v>16.899999999999999</v>
      </c>
      <c r="N136" s="32">
        <f t="shared" ref="N136:N139" si="73">IF(ISNUMBER(M136), (M136 - $B136) / $B136, "")</f>
        <v>2.4242424242424156E-2</v>
      </c>
      <c r="O136" s="18">
        <f>IF(ISNUMBER(M136), $B145 * N136, "")</f>
        <v>2424.2424242424154</v>
      </c>
      <c r="Q136" s="242"/>
      <c r="R136" s="243"/>
      <c r="S136" s="244"/>
    </row>
    <row r="137" spans="1:19" ht="17.25" thickBot="1">
      <c r="A137" s="162" t="s">
        <v>72</v>
      </c>
      <c r="B137" s="126">
        <v>20.6</v>
      </c>
      <c r="C137" s="77">
        <v>-3.2863849799999997E-2</v>
      </c>
      <c r="D137" s="15">
        <v>21.6</v>
      </c>
      <c r="E137" s="32">
        <f t="shared" si="70"/>
        <v>4.8543689320388349E-2</v>
      </c>
      <c r="F137" s="18">
        <f>IF(ISNUMBER(D137), $B145 * E137, "")</f>
        <v>4854.3689320388348</v>
      </c>
      <c r="G137" s="31">
        <v>21.6</v>
      </c>
      <c r="H137" s="32">
        <f t="shared" si="71"/>
        <v>4.8543689320388349E-2</v>
      </c>
      <c r="I137" s="101">
        <f>IF(ISNUMBER(G137), $B145 * H137, "")</f>
        <v>4854.3689320388348</v>
      </c>
      <c r="J137" s="15">
        <v>25.4</v>
      </c>
      <c r="K137" s="32">
        <f t="shared" si="72"/>
        <v>0.23300970873786392</v>
      </c>
      <c r="L137" s="18">
        <f>IF(ISNUMBER(J137), $B145 * K137, "")</f>
        <v>23300.970873786391</v>
      </c>
      <c r="M137" s="31">
        <v>22.5</v>
      </c>
      <c r="N137" s="32">
        <f t="shared" si="73"/>
        <v>9.2233009708737795E-2</v>
      </c>
      <c r="O137" s="18">
        <f>IF(ISNUMBER(M137), $B145 * N137, "")</f>
        <v>9223.3009708737791</v>
      </c>
      <c r="Q137" s="235"/>
      <c r="R137" s="235"/>
      <c r="S137" s="235"/>
    </row>
    <row r="138" spans="1:19" ht="17.25" thickBot="1">
      <c r="A138" s="162" t="s">
        <v>260</v>
      </c>
      <c r="B138" s="126">
        <v>75.7</v>
      </c>
      <c r="C138" s="77">
        <v>-3.3205619399999997E-2</v>
      </c>
      <c r="D138" s="15">
        <v>75.8</v>
      </c>
      <c r="E138" s="32">
        <f t="shared" si="70"/>
        <v>1.3210039630118138E-3</v>
      </c>
      <c r="F138" s="18">
        <f>IF(ISNUMBER(D138), $B145 * E138, "")</f>
        <v>132.10039630118138</v>
      </c>
      <c r="G138" s="31">
        <v>77.3</v>
      </c>
      <c r="H138" s="32">
        <f t="shared" si="71"/>
        <v>2.1136063408190148E-2</v>
      </c>
      <c r="I138" s="101">
        <f>IF(ISNUMBER(G138), $B145 * H138, "")</f>
        <v>2113.6063408190148</v>
      </c>
      <c r="J138" s="15">
        <v>78</v>
      </c>
      <c r="K138" s="32">
        <f t="shared" si="72"/>
        <v>3.0383091149273411E-2</v>
      </c>
      <c r="L138" s="18">
        <f>IF(ISNUMBER(J138), $B145 * K138, "")</f>
        <v>3038.3091149273409</v>
      </c>
      <c r="M138" s="31">
        <v>76.7</v>
      </c>
      <c r="N138" s="32">
        <f t="shared" si="73"/>
        <v>1.3210039630118889E-2</v>
      </c>
      <c r="O138" s="18">
        <f>IF(ISNUMBER(M138), $B145 * N138, "")</f>
        <v>1321.003963011889</v>
      </c>
      <c r="Q138" s="245"/>
      <c r="R138" s="245"/>
      <c r="S138" s="245"/>
    </row>
    <row r="139" spans="1:19" ht="17.25" thickBot="1">
      <c r="A139" s="163" t="s">
        <v>278</v>
      </c>
      <c r="B139" s="128">
        <v>79.099999999999994</v>
      </c>
      <c r="C139" s="78">
        <v>-3.4188034200000002E-2</v>
      </c>
      <c r="D139" s="20">
        <v>79.900000000000006</v>
      </c>
      <c r="E139" s="21">
        <f t="shared" si="70"/>
        <v>1.0113780025284595E-2</v>
      </c>
      <c r="F139" s="22">
        <f>IF(ISNUMBER(D139), $B145 * E139, "")</f>
        <v>1011.3780025284594</v>
      </c>
      <c r="G139" s="30">
        <v>80.5</v>
      </c>
      <c r="H139" s="21">
        <f t="shared" si="71"/>
        <v>1.769911504424786E-2</v>
      </c>
      <c r="I139" s="105">
        <f>IF(ISNUMBER(G139), $B145 * H139, "")</f>
        <v>1769.911504424786</v>
      </c>
      <c r="J139" s="20">
        <v>80.400000000000006</v>
      </c>
      <c r="K139" s="21">
        <f t="shared" si="72"/>
        <v>1.6434892541087376E-2</v>
      </c>
      <c r="L139" s="22">
        <f>IF(ISNUMBER(J139), $B145 * K139, "")</f>
        <v>1643.4892541087377</v>
      </c>
      <c r="M139" s="30">
        <v>80.8</v>
      </c>
      <c r="N139" s="21">
        <f t="shared" si="73"/>
        <v>2.1491782553729494E-2</v>
      </c>
      <c r="O139" s="22">
        <f>IF(ISNUMBER(M139), $B145 * N139, "")</f>
        <v>2149.1782553729495</v>
      </c>
      <c r="Q139" s="245"/>
      <c r="R139" s="245"/>
      <c r="S139" s="245"/>
    </row>
    <row r="140" spans="1:19" ht="17.25" thickBot="1">
      <c r="A140" s="162" t="s">
        <v>100</v>
      </c>
      <c r="B140" s="129">
        <v>4.71</v>
      </c>
      <c r="C140" s="80">
        <v>-3.48360656E-2</v>
      </c>
      <c r="D140" s="106">
        <v>4.67</v>
      </c>
      <c r="E140" s="107">
        <f>IF(ISNUMBER(D140), (D140 - $B140) / $B140, "")</f>
        <v>-8.492569002123149E-3</v>
      </c>
      <c r="F140" s="108">
        <f>IF(ISNUMBER(D140), $B145 * E140, "")</f>
        <v>-849.25690021231492</v>
      </c>
      <c r="G140" s="109">
        <v>4.66</v>
      </c>
      <c r="H140" s="107">
        <f>IF(ISNUMBER(G140), (G140 - $B140) / $B140, "")</f>
        <v>-1.0615711252653891E-2</v>
      </c>
      <c r="I140" s="110">
        <f>IF(ISNUMBER(G140), $B145 * H140, "")</f>
        <v>-1061.5711252653891</v>
      </c>
      <c r="J140" s="106">
        <v>4.66</v>
      </c>
      <c r="K140" s="107">
        <f>IF(ISNUMBER(J140), (J140 - $B140) / $B140, "")</f>
        <v>-1.0615711252653891E-2</v>
      </c>
      <c r="L140" s="108">
        <f>IF(ISNUMBER(J140), $B145 * K140, "")</f>
        <v>-1061.5711252653891</v>
      </c>
      <c r="M140" s="109">
        <v>4.67</v>
      </c>
      <c r="N140" s="107">
        <f>IF(ISNUMBER(M140), (M140 - $B140) / $B140, "")</f>
        <v>-8.492569002123149E-3</v>
      </c>
      <c r="O140" s="108">
        <f>IF(ISNUMBER(M140), $B145 * N140, "")</f>
        <v>-849.25690021231492</v>
      </c>
      <c r="Q140" s="235"/>
      <c r="R140" s="235"/>
      <c r="S140" s="235"/>
    </row>
    <row r="141" spans="1:19" ht="17.25" thickBot="1">
      <c r="A141" s="162" t="s">
        <v>122</v>
      </c>
      <c r="B141" s="126">
        <v>65.900000000000006</v>
      </c>
      <c r="C141" s="77">
        <v>-3.6549707600000002E-2</v>
      </c>
      <c r="D141" s="15">
        <v>65.900000000000006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66.3</v>
      </c>
      <c r="H141" s="32">
        <f t="shared" ref="H141:H144" si="75">IF(ISNUMBER(G141), (G141 - $B141) / $B141, "")</f>
        <v>6.0698027314110992E-3</v>
      </c>
      <c r="I141" s="101">
        <f>IF(ISNUMBER(G141), $B145 * H141, "")</f>
        <v>606.98027314110993</v>
      </c>
      <c r="J141" s="15">
        <v>66.900000000000006</v>
      </c>
      <c r="K141" s="32">
        <f t="shared" ref="K141:K144" si="76">IF(ISNUMBER(J141), (J141 - $B141) / $B141, "")</f>
        <v>1.5174506828528072E-2</v>
      </c>
      <c r="L141" s="18">
        <f>IF(ISNUMBER(J141), $B145 * K141, "")</f>
        <v>1517.4506828528072</v>
      </c>
      <c r="M141" s="31">
        <v>66.599999999999994</v>
      </c>
      <c r="N141" s="32">
        <f t="shared" ref="N141:N144" si="77">IF(ISNUMBER(M141), (M141 - $B141) / $B141, "")</f>
        <v>1.0622154779969478E-2</v>
      </c>
      <c r="O141" s="18">
        <f>IF(ISNUMBER(M141), $B145 * N141, "")</f>
        <v>1062.2154779969478</v>
      </c>
      <c r="Q141" s="235"/>
      <c r="R141" s="235"/>
      <c r="S141" s="235"/>
    </row>
    <row r="142" spans="1:19" ht="17.25" thickBot="1">
      <c r="A142" s="162" t="s">
        <v>264</v>
      </c>
      <c r="B142" s="126">
        <v>85.7</v>
      </c>
      <c r="C142" s="77">
        <v>-4.1387024600000002E-2</v>
      </c>
      <c r="D142" s="15">
        <v>86.5</v>
      </c>
      <c r="E142" s="32">
        <f t="shared" si="74"/>
        <v>9.3348891481913315E-3</v>
      </c>
      <c r="F142" s="18">
        <f>IF(ISNUMBER(D142), $B145 * E142, "")</f>
        <v>933.48891481913313</v>
      </c>
      <c r="G142" s="31">
        <v>87.9</v>
      </c>
      <c r="H142" s="32">
        <f t="shared" si="75"/>
        <v>2.5670945157526288E-2</v>
      </c>
      <c r="I142" s="101">
        <f>IF(ISNUMBER(G142), $B145 * H142, "")</f>
        <v>2567.0945157526289</v>
      </c>
      <c r="J142" s="15">
        <v>88.5</v>
      </c>
      <c r="K142" s="32">
        <f t="shared" si="76"/>
        <v>3.2672112018669743E-2</v>
      </c>
      <c r="L142" s="18">
        <f>IF(ISNUMBER(J142), $B145 * K142, "")</f>
        <v>3267.2112018669741</v>
      </c>
      <c r="M142" s="31">
        <v>87.7</v>
      </c>
      <c r="N142" s="32">
        <f t="shared" si="77"/>
        <v>2.3337222870478413E-2</v>
      </c>
      <c r="O142" s="18">
        <f>IF(ISNUMBER(M142), $B145 * N142, "")</f>
        <v>2333.7222870478413</v>
      </c>
      <c r="Q142" s="235"/>
      <c r="R142" s="235"/>
      <c r="S142" s="235"/>
    </row>
    <row r="143" spans="1:19">
      <c r="A143" s="162" t="s">
        <v>126</v>
      </c>
      <c r="B143" s="126">
        <v>27.7</v>
      </c>
      <c r="C143" s="77">
        <v>-4.1522491299999999E-2</v>
      </c>
      <c r="D143" s="15">
        <v>28.7</v>
      </c>
      <c r="E143" s="32">
        <f t="shared" si="74"/>
        <v>3.6101083032490974E-2</v>
      </c>
      <c r="F143" s="18">
        <f>IF(ISNUMBER(D143), $B145 * E143, "")</f>
        <v>3610.1083032490974</v>
      </c>
      <c r="G143" s="31">
        <v>29.4</v>
      </c>
      <c r="H143" s="32">
        <f t="shared" si="75"/>
        <v>6.1371841155234634E-2</v>
      </c>
      <c r="I143" s="101">
        <f>IF(ISNUMBER(G143), $B145 * H143, "")</f>
        <v>6137.1841155234633</v>
      </c>
      <c r="J143" s="15">
        <v>30.3</v>
      </c>
      <c r="K143" s="32">
        <f t="shared" si="76"/>
        <v>9.3862815884476591E-2</v>
      </c>
      <c r="L143" s="18">
        <f>IF(ISNUMBER(J143), $B145 * K143, "")</f>
        <v>9386.2815884476586</v>
      </c>
      <c r="M143" s="31">
        <v>29.6</v>
      </c>
      <c r="N143" s="32">
        <f t="shared" si="77"/>
        <v>6.8592057761732925E-2</v>
      </c>
      <c r="O143" s="18">
        <f>IF(ISNUMBER(M143), $B145 * N143, "")</f>
        <v>6859.2057761732922</v>
      </c>
      <c r="Q143" s="224"/>
      <c r="R143" s="225"/>
      <c r="S143" s="226"/>
    </row>
    <row r="144" spans="1:19" ht="17.25" thickBot="1">
      <c r="A144" s="130" t="s">
        <v>212</v>
      </c>
      <c r="B144" s="131">
        <v>79.099999999999994</v>
      </c>
      <c r="C144" s="79">
        <v>-4.5838359500000002E-2</v>
      </c>
      <c r="D144" s="24">
        <v>78.8</v>
      </c>
      <c r="E144" s="25">
        <f t="shared" si="74"/>
        <v>-3.7926675094816331E-3</v>
      </c>
      <c r="F144" s="104">
        <f>IF(ISNUMBER(D144), $B145 * E144, "")</f>
        <v>-379.26675094816329</v>
      </c>
      <c r="G144" s="102">
        <v>79.599999999999994</v>
      </c>
      <c r="H144" s="25">
        <f t="shared" si="75"/>
        <v>6.3211125158027818E-3</v>
      </c>
      <c r="I144" s="103">
        <f>IF(ISNUMBER(G144), $B145 * H144, "")</f>
        <v>632.11125158027824</v>
      </c>
      <c r="J144" s="24">
        <v>79.8</v>
      </c>
      <c r="K144" s="25">
        <f t="shared" si="76"/>
        <v>8.8495575221239301E-3</v>
      </c>
      <c r="L144" s="104">
        <f>IF(ISNUMBER(J144), $B145 * K144, "")</f>
        <v>884.95575221239301</v>
      </c>
      <c r="M144" s="102">
        <v>79.599999999999994</v>
      </c>
      <c r="N144" s="25">
        <f t="shared" si="77"/>
        <v>6.3211125158027818E-3</v>
      </c>
      <c r="O144" s="104">
        <f>IF(ISNUMBER(M144), $B145 * N144, "")</f>
        <v>632.11125158027824</v>
      </c>
      <c r="Q144" s="227"/>
      <c r="R144" s="228"/>
      <c r="S144" s="229"/>
    </row>
    <row r="145" spans="1:19" ht="17.25" thickBot="1">
      <c r="A145" s="132" t="s">
        <v>300</v>
      </c>
      <c r="B145" s="288">
        <f>$B$37</f>
        <v>100000</v>
      </c>
      <c r="C145" s="289"/>
      <c r="D145" s="26" t="s">
        <v>301</v>
      </c>
      <c r="E145" s="27">
        <f>IF(COUNT(E125:E144), SUM(E125:E144) / COUNT(E125:E144), 0)</f>
        <v>1.7472993910947886E-2</v>
      </c>
      <c r="F145" s="28">
        <f>SUM(F125:F144)</f>
        <v>34945.987821895782</v>
      </c>
      <c r="G145" s="26" t="s">
        <v>301</v>
      </c>
      <c r="H145" s="27">
        <f>IF(COUNT(H125:H144), SUM(H125:H144) / COUNT(H125:H144), 0)</f>
        <v>3.0147184224129743E-2</v>
      </c>
      <c r="I145" s="28">
        <f>SUM(I125:I144)</f>
        <v>60294.368448259484</v>
      </c>
      <c r="J145" s="26" t="s">
        <v>301</v>
      </c>
      <c r="K145" s="27">
        <f>IF(COUNT(K125:K144), SUM(K125:K144) / COUNT(K125:K144), 0)</f>
        <v>4.9203103602945719E-2</v>
      </c>
      <c r="L145" s="28">
        <f>SUM(L125:L144)</f>
        <v>98406.207205891449</v>
      </c>
      <c r="M145" s="26" t="s">
        <v>301</v>
      </c>
      <c r="N145" s="27">
        <f>IF(COUNT(N125:N144), SUM(N125:N144) / COUNT(N125:N144), 0)</f>
        <v>3.0065738819281002E-2</v>
      </c>
      <c r="O145" s="28">
        <f>SUM(O125:O144)</f>
        <v>60131.477638562006</v>
      </c>
      <c r="Q145" s="230"/>
      <c r="R145" s="231"/>
      <c r="S145" s="232"/>
    </row>
    <row r="147" spans="1:19" ht="17.25" thickBot="1"/>
    <row r="148" spans="1:19" ht="17.25" thickBot="1">
      <c r="A148" s="246" t="s">
        <v>289</v>
      </c>
      <c r="B148" s="247"/>
      <c r="C148" s="247"/>
      <c r="D148" s="247"/>
      <c r="E148" s="247"/>
      <c r="F148" s="247"/>
      <c r="G148" s="247"/>
      <c r="H148" s="247"/>
      <c r="I148" s="247"/>
      <c r="J148" s="247"/>
      <c r="K148" s="247"/>
      <c r="L148" s="247"/>
      <c r="M148" s="247"/>
      <c r="N148" s="247"/>
      <c r="O148" s="248"/>
      <c r="Q148" s="245"/>
      <c r="R148" s="245"/>
      <c r="S148" s="245"/>
    </row>
    <row r="149" spans="1:19" ht="17.25" thickBot="1">
      <c r="A149" s="180" t="s">
        <v>297</v>
      </c>
      <c r="B149" s="246" t="s">
        <v>49</v>
      </c>
      <c r="C149" s="248"/>
      <c r="D149" s="246" t="s">
        <v>58</v>
      </c>
      <c r="E149" s="247"/>
      <c r="F149" s="248"/>
      <c r="G149" s="249">
        <f>_xlfn.IFNA(VLOOKUP(B149, 현재가테이블!$B$2:$D$200, 2, FALSE), "-")</f>
        <v>45335000</v>
      </c>
      <c r="H149" s="250"/>
      <c r="I149" s="251"/>
      <c r="J149" s="246" t="s">
        <v>59</v>
      </c>
      <c r="K149" s="247"/>
      <c r="L149" s="248"/>
      <c r="M149" s="252">
        <f>_xlfn.IFNA(VLOOKUP(B149, 현재가테이블!$B$2:$D$200, 3, FALSE), "-")</f>
        <v>-2.27209037E-2</v>
      </c>
      <c r="N149" s="253"/>
      <c r="O149" s="254"/>
      <c r="Q149" s="245"/>
      <c r="R149" s="245"/>
      <c r="S149" s="245"/>
    </row>
    <row r="150" spans="1:19" ht="17.25" thickBot="1">
      <c r="A150" s="290" t="s">
        <v>55</v>
      </c>
      <c r="B150" s="286" t="str">
        <f>TEXT($G$1, "[$-ko-KR]yyyy-mm-dd(ddd) ") &amp; "오전 00:00"</f>
        <v>2021-06-06(일) 오전 00:00</v>
      </c>
      <c r="C150" s="287"/>
      <c r="D150" s="259" t="str">
        <f>TEXT($G$1, "[$-ko-KR]yyyy-mm-dd(ddd) ") &amp; "오후 14:00"</f>
        <v>2021-06-06(일) 오후 14:00</v>
      </c>
      <c r="E150" s="260"/>
      <c r="F150" s="261"/>
      <c r="G150" s="259" t="str">
        <f>TEXT($G$1, "[$-ko-KR]yyyy-mm-dd(ddd) ") &amp; "오후 19:00"</f>
        <v>2021-06-06(일) 오후 19:00</v>
      </c>
      <c r="H150" s="260"/>
      <c r="I150" s="261"/>
      <c r="J150" s="259" t="str">
        <f>TEXT($G$1, "[$-ko-KR]yyyy-mm-dd(ddd) ") &amp; "오후 21:00"</f>
        <v>2021-06-06(일) 오후 21:00</v>
      </c>
      <c r="K150" s="260"/>
      <c r="L150" s="261"/>
      <c r="M150" s="259" t="str">
        <f>TEXT($G$1+1, "[$-ko-KR]yyyy-mm-dd(ddd) ") &amp; "오전 00:00"</f>
        <v>2021-06-07(월) 오전 00:00</v>
      </c>
      <c r="N150" s="260"/>
      <c r="O150" s="261"/>
      <c r="Q150" s="245"/>
      <c r="R150" s="245"/>
      <c r="S150" s="245"/>
    </row>
    <row r="151" spans="1:19" ht="17.25" thickBot="1">
      <c r="A151" s="291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81" t="s">
        <v>58</v>
      </c>
      <c r="H151" s="182" t="s">
        <v>298</v>
      </c>
      <c r="I151" s="183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5"/>
      <c r="R151" s="235"/>
      <c r="S151" s="235"/>
    </row>
    <row r="152" spans="1:19" ht="17.25" thickBot="1">
      <c r="A152" s="161" t="s">
        <v>284</v>
      </c>
      <c r="B152" s="124">
        <v>252</v>
      </c>
      <c r="C152" s="76">
        <v>-2.7027026999999999E-2</v>
      </c>
      <c r="D152" s="13">
        <v>254</v>
      </c>
      <c r="E152" s="14">
        <f>IF(ISNUMBER(D152), (D152 - $B152) / $B152, "")</f>
        <v>7.9365079365079361E-3</v>
      </c>
      <c r="F152" s="16">
        <f>IF(ISNUMBER(D152), $B172 * E152, "")</f>
        <v>793.65079365079362</v>
      </c>
      <c r="G152" s="29">
        <v>261</v>
      </c>
      <c r="H152" s="14">
        <f>IF(ISNUMBER(G152), (G152 - $B152) / $B152, "")</f>
        <v>3.5714285714285712E-2</v>
      </c>
      <c r="I152" s="100">
        <f>IF(ISNUMBER(G152), $B172 * H152, "")</f>
        <v>3571.4285714285711</v>
      </c>
      <c r="J152" s="13">
        <v>259</v>
      </c>
      <c r="K152" s="14">
        <f>IF(ISNUMBER(J152), (J152 - $B152) / $B152, "")</f>
        <v>2.7777777777777776E-2</v>
      </c>
      <c r="L152" s="16">
        <f>IF(ISNUMBER(J152), $B172 * K152, "")</f>
        <v>2777.7777777777778</v>
      </c>
      <c r="M152" s="29">
        <v>255</v>
      </c>
      <c r="N152" s="14">
        <f>IF(ISNUMBER(M152), (M152 - $B152) / $B152, "")</f>
        <v>1.1904761904761904E-2</v>
      </c>
      <c r="O152" s="16">
        <f>IF(ISNUMBER(M152), $B172 * N152, "")</f>
        <v>1190.4761904761904</v>
      </c>
      <c r="Q152" s="245"/>
      <c r="R152" s="245"/>
      <c r="S152" s="245"/>
    </row>
    <row r="153" spans="1:19" ht="17.25" thickBot="1">
      <c r="A153" s="162" t="s">
        <v>128</v>
      </c>
      <c r="B153" s="126">
        <v>369</v>
      </c>
      <c r="C153" s="77">
        <v>-2.8947368399999999E-2</v>
      </c>
      <c r="D153" s="15">
        <v>373</v>
      </c>
      <c r="E153" s="32">
        <f t="shared" ref="E153:E156" si="78">IF(ISNUMBER(D153), (D153 - $B153) / $B153, "")</f>
        <v>1.0840108401084011E-2</v>
      </c>
      <c r="F153" s="18">
        <f>IF(ISNUMBER(D153), $B172 * E153, "")</f>
        <v>1084.010840108401</v>
      </c>
      <c r="G153" s="31">
        <v>376</v>
      </c>
      <c r="H153" s="32">
        <f t="shared" ref="H153:H156" si="79">IF(ISNUMBER(G153), (G153 - $B153) / $B153, "")</f>
        <v>1.8970189701897018E-2</v>
      </c>
      <c r="I153" s="101">
        <f>IF(ISNUMBER(G153), $B172 * H153, "")</f>
        <v>1897.0189701897018</v>
      </c>
      <c r="J153" s="15">
        <v>376</v>
      </c>
      <c r="K153" s="32">
        <f t="shared" ref="K153:K156" si="80">IF(ISNUMBER(J153), (J153 - $B153) / $B153, "")</f>
        <v>1.8970189701897018E-2</v>
      </c>
      <c r="L153" s="18">
        <f>IF(ISNUMBER(J153), $B172 * K153, "")</f>
        <v>1897.0189701897018</v>
      </c>
      <c r="M153" s="31">
        <v>377</v>
      </c>
      <c r="N153" s="32">
        <f t="shared" ref="N153:N156" si="81">IF(ISNUMBER(M153), (M153 - $B153) / $B153, "")</f>
        <v>2.1680216802168022E-2</v>
      </c>
      <c r="O153" s="18">
        <f>IF(ISNUMBER(M153), $B172 * N153, "")</f>
        <v>2168.021680216802</v>
      </c>
      <c r="Q153" s="245"/>
      <c r="R153" s="245"/>
      <c r="S153" s="245"/>
    </row>
    <row r="154" spans="1:19" ht="17.25" thickBot="1">
      <c r="A154" s="162" t="s">
        <v>234</v>
      </c>
      <c r="B154" s="126">
        <v>819</v>
      </c>
      <c r="C154" s="77">
        <v>-2.96208531E-2</v>
      </c>
      <c r="D154" s="15">
        <v>827</v>
      </c>
      <c r="E154" s="32">
        <f t="shared" si="78"/>
        <v>9.768009768009768E-3</v>
      </c>
      <c r="F154" s="18">
        <f>IF(ISNUMBER(D154), $B172 * E154, "")</f>
        <v>976.80097680097685</v>
      </c>
      <c r="G154" s="31">
        <v>851</v>
      </c>
      <c r="H154" s="32">
        <f t="shared" si="79"/>
        <v>3.9072039072039072E-2</v>
      </c>
      <c r="I154" s="101">
        <f>IF(ISNUMBER(G154), $B172 * H154, "")</f>
        <v>3907.2039072039074</v>
      </c>
      <c r="J154" s="15">
        <v>854</v>
      </c>
      <c r="K154" s="32">
        <f t="shared" si="80"/>
        <v>4.2735042735042736E-2</v>
      </c>
      <c r="L154" s="18">
        <f>IF(ISNUMBER(J154), $B172 * K154, "")</f>
        <v>4273.5042735042734</v>
      </c>
      <c r="M154" s="31">
        <v>831</v>
      </c>
      <c r="N154" s="32">
        <f t="shared" si="81"/>
        <v>1.4652014652014652E-2</v>
      </c>
      <c r="O154" s="18">
        <f>IF(ISNUMBER(M154), $B172 * N154, "")</f>
        <v>1465.2014652014652</v>
      </c>
      <c r="Q154" s="235"/>
      <c r="R154" s="235"/>
      <c r="S154" s="235"/>
    </row>
    <row r="155" spans="1:19" ht="17.25" thickBot="1">
      <c r="A155" s="162" t="s">
        <v>258</v>
      </c>
      <c r="B155" s="126">
        <v>485</v>
      </c>
      <c r="C155" s="77">
        <v>-0.03</v>
      </c>
      <c r="D155" s="15">
        <v>489</v>
      </c>
      <c r="E155" s="32">
        <f t="shared" si="78"/>
        <v>8.2474226804123713E-3</v>
      </c>
      <c r="F155" s="18">
        <f>IF(ISNUMBER(D155), $B172 * E155, "")</f>
        <v>824.74226804123714</v>
      </c>
      <c r="G155" s="31">
        <v>491</v>
      </c>
      <c r="H155" s="32">
        <f t="shared" si="79"/>
        <v>1.2371134020618556E-2</v>
      </c>
      <c r="I155" s="101">
        <f>IF(ISNUMBER(G155), $B172 * H155, "")</f>
        <v>1237.1134020618556</v>
      </c>
      <c r="J155" s="15">
        <v>492</v>
      </c>
      <c r="K155" s="32">
        <f t="shared" si="80"/>
        <v>1.443298969072165E-2</v>
      </c>
      <c r="L155" s="18">
        <f>IF(ISNUMBER(J155), $B172 * K155, "")</f>
        <v>1443.2989690721649</v>
      </c>
      <c r="M155" s="31">
        <v>490</v>
      </c>
      <c r="N155" s="32">
        <f t="shared" si="81"/>
        <v>1.0309278350515464E-2</v>
      </c>
      <c r="O155" s="18">
        <f>IF(ISNUMBER(M155), $B172 * N155, "")</f>
        <v>1030.9278350515465</v>
      </c>
      <c r="Q155" s="235"/>
      <c r="R155" s="235"/>
      <c r="S155" s="235"/>
    </row>
    <row r="156" spans="1:19" ht="17.25" thickBot="1">
      <c r="A156" s="163" t="s">
        <v>182</v>
      </c>
      <c r="B156" s="128">
        <v>289</v>
      </c>
      <c r="C156" s="78">
        <v>-3.02013423E-2</v>
      </c>
      <c r="D156" s="20">
        <v>291</v>
      </c>
      <c r="E156" s="21">
        <f t="shared" si="78"/>
        <v>6.920415224913495E-3</v>
      </c>
      <c r="F156" s="22">
        <f>IF(ISNUMBER(D156), $B172 * E156, "")</f>
        <v>692.0415224913495</v>
      </c>
      <c r="G156" s="30">
        <v>298</v>
      </c>
      <c r="H156" s="21">
        <f t="shared" si="79"/>
        <v>3.1141868512110725E-2</v>
      </c>
      <c r="I156" s="105">
        <f>IF(ISNUMBER(G156), $B172 * H156, "")</f>
        <v>3114.1868512110723</v>
      </c>
      <c r="J156" s="20">
        <v>303</v>
      </c>
      <c r="K156" s="21">
        <f t="shared" si="80"/>
        <v>4.8442906574394463E-2</v>
      </c>
      <c r="L156" s="22">
        <f>IF(ISNUMBER(J156), $B172 * K156, "")</f>
        <v>4844.2906574394465</v>
      </c>
      <c r="M156" s="30">
        <v>298</v>
      </c>
      <c r="N156" s="21">
        <f t="shared" si="81"/>
        <v>3.1141868512110725E-2</v>
      </c>
      <c r="O156" s="22">
        <f>IF(ISNUMBER(M156), $B172 * N156, "")</f>
        <v>3114.1868512110723</v>
      </c>
      <c r="Q156" s="235"/>
      <c r="R156" s="235"/>
      <c r="S156" s="235"/>
    </row>
    <row r="157" spans="1:19" ht="17.25" thickBot="1">
      <c r="A157" s="162" t="s">
        <v>240</v>
      </c>
      <c r="B157" s="129">
        <v>127</v>
      </c>
      <c r="C157" s="80">
        <v>-3.0534351099999999E-2</v>
      </c>
      <c r="D157" s="106">
        <v>127</v>
      </c>
      <c r="E157" s="107">
        <f>IF(ISNUMBER(D157), (D157 - $B157) / $B157, "")</f>
        <v>0</v>
      </c>
      <c r="F157" s="108">
        <f>IF(ISNUMBER(D157), $B172 * E157, "")</f>
        <v>0</v>
      </c>
      <c r="G157" s="109">
        <v>131</v>
      </c>
      <c r="H157" s="107">
        <f>IF(ISNUMBER(G157), (G157 - $B157) / $B157, "")</f>
        <v>3.1496062992125984E-2</v>
      </c>
      <c r="I157" s="110">
        <f>IF(ISNUMBER(G157), $B172 * H157, "")</f>
        <v>3149.6062992125985</v>
      </c>
      <c r="J157" s="106">
        <v>131</v>
      </c>
      <c r="K157" s="107">
        <f>IF(ISNUMBER(J157), (J157 - $B157) / $B157, "")</f>
        <v>3.1496062992125984E-2</v>
      </c>
      <c r="L157" s="108">
        <f>IF(ISNUMBER(J157), $B172 * K157, "")</f>
        <v>3149.6062992125985</v>
      </c>
      <c r="M157" s="109">
        <v>131</v>
      </c>
      <c r="N157" s="107">
        <f>IF(ISNUMBER(M157), (M157 - $B157) / $B157, "")</f>
        <v>3.1496062992125984E-2</v>
      </c>
      <c r="O157" s="108">
        <f>IF(ISNUMBER(M157), $B172 * N157, "")</f>
        <v>3149.6062992125985</v>
      </c>
      <c r="Q157" s="235"/>
      <c r="R157" s="235"/>
      <c r="S157" s="235"/>
    </row>
    <row r="158" spans="1:19" ht="17.25" thickBot="1">
      <c r="A158" s="162" t="s">
        <v>208</v>
      </c>
      <c r="B158" s="126">
        <v>311</v>
      </c>
      <c r="C158" s="77">
        <v>-3.1152648000000002E-2</v>
      </c>
      <c r="D158" s="15">
        <v>314</v>
      </c>
      <c r="E158" s="32">
        <f t="shared" ref="E158:E161" si="82">IF(ISNUMBER(D158), (D158 - $B158) / $B158, "")</f>
        <v>9.6463022508038593E-3</v>
      </c>
      <c r="F158" s="18">
        <f>IF(ISNUMBER(D158), $B172 * E158, "")</f>
        <v>964.63022508038591</v>
      </c>
      <c r="G158" s="31">
        <v>318</v>
      </c>
      <c r="H158" s="32">
        <f t="shared" ref="H158:H161" si="83">IF(ISNUMBER(G158), (G158 - $B158) / $B158, "")</f>
        <v>2.2508038585209004E-2</v>
      </c>
      <c r="I158" s="101">
        <f>IF(ISNUMBER(G158), $B172 * H158, "")</f>
        <v>2250.8038585209006</v>
      </c>
      <c r="J158" s="15">
        <v>318</v>
      </c>
      <c r="K158" s="32">
        <f t="shared" ref="K158:K161" si="84">IF(ISNUMBER(J158), (J158 - $B158) / $B158, "")</f>
        <v>2.2508038585209004E-2</v>
      </c>
      <c r="L158" s="18">
        <f>IF(ISNUMBER(J158), $B172 * K158, "")</f>
        <v>2250.8038585209006</v>
      </c>
      <c r="M158" s="31">
        <v>320</v>
      </c>
      <c r="N158" s="32">
        <f t="shared" ref="N158:N161" si="85">IF(ISNUMBER(M158), (M158 - $B158) / $B158, "")</f>
        <v>2.8938906752411574E-2</v>
      </c>
      <c r="O158" s="18">
        <f>IF(ISNUMBER(M158), $B172 * N158, "")</f>
        <v>2893.8906752411576</v>
      </c>
      <c r="Q158" s="235"/>
      <c r="R158" s="235"/>
      <c r="S158" s="235"/>
    </row>
    <row r="159" spans="1:19" ht="17.25" thickBot="1">
      <c r="A159" s="162" t="s">
        <v>57</v>
      </c>
      <c r="B159" s="126">
        <v>213</v>
      </c>
      <c r="C159" s="77">
        <v>-3.1818181799999998E-2</v>
      </c>
      <c r="D159" s="15">
        <v>214</v>
      </c>
      <c r="E159" s="32">
        <f t="shared" si="82"/>
        <v>4.6948356807511738E-3</v>
      </c>
      <c r="F159" s="18">
        <f>IF(ISNUMBER(D159), $B172 * E159, "")</f>
        <v>469.48356807511738</v>
      </c>
      <c r="G159" s="31">
        <v>217</v>
      </c>
      <c r="H159" s="32">
        <f t="shared" si="83"/>
        <v>1.8779342723004695E-2</v>
      </c>
      <c r="I159" s="101">
        <f>IF(ISNUMBER(G159), $B172 * H159, "")</f>
        <v>1877.9342723004695</v>
      </c>
      <c r="J159" s="15">
        <v>216</v>
      </c>
      <c r="K159" s="32">
        <f t="shared" si="84"/>
        <v>1.4084507042253521E-2</v>
      </c>
      <c r="L159" s="18">
        <f>IF(ISNUMBER(J159), $B172 * K159, "")</f>
        <v>1408.4507042253522</v>
      </c>
      <c r="M159" s="31">
        <v>216</v>
      </c>
      <c r="N159" s="32">
        <f t="shared" si="85"/>
        <v>1.4084507042253521E-2</v>
      </c>
      <c r="O159" s="18">
        <f>IF(ISNUMBER(M159), $B172 * N159, "")</f>
        <v>1408.4507042253522</v>
      </c>
      <c r="Q159" s="235"/>
      <c r="R159" s="235"/>
      <c r="S159" s="235"/>
    </row>
    <row r="160" spans="1:19" ht="17.25" thickBot="1">
      <c r="A160" s="162" t="s">
        <v>200</v>
      </c>
      <c r="B160" s="126">
        <v>210</v>
      </c>
      <c r="C160" s="77">
        <v>-3.2258064500000003E-2</v>
      </c>
      <c r="D160" s="15">
        <v>244</v>
      </c>
      <c r="E160" s="32">
        <f t="shared" si="82"/>
        <v>0.16190476190476191</v>
      </c>
      <c r="F160" s="18">
        <f>IF(ISNUMBER(D160), $B172 * E160, "")</f>
        <v>16190.476190476191</v>
      </c>
      <c r="G160" s="31">
        <v>246</v>
      </c>
      <c r="H160" s="32">
        <f t="shared" si="83"/>
        <v>0.17142857142857143</v>
      </c>
      <c r="I160" s="101">
        <f>IF(ISNUMBER(G160), $B172 * H160, "")</f>
        <v>17142.857142857141</v>
      </c>
      <c r="J160" s="15">
        <v>229</v>
      </c>
      <c r="K160" s="32">
        <f t="shared" si="84"/>
        <v>9.0476190476190474E-2</v>
      </c>
      <c r="L160" s="18">
        <f>IF(ISNUMBER(J160), $B172 * K160, "")</f>
        <v>9047.6190476190477</v>
      </c>
      <c r="M160" s="31">
        <v>224</v>
      </c>
      <c r="N160" s="32">
        <f t="shared" si="85"/>
        <v>6.6666666666666666E-2</v>
      </c>
      <c r="O160" s="18">
        <f>IF(ISNUMBER(M160), $B172 * N160, "")</f>
        <v>6666.666666666667</v>
      </c>
      <c r="Q160" s="33"/>
      <c r="R160" s="33"/>
    </row>
    <row r="161" spans="1:19" ht="17.25" thickBot="1">
      <c r="A161" s="130" t="s">
        <v>170</v>
      </c>
      <c r="B161" s="131">
        <v>294</v>
      </c>
      <c r="C161" s="79">
        <v>-3.2894736799999998E-2</v>
      </c>
      <c r="D161" s="24">
        <v>294</v>
      </c>
      <c r="E161" s="25">
        <f t="shared" si="82"/>
        <v>0</v>
      </c>
      <c r="F161" s="104">
        <f>IF(ISNUMBER(D161), $B172 * E161, "")</f>
        <v>0</v>
      </c>
      <c r="G161" s="102">
        <v>295</v>
      </c>
      <c r="H161" s="25">
        <f t="shared" si="83"/>
        <v>3.4013605442176869E-3</v>
      </c>
      <c r="I161" s="103">
        <f>IF(ISNUMBER(G161), $B172 * H161, "")</f>
        <v>340.13605442176868</v>
      </c>
      <c r="J161" s="24">
        <v>298</v>
      </c>
      <c r="K161" s="25">
        <f t="shared" si="84"/>
        <v>1.3605442176870748E-2</v>
      </c>
      <c r="L161" s="104">
        <f>IF(ISNUMBER(J161), $B172 * K161, "")</f>
        <v>1360.5442176870747</v>
      </c>
      <c r="M161" s="102">
        <v>297</v>
      </c>
      <c r="N161" s="25">
        <f t="shared" si="85"/>
        <v>1.020408163265306E-2</v>
      </c>
      <c r="O161" s="104">
        <f>IF(ISNUMBER(M161), $B172 * N161, "")</f>
        <v>1020.408163265306</v>
      </c>
      <c r="Q161" s="236"/>
      <c r="R161" s="237"/>
      <c r="S161" s="238"/>
    </row>
    <row r="162" spans="1:19">
      <c r="A162" s="161" t="s">
        <v>226</v>
      </c>
      <c r="B162" s="124">
        <v>294</v>
      </c>
      <c r="C162" s="76">
        <v>-3.2894736799999998E-2</v>
      </c>
      <c r="D162" s="13">
        <v>296</v>
      </c>
      <c r="E162" s="14">
        <f>IF(ISNUMBER(D162), (D162 - $B162) / $B162, "")</f>
        <v>6.8027210884353739E-3</v>
      </c>
      <c r="F162" s="16">
        <f>IF(ISNUMBER(D162), $B172 * E162, "")</f>
        <v>680.27210884353735</v>
      </c>
      <c r="G162" s="29">
        <v>302</v>
      </c>
      <c r="H162" s="14">
        <f>IF(ISNUMBER(G162), (G162 - $B162) / $B162, "")</f>
        <v>2.7210884353741496E-2</v>
      </c>
      <c r="I162" s="100">
        <f>IF(ISNUMBER(G162), $B172 * H162, "")</f>
        <v>2721.0884353741494</v>
      </c>
      <c r="J162" s="13">
        <v>303</v>
      </c>
      <c r="K162" s="14">
        <f>IF(ISNUMBER(J162), (J162 - $B162) / $B162, "")</f>
        <v>3.0612244897959183E-2</v>
      </c>
      <c r="L162" s="16">
        <f>IF(ISNUMBER(J162), $B172 * K162, "")</f>
        <v>3061.2244897959181</v>
      </c>
      <c r="M162" s="29">
        <v>298</v>
      </c>
      <c r="N162" s="14">
        <f>IF(ISNUMBER(M162), (M162 - $B162) / $B162, "")</f>
        <v>1.3605442176870748E-2</v>
      </c>
      <c r="O162" s="16">
        <f>IF(ISNUMBER(M162), $B172 * N162, "")</f>
        <v>1360.5442176870747</v>
      </c>
      <c r="Q162" s="239"/>
      <c r="R162" s="240"/>
      <c r="S162" s="241"/>
    </row>
    <row r="163" spans="1:19" ht="17.25" thickBot="1">
      <c r="A163" s="162" t="s">
        <v>250</v>
      </c>
      <c r="B163" s="126">
        <v>117</v>
      </c>
      <c r="C163" s="77">
        <v>-3.3057851200000002E-2</v>
      </c>
      <c r="D163" s="15">
        <v>118</v>
      </c>
      <c r="E163" s="32">
        <f t="shared" ref="E163:E166" si="86">IF(ISNUMBER(D163), (D163 - $B163) / $B163, "")</f>
        <v>8.5470085470085479E-3</v>
      </c>
      <c r="F163" s="18">
        <f>IF(ISNUMBER(D163), $B172 * E163, "")</f>
        <v>854.70085470085473</v>
      </c>
      <c r="G163" s="31">
        <v>120</v>
      </c>
      <c r="H163" s="32">
        <f t="shared" ref="H163:H166" si="87">IF(ISNUMBER(G163), (G163 - $B163) / $B163, "")</f>
        <v>2.564102564102564E-2</v>
      </c>
      <c r="I163" s="101">
        <f>IF(ISNUMBER(G163), $B172 * H163, "")</f>
        <v>2564.102564102564</v>
      </c>
      <c r="J163" s="15">
        <v>121</v>
      </c>
      <c r="K163" s="32">
        <f t="shared" ref="K163:K166" si="88">IF(ISNUMBER(J163), (J163 - $B163) / $B163, "")</f>
        <v>3.4188034188034191E-2</v>
      </c>
      <c r="L163" s="18">
        <f>IF(ISNUMBER(J163), $B172 * K163, "")</f>
        <v>3418.8034188034189</v>
      </c>
      <c r="M163" s="31">
        <v>120</v>
      </c>
      <c r="N163" s="32">
        <f t="shared" ref="N163:N166" si="89">IF(ISNUMBER(M163), (M163 - $B163) / $B163, "")</f>
        <v>2.564102564102564E-2</v>
      </c>
      <c r="O163" s="18">
        <f>IF(ISNUMBER(M163), $B172 * N163, "")</f>
        <v>2564.102564102564</v>
      </c>
      <c r="Q163" s="242"/>
      <c r="R163" s="243"/>
      <c r="S163" s="244"/>
    </row>
    <row r="164" spans="1:19" ht="17.25" thickBot="1">
      <c r="A164" s="162" t="s">
        <v>54</v>
      </c>
      <c r="B164" s="126">
        <v>262</v>
      </c>
      <c r="C164" s="77">
        <v>-3.3210332100000003E-2</v>
      </c>
      <c r="D164" s="15">
        <v>259</v>
      </c>
      <c r="E164" s="32">
        <f t="shared" si="86"/>
        <v>-1.1450381679389313E-2</v>
      </c>
      <c r="F164" s="18">
        <f>IF(ISNUMBER(D164), $B172 * E164, "")</f>
        <v>-1145.0381679389313</v>
      </c>
      <c r="G164" s="31">
        <v>263</v>
      </c>
      <c r="H164" s="32">
        <f t="shared" si="87"/>
        <v>3.8167938931297708E-3</v>
      </c>
      <c r="I164" s="101">
        <f>IF(ISNUMBER(G164), $B172 * H164, "")</f>
        <v>381.67938931297709</v>
      </c>
      <c r="J164" s="15">
        <v>263</v>
      </c>
      <c r="K164" s="32">
        <f t="shared" si="88"/>
        <v>3.8167938931297708E-3</v>
      </c>
      <c r="L164" s="18">
        <f>IF(ISNUMBER(J164), $B172 * K164, "")</f>
        <v>381.67938931297709</v>
      </c>
      <c r="M164" s="31">
        <v>265</v>
      </c>
      <c r="N164" s="32">
        <f t="shared" si="89"/>
        <v>1.1450381679389313E-2</v>
      </c>
      <c r="O164" s="18">
        <f>IF(ISNUMBER(M164), $B172 * N164, "")</f>
        <v>1145.0381679389313</v>
      </c>
      <c r="Q164" s="235"/>
      <c r="R164" s="235"/>
      <c r="S164" s="235"/>
    </row>
    <row r="165" spans="1:19" ht="17.25" thickBot="1">
      <c r="A165" s="162" t="s">
        <v>136</v>
      </c>
      <c r="B165" s="126">
        <v>143</v>
      </c>
      <c r="C165" s="77">
        <v>-3.3783783800000002E-2</v>
      </c>
      <c r="D165" s="15">
        <v>145</v>
      </c>
      <c r="E165" s="32">
        <f t="shared" si="86"/>
        <v>1.3986013986013986E-2</v>
      </c>
      <c r="F165" s="18">
        <f>IF(ISNUMBER(D165), $B172 * E165, "")</f>
        <v>1398.6013986013986</v>
      </c>
      <c r="G165" s="31">
        <v>152</v>
      </c>
      <c r="H165" s="32">
        <f t="shared" si="87"/>
        <v>6.2937062937062943E-2</v>
      </c>
      <c r="I165" s="101">
        <f>IF(ISNUMBER(G165), $B172 * H165, "")</f>
        <v>6293.7062937062947</v>
      </c>
      <c r="J165" s="15">
        <v>150</v>
      </c>
      <c r="K165" s="32">
        <f t="shared" si="88"/>
        <v>4.8951048951048952E-2</v>
      </c>
      <c r="L165" s="18">
        <f>IF(ISNUMBER(J165), $B172 * K165, "")</f>
        <v>4895.1048951048951</v>
      </c>
      <c r="M165" s="31">
        <v>148</v>
      </c>
      <c r="N165" s="32">
        <f t="shared" si="89"/>
        <v>3.4965034965034968E-2</v>
      </c>
      <c r="O165" s="18">
        <f>IF(ISNUMBER(M165), $B172 * N165, "")</f>
        <v>3496.5034965034965</v>
      </c>
      <c r="Q165" s="245"/>
      <c r="R165" s="245"/>
      <c r="S165" s="245"/>
    </row>
    <row r="166" spans="1:19" ht="17.25" thickBot="1">
      <c r="A166" s="163" t="s">
        <v>168</v>
      </c>
      <c r="B166" s="128">
        <v>106</v>
      </c>
      <c r="C166" s="78">
        <v>-3.6363636400000003E-2</v>
      </c>
      <c r="D166" s="20">
        <v>106</v>
      </c>
      <c r="E166" s="21">
        <f t="shared" si="86"/>
        <v>0</v>
      </c>
      <c r="F166" s="22">
        <f>IF(ISNUMBER(D166), $B172 * E166, "")</f>
        <v>0</v>
      </c>
      <c r="G166" s="30">
        <v>108</v>
      </c>
      <c r="H166" s="21">
        <f t="shared" si="87"/>
        <v>1.8867924528301886E-2</v>
      </c>
      <c r="I166" s="105">
        <f>IF(ISNUMBER(G166), $B172 * H166, "")</f>
        <v>1886.7924528301885</v>
      </c>
      <c r="J166" s="20">
        <v>107</v>
      </c>
      <c r="K166" s="21">
        <f t="shared" si="88"/>
        <v>9.433962264150943E-3</v>
      </c>
      <c r="L166" s="22">
        <f>IF(ISNUMBER(J166), $B172 * K166, "")</f>
        <v>943.39622641509425</v>
      </c>
      <c r="M166" s="30">
        <v>107</v>
      </c>
      <c r="N166" s="21">
        <f t="shared" si="89"/>
        <v>9.433962264150943E-3</v>
      </c>
      <c r="O166" s="22">
        <f>IF(ISNUMBER(M166), $B172 * N166, "")</f>
        <v>943.39622641509425</v>
      </c>
      <c r="Q166" s="245"/>
      <c r="R166" s="245"/>
      <c r="S166" s="245"/>
    </row>
    <row r="167" spans="1:19" ht="17.25" thickBot="1">
      <c r="A167" s="162" t="s">
        <v>270</v>
      </c>
      <c r="B167" s="129">
        <v>356</v>
      </c>
      <c r="C167" s="80">
        <v>-3.7837837800000003E-2</v>
      </c>
      <c r="D167" s="106">
        <v>356</v>
      </c>
      <c r="E167" s="107">
        <f>IF(ISNUMBER(D167), (D167 - $B167) / $B167, "")</f>
        <v>0</v>
      </c>
      <c r="F167" s="108">
        <f>IF(ISNUMBER(D167), $B172 * E167, "")</f>
        <v>0</v>
      </c>
      <c r="G167" s="109">
        <v>360</v>
      </c>
      <c r="H167" s="107">
        <f>IF(ISNUMBER(G167), (G167 - $B167) / $B167, "")</f>
        <v>1.1235955056179775E-2</v>
      </c>
      <c r="I167" s="110">
        <f>IF(ISNUMBER(G167), $B172 * H167, "")</f>
        <v>1123.5955056179776</v>
      </c>
      <c r="J167" s="106">
        <v>362</v>
      </c>
      <c r="K167" s="107">
        <f>IF(ISNUMBER(J167), (J167 - $B167) / $B167, "")</f>
        <v>1.6853932584269662E-2</v>
      </c>
      <c r="L167" s="108">
        <f>IF(ISNUMBER(J167), $B172 * K167, "")</f>
        <v>1685.3932584269662</v>
      </c>
      <c r="M167" s="109">
        <v>357</v>
      </c>
      <c r="N167" s="107">
        <f>IF(ISNUMBER(M167), (M167 - $B167) / $B167, "")</f>
        <v>2.8089887640449437E-3</v>
      </c>
      <c r="O167" s="108">
        <f>IF(ISNUMBER(M167), $B172 * N167, "")</f>
        <v>280.89887640449439</v>
      </c>
      <c r="Q167" s="235"/>
      <c r="R167" s="235"/>
      <c r="S167" s="235"/>
    </row>
    <row r="168" spans="1:19" ht="17.25" thickBot="1">
      <c r="A168" s="162" t="s">
        <v>210</v>
      </c>
      <c r="B168" s="126">
        <v>126</v>
      </c>
      <c r="C168" s="77">
        <v>-3.8167938899999997E-2</v>
      </c>
      <c r="D168" s="15">
        <v>127</v>
      </c>
      <c r="E168" s="32">
        <f t="shared" ref="E168:E171" si="90">IF(ISNUMBER(D168), (D168 - $B168) / $B168, "")</f>
        <v>7.9365079365079361E-3</v>
      </c>
      <c r="F168" s="18">
        <f>IF(ISNUMBER(D168), $B172 * E168, "")</f>
        <v>793.65079365079362</v>
      </c>
      <c r="G168" s="31">
        <v>131</v>
      </c>
      <c r="H168" s="32">
        <f t="shared" ref="H168:H171" si="91">IF(ISNUMBER(G168), (G168 - $B168) / $B168, "")</f>
        <v>3.968253968253968E-2</v>
      </c>
      <c r="I168" s="101">
        <f>IF(ISNUMBER(G168), $B172 * H168, "")</f>
        <v>3968.2539682539682</v>
      </c>
      <c r="J168" s="15">
        <v>132</v>
      </c>
      <c r="K168" s="32">
        <f t="shared" ref="K168:K171" si="92">IF(ISNUMBER(J168), (J168 - $B168) / $B168, "")</f>
        <v>4.7619047619047616E-2</v>
      </c>
      <c r="L168" s="18">
        <f>IF(ISNUMBER(J168), $B172 * K168, "")</f>
        <v>4761.9047619047615</v>
      </c>
      <c r="M168" s="31">
        <v>131</v>
      </c>
      <c r="N168" s="32">
        <f t="shared" ref="N168:N171" si="93">IF(ISNUMBER(M168), (M168 - $B168) / $B168, "")</f>
        <v>3.968253968253968E-2</v>
      </c>
      <c r="O168" s="18">
        <f>IF(ISNUMBER(M168), $B172 * N168, "")</f>
        <v>3968.2539682539682</v>
      </c>
      <c r="Q168" s="235"/>
      <c r="R168" s="235"/>
      <c r="S168" s="235"/>
    </row>
    <row r="169" spans="1:19" ht="17.25" thickBot="1">
      <c r="A169" s="162" t="s">
        <v>256</v>
      </c>
      <c r="B169" s="126">
        <v>174</v>
      </c>
      <c r="C169" s="77">
        <v>-3.8674033099999998E-2</v>
      </c>
      <c r="D169" s="15">
        <v>175</v>
      </c>
      <c r="E169" s="32">
        <f t="shared" si="90"/>
        <v>5.7471264367816091E-3</v>
      </c>
      <c r="F169" s="18">
        <f>IF(ISNUMBER(D169), $B172 * E169, "")</f>
        <v>574.71264367816093</v>
      </c>
      <c r="G169" s="31">
        <v>180</v>
      </c>
      <c r="H169" s="32">
        <f t="shared" si="91"/>
        <v>3.4482758620689655E-2</v>
      </c>
      <c r="I169" s="101">
        <f>IF(ISNUMBER(G169), $B172 * H169, "")</f>
        <v>3448.2758620689656</v>
      </c>
      <c r="J169" s="15">
        <v>181</v>
      </c>
      <c r="K169" s="32">
        <f t="shared" si="92"/>
        <v>4.0229885057471264E-2</v>
      </c>
      <c r="L169" s="18">
        <f>IF(ISNUMBER(J169), $B172 * K169, "")</f>
        <v>4022.9885057471265</v>
      </c>
      <c r="M169" s="31">
        <v>179</v>
      </c>
      <c r="N169" s="32">
        <f t="shared" si="93"/>
        <v>2.8735632183908046E-2</v>
      </c>
      <c r="O169" s="18">
        <f>IF(ISNUMBER(M169), $B172 * N169, "")</f>
        <v>2873.5632183908046</v>
      </c>
      <c r="Q169" s="235"/>
      <c r="R169" s="235"/>
      <c r="S169" s="235"/>
    </row>
    <row r="170" spans="1:19">
      <c r="A170" s="162" t="s">
        <v>116</v>
      </c>
      <c r="B170" s="126">
        <v>372</v>
      </c>
      <c r="C170" s="77">
        <v>-4.1237113399999997E-2</v>
      </c>
      <c r="D170" s="15">
        <v>372</v>
      </c>
      <c r="E170" s="32">
        <f t="shared" si="90"/>
        <v>0</v>
      </c>
      <c r="F170" s="18">
        <f>IF(ISNUMBER(D170), $B172 * E170, "")</f>
        <v>0</v>
      </c>
      <c r="G170" s="31">
        <v>378</v>
      </c>
      <c r="H170" s="32">
        <f t="shared" si="91"/>
        <v>1.6129032258064516E-2</v>
      </c>
      <c r="I170" s="101">
        <f>IF(ISNUMBER(G170), $B172 * H170, "")</f>
        <v>1612.9032258064515</v>
      </c>
      <c r="J170" s="15">
        <v>379</v>
      </c>
      <c r="K170" s="32">
        <f t="shared" si="92"/>
        <v>1.8817204301075269E-2</v>
      </c>
      <c r="L170" s="18">
        <f>IF(ISNUMBER(J170), $B172 * K170, "")</f>
        <v>1881.7204301075269</v>
      </c>
      <c r="M170" s="31">
        <v>376</v>
      </c>
      <c r="N170" s="32">
        <f t="shared" si="93"/>
        <v>1.0752688172043012E-2</v>
      </c>
      <c r="O170" s="18">
        <f>IF(ISNUMBER(M170), $B172 * N170, "")</f>
        <v>1075.2688172043011</v>
      </c>
      <c r="Q170" s="224"/>
      <c r="R170" s="225"/>
      <c r="S170" s="226"/>
    </row>
    <row r="171" spans="1:19" ht="17.25" thickBot="1">
      <c r="A171" s="130" t="s">
        <v>252</v>
      </c>
      <c r="B171" s="131">
        <v>311</v>
      </c>
      <c r="C171" s="79">
        <v>-4.3076923099999997E-2</v>
      </c>
      <c r="D171" s="24">
        <v>316</v>
      </c>
      <c r="E171" s="25">
        <f t="shared" si="90"/>
        <v>1.607717041800643E-2</v>
      </c>
      <c r="F171" s="104">
        <f>IF(ISNUMBER(D171), $B172 * E171, "")</f>
        <v>1607.7170418006431</v>
      </c>
      <c r="G171" s="102">
        <v>321</v>
      </c>
      <c r="H171" s="25">
        <f t="shared" si="91"/>
        <v>3.215434083601286E-2</v>
      </c>
      <c r="I171" s="103">
        <f>IF(ISNUMBER(G171), $B172 * H171, "")</f>
        <v>3215.4340836012861</v>
      </c>
      <c r="J171" s="24">
        <v>321</v>
      </c>
      <c r="K171" s="25">
        <f t="shared" si="92"/>
        <v>3.215434083601286E-2</v>
      </c>
      <c r="L171" s="104">
        <f>IF(ISNUMBER(J171), $B172 * K171, "")</f>
        <v>3215.4340836012861</v>
      </c>
      <c r="M171" s="102">
        <v>317</v>
      </c>
      <c r="N171" s="25">
        <f t="shared" si="93"/>
        <v>1.9292604501607719E-2</v>
      </c>
      <c r="O171" s="104">
        <f>IF(ISNUMBER(M171), $B172 * N171, "")</f>
        <v>1929.2604501607718</v>
      </c>
      <c r="Q171" s="227"/>
      <c r="R171" s="228"/>
      <c r="S171" s="229"/>
    </row>
    <row r="172" spans="1:19" ht="17.25" thickBot="1">
      <c r="A172" s="132" t="s">
        <v>300</v>
      </c>
      <c r="B172" s="288">
        <f>$B$37</f>
        <v>100000</v>
      </c>
      <c r="C172" s="289"/>
      <c r="D172" s="26" t="s">
        <v>301</v>
      </c>
      <c r="E172" s="27">
        <f>IF(COUNT(E152:E171), SUM(E152:E171) / COUNT(E152:E171), 0)</f>
        <v>1.3380226529030457E-2</v>
      </c>
      <c r="F172" s="28">
        <f>SUM(F152:F171)</f>
        <v>26760.45305806091</v>
      </c>
      <c r="G172" s="26" t="s">
        <v>301</v>
      </c>
      <c r="H172" s="27">
        <f>IF(COUNT(H152:H171), SUM(H152:H171) / COUNT(H152:H171), 0)</f>
        <v>3.2852060555041404E-2</v>
      </c>
      <c r="I172" s="28">
        <f>SUM(I152:I171)</f>
        <v>65704.121110082822</v>
      </c>
      <c r="J172" s="26" t="s">
        <v>301</v>
      </c>
      <c r="K172" s="27">
        <f>IF(COUNT(K152:K171), SUM(K152:K171) / COUNT(K152:K171), 0)</f>
        <v>3.0360282117234148E-2</v>
      </c>
      <c r="L172" s="28">
        <f>SUM(L152:L171)</f>
        <v>60720.564234468315</v>
      </c>
      <c r="M172" s="26" t="s">
        <v>301</v>
      </c>
      <c r="N172" s="27">
        <f>IF(COUNT(N152:N171), SUM(N152:N171) / COUNT(N152:N171), 0)</f>
        <v>2.1872333266914835E-2</v>
      </c>
      <c r="O172" s="28">
        <f>SUM(O152:O171)</f>
        <v>43744.666533829659</v>
      </c>
      <c r="Q172" s="230"/>
      <c r="R172" s="231"/>
      <c r="S172" s="232"/>
    </row>
    <row r="174" spans="1:19" ht="17.25" thickBot="1"/>
    <row r="175" spans="1:19" ht="17.25" thickBot="1">
      <c r="A175" s="246" t="s">
        <v>285</v>
      </c>
      <c r="B175" s="247"/>
      <c r="C175" s="247"/>
      <c r="D175" s="247"/>
      <c r="E175" s="247"/>
      <c r="F175" s="247"/>
      <c r="G175" s="247"/>
      <c r="H175" s="247"/>
      <c r="I175" s="247"/>
      <c r="J175" s="247"/>
      <c r="K175" s="247"/>
      <c r="L175" s="247"/>
      <c r="M175" s="247"/>
      <c r="N175" s="247"/>
      <c r="O175" s="248"/>
      <c r="Q175" s="245"/>
      <c r="R175" s="245"/>
      <c r="S175" s="245"/>
    </row>
    <row r="176" spans="1:19" ht="17.25" thickBot="1">
      <c r="A176" s="180" t="s">
        <v>297</v>
      </c>
      <c r="B176" s="246" t="s">
        <v>49</v>
      </c>
      <c r="C176" s="248"/>
      <c r="D176" s="246" t="s">
        <v>58</v>
      </c>
      <c r="E176" s="247"/>
      <c r="F176" s="248"/>
      <c r="G176" s="249">
        <f>_xlfn.IFNA(VLOOKUP(B176, 현재가테이블!$B$2:$D$200, 2, FALSE), "-")</f>
        <v>45335000</v>
      </c>
      <c r="H176" s="250"/>
      <c r="I176" s="251"/>
      <c r="J176" s="246" t="s">
        <v>59</v>
      </c>
      <c r="K176" s="247"/>
      <c r="L176" s="248"/>
      <c r="M176" s="252">
        <f>_xlfn.IFNA(VLOOKUP(B176, 현재가테이블!$B$2:$D$200, 3, FALSE), "-")</f>
        <v>-2.27209037E-2</v>
      </c>
      <c r="N176" s="253"/>
      <c r="O176" s="254"/>
      <c r="Q176" s="245"/>
      <c r="R176" s="245"/>
      <c r="S176" s="245"/>
    </row>
    <row r="177" spans="1:19" ht="17.25" thickBot="1">
      <c r="A177" s="290" t="s">
        <v>55</v>
      </c>
      <c r="B177" s="286" t="str">
        <f>TEXT($G$1, "[$-ko-KR]yyyy-mm-dd(ddd) ") &amp; "오전 00:00"</f>
        <v>2021-06-06(일) 오전 00:00</v>
      </c>
      <c r="C177" s="287"/>
      <c r="D177" s="259" t="str">
        <f>TEXT($G$1, "[$-ko-KR]yyyy-mm-dd(ddd) ") &amp; "오후 14:00"</f>
        <v>2021-06-06(일) 오후 14:00</v>
      </c>
      <c r="E177" s="260"/>
      <c r="F177" s="261"/>
      <c r="G177" s="259" t="str">
        <f>TEXT($G$1, "[$-ko-KR]yyyy-mm-dd(ddd) ") &amp; "오후 19:00"</f>
        <v>2021-06-06(일) 오후 19:00</v>
      </c>
      <c r="H177" s="260"/>
      <c r="I177" s="261"/>
      <c r="J177" s="259" t="str">
        <f>TEXT($G$1, "[$-ko-KR]yyyy-mm-dd(ddd) ") &amp; "오후 21:00"</f>
        <v>2021-06-06(일) 오후 21:00</v>
      </c>
      <c r="K177" s="260"/>
      <c r="L177" s="261"/>
      <c r="M177" s="259" t="str">
        <f>TEXT($G$1+1, "[$-ko-KR]yyyy-mm-dd(ddd) ") &amp; "오전 00:00"</f>
        <v>2021-06-07(월) 오전 00:00</v>
      </c>
      <c r="N177" s="260"/>
      <c r="O177" s="261"/>
      <c r="Q177" s="245"/>
      <c r="R177" s="245"/>
      <c r="S177" s="245"/>
    </row>
    <row r="178" spans="1:19" ht="17.25" thickBot="1">
      <c r="A178" s="291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81" t="s">
        <v>58</v>
      </c>
      <c r="H178" s="182" t="s">
        <v>298</v>
      </c>
      <c r="I178" s="183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5"/>
      <c r="R178" s="235"/>
      <c r="S178" s="235"/>
    </row>
    <row r="179" spans="1:19" ht="17.25" thickBot="1">
      <c r="A179" s="161" t="s">
        <v>278</v>
      </c>
      <c r="B179" s="124">
        <v>79.099999999999994</v>
      </c>
      <c r="C179" s="76">
        <v>-3.4188034200000002E-2</v>
      </c>
      <c r="D179" s="13">
        <v>79.900000000000006</v>
      </c>
      <c r="E179" s="14">
        <f>IF(ISNUMBER(D179), (D179 - $B179) / $B179, "")</f>
        <v>1.0113780025284595E-2</v>
      </c>
      <c r="F179" s="16">
        <f>IF(ISNUMBER(D179), $B199 * E179, "")</f>
        <v>1011.3780025284594</v>
      </c>
      <c r="G179" s="29">
        <v>80.5</v>
      </c>
      <c r="H179" s="14">
        <f>IF(ISNUMBER(G179), (G179 - $B179) / $B179, "")</f>
        <v>1.769911504424786E-2</v>
      </c>
      <c r="I179" s="100">
        <f>IF(ISNUMBER(G179), $B199 * H179, "")</f>
        <v>1769.911504424786</v>
      </c>
      <c r="J179" s="13">
        <v>80.400000000000006</v>
      </c>
      <c r="K179" s="14">
        <f>IF(ISNUMBER(J179), (J179 - $B179) / $B179, "")</f>
        <v>1.6434892541087376E-2</v>
      </c>
      <c r="L179" s="16">
        <f>IF(ISNUMBER(J179), $B199 * K179, "")</f>
        <v>1643.4892541087377</v>
      </c>
      <c r="M179" s="29">
        <v>80.8</v>
      </c>
      <c r="N179" s="14">
        <f>IF(ISNUMBER(M179), (M179 - $B179) / $B179, "")</f>
        <v>2.1491782553729494E-2</v>
      </c>
      <c r="O179" s="16">
        <f>IF(ISNUMBER(M179), $B199 * N179, "")</f>
        <v>2149.1782553729495</v>
      </c>
      <c r="Q179" s="245"/>
      <c r="R179" s="245"/>
      <c r="S179" s="245"/>
    </row>
    <row r="180" spans="1:19" ht="17.25" thickBot="1">
      <c r="A180" s="162" t="s">
        <v>100</v>
      </c>
      <c r="B180" s="126">
        <v>4.71</v>
      </c>
      <c r="C180" s="77">
        <v>-3.48360656E-2</v>
      </c>
      <c r="D180" s="15">
        <v>4.67</v>
      </c>
      <c r="E180" s="32">
        <f t="shared" ref="E180:E183" si="94">IF(ISNUMBER(D180), (D180 - $B180) / $B180, "")</f>
        <v>-8.492569002123149E-3</v>
      </c>
      <c r="F180" s="18">
        <f>IF(ISNUMBER(D180), $B199 * E180, "")</f>
        <v>-849.25690021231492</v>
      </c>
      <c r="G180" s="31">
        <v>4.66</v>
      </c>
      <c r="H180" s="32">
        <f t="shared" ref="H180:H183" si="95">IF(ISNUMBER(G180), (G180 - $B180) / $B180, "")</f>
        <v>-1.0615711252653891E-2</v>
      </c>
      <c r="I180" s="101">
        <f>IF(ISNUMBER(G180), $B199 * H180, "")</f>
        <v>-1061.5711252653891</v>
      </c>
      <c r="J180" s="15">
        <v>4.66</v>
      </c>
      <c r="K180" s="32">
        <f t="shared" ref="K180:K183" si="96">IF(ISNUMBER(J180), (J180 - $B180) / $B180, "")</f>
        <v>-1.0615711252653891E-2</v>
      </c>
      <c r="L180" s="18">
        <f>IF(ISNUMBER(J180), $B199 * K180, "")</f>
        <v>-1061.5711252653891</v>
      </c>
      <c r="M180" s="31">
        <v>4.67</v>
      </c>
      <c r="N180" s="32">
        <f t="shared" ref="N180:N183" si="97">IF(ISNUMBER(M180), (M180 - $B180) / $B180, "")</f>
        <v>-8.492569002123149E-3</v>
      </c>
      <c r="O180" s="18">
        <f>IF(ISNUMBER(M180), $B199 * N180, "")</f>
        <v>-849.25690021231492</v>
      </c>
      <c r="Q180" s="245"/>
      <c r="R180" s="245"/>
      <c r="S180" s="245"/>
    </row>
    <row r="181" spans="1:19" ht="17.25" thickBot="1">
      <c r="A181" s="162" t="s">
        <v>168</v>
      </c>
      <c r="B181" s="126">
        <v>106</v>
      </c>
      <c r="C181" s="77">
        <v>-3.6363636400000003E-2</v>
      </c>
      <c r="D181" s="15">
        <v>106</v>
      </c>
      <c r="E181" s="32">
        <f t="shared" si="94"/>
        <v>0</v>
      </c>
      <c r="F181" s="18">
        <f>IF(ISNUMBER(D181), $B199 * E181, "")</f>
        <v>0</v>
      </c>
      <c r="G181" s="31">
        <v>108</v>
      </c>
      <c r="H181" s="32">
        <f t="shared" si="95"/>
        <v>1.8867924528301886E-2</v>
      </c>
      <c r="I181" s="101">
        <f>IF(ISNUMBER(G181), $B199 * H181, "")</f>
        <v>1886.7924528301885</v>
      </c>
      <c r="J181" s="15">
        <v>107</v>
      </c>
      <c r="K181" s="32">
        <f t="shared" si="96"/>
        <v>9.433962264150943E-3</v>
      </c>
      <c r="L181" s="18">
        <f>IF(ISNUMBER(J181), $B199 * K181, "")</f>
        <v>943.39622641509425</v>
      </c>
      <c r="M181" s="31">
        <v>107</v>
      </c>
      <c r="N181" s="32">
        <f t="shared" si="97"/>
        <v>9.433962264150943E-3</v>
      </c>
      <c r="O181" s="18">
        <f>IF(ISNUMBER(M181), $B199 * N181, "")</f>
        <v>943.39622641509425</v>
      </c>
      <c r="Q181" s="235"/>
      <c r="R181" s="235"/>
      <c r="S181" s="235"/>
    </row>
    <row r="182" spans="1:19" ht="17.25" thickBot="1">
      <c r="A182" s="162" t="s">
        <v>122</v>
      </c>
      <c r="B182" s="126">
        <v>65.900000000000006</v>
      </c>
      <c r="C182" s="77">
        <v>-3.6549707600000002E-2</v>
      </c>
      <c r="D182" s="15">
        <v>65.900000000000006</v>
      </c>
      <c r="E182" s="32">
        <f t="shared" si="94"/>
        <v>0</v>
      </c>
      <c r="F182" s="18">
        <f>IF(ISNUMBER(D182), $B199 * E182, "")</f>
        <v>0</v>
      </c>
      <c r="G182" s="31">
        <v>66.3</v>
      </c>
      <c r="H182" s="32">
        <f t="shared" si="95"/>
        <v>6.0698027314110992E-3</v>
      </c>
      <c r="I182" s="101">
        <f>IF(ISNUMBER(G182), $B199 * H182, "")</f>
        <v>606.98027314110993</v>
      </c>
      <c r="J182" s="15">
        <v>66.900000000000006</v>
      </c>
      <c r="K182" s="32">
        <f t="shared" si="96"/>
        <v>1.5174506828528072E-2</v>
      </c>
      <c r="L182" s="18">
        <f>IF(ISNUMBER(J182), $B199 * K182, "")</f>
        <v>1517.4506828528072</v>
      </c>
      <c r="M182" s="31">
        <v>66.599999999999994</v>
      </c>
      <c r="N182" s="32">
        <f t="shared" si="97"/>
        <v>1.0622154779969478E-2</v>
      </c>
      <c r="O182" s="18">
        <f>IF(ISNUMBER(M182), $B199 * N182, "")</f>
        <v>1062.2154779969478</v>
      </c>
      <c r="Q182" s="235"/>
      <c r="R182" s="235"/>
      <c r="S182" s="235"/>
    </row>
    <row r="183" spans="1:19" ht="17.25" thickBot="1">
      <c r="A183" s="163" t="s">
        <v>138</v>
      </c>
      <c r="B183" s="128">
        <v>28030</v>
      </c>
      <c r="C183" s="78">
        <v>-3.7431318700000001E-2</v>
      </c>
      <c r="D183" s="20">
        <v>28220</v>
      </c>
      <c r="E183" s="21">
        <f t="shared" si="94"/>
        <v>6.7784516589368534E-3</v>
      </c>
      <c r="F183" s="22">
        <f>IF(ISNUMBER(D183), $B199 * E183, "")</f>
        <v>677.84516589368536</v>
      </c>
      <c r="G183" s="30">
        <v>28180</v>
      </c>
      <c r="H183" s="21">
        <f t="shared" si="95"/>
        <v>5.3514092044238317E-3</v>
      </c>
      <c r="I183" s="105">
        <f>IF(ISNUMBER(G183), $B199 * H183, "")</f>
        <v>535.14092044238316</v>
      </c>
      <c r="J183" s="20">
        <v>28000</v>
      </c>
      <c r="K183" s="21">
        <f t="shared" si="96"/>
        <v>-1.0702818408847663E-3</v>
      </c>
      <c r="L183" s="22">
        <f>IF(ISNUMBER(J183), $B199 * K183, "")</f>
        <v>-107.02818408847664</v>
      </c>
      <c r="M183" s="30">
        <v>28050</v>
      </c>
      <c r="N183" s="21">
        <f t="shared" si="97"/>
        <v>7.1352122725651087E-4</v>
      </c>
      <c r="O183" s="22">
        <f>IF(ISNUMBER(M183), $B199 * N183, "")</f>
        <v>71.352122725651085</v>
      </c>
      <c r="Q183" s="235"/>
      <c r="R183" s="235"/>
      <c r="S183" s="235"/>
    </row>
    <row r="184" spans="1:19" ht="17.25" thickBot="1">
      <c r="A184" s="162" t="s">
        <v>242</v>
      </c>
      <c r="B184" s="129">
        <v>3980</v>
      </c>
      <c r="C184" s="80">
        <v>-3.7484885099999997E-2</v>
      </c>
      <c r="D184" s="106">
        <v>3995</v>
      </c>
      <c r="E184" s="107">
        <f>IF(ISNUMBER(D184), (D184 - $B184) / $B184, "")</f>
        <v>3.7688442211055275E-3</v>
      </c>
      <c r="F184" s="108">
        <f>IF(ISNUMBER(D184), $B199 * E184, "")</f>
        <v>376.88442211055275</v>
      </c>
      <c r="G184" s="109">
        <v>4135</v>
      </c>
      <c r="H184" s="107">
        <f>IF(ISNUMBER(G184), (G184 - $B184) / $B184, "")</f>
        <v>3.8944723618090454E-2</v>
      </c>
      <c r="I184" s="110">
        <f>IF(ISNUMBER(G184), $B199 * H184, "")</f>
        <v>3894.4723618090457</v>
      </c>
      <c r="J184" s="106">
        <v>4120</v>
      </c>
      <c r="K184" s="107">
        <f>IF(ISNUMBER(J184), (J184 - $B184) / $B184, "")</f>
        <v>3.5175879396984924E-2</v>
      </c>
      <c r="L184" s="108">
        <f>IF(ISNUMBER(J184), $B199 * K184, "")</f>
        <v>3517.5879396984924</v>
      </c>
      <c r="M184" s="109">
        <v>4085</v>
      </c>
      <c r="N184" s="107">
        <f>IF(ISNUMBER(M184), (M184 - $B184) / $B184, "")</f>
        <v>2.6381909547738693E-2</v>
      </c>
      <c r="O184" s="108">
        <f>IF(ISNUMBER(M184), $B199 * N184, "")</f>
        <v>2638.1909547738692</v>
      </c>
      <c r="Q184" s="235"/>
      <c r="R184" s="235"/>
      <c r="S184" s="235"/>
    </row>
    <row r="185" spans="1:19" ht="17.25" thickBot="1">
      <c r="A185" s="162" t="s">
        <v>270</v>
      </c>
      <c r="B185" s="126">
        <v>356</v>
      </c>
      <c r="C185" s="77">
        <v>-3.7837837800000003E-2</v>
      </c>
      <c r="D185" s="15">
        <v>356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360</v>
      </c>
      <c r="H185" s="32">
        <f t="shared" ref="H185:H188" si="99">IF(ISNUMBER(G185), (G185 - $B185) / $B185, "")</f>
        <v>1.1235955056179775E-2</v>
      </c>
      <c r="I185" s="101">
        <f>IF(ISNUMBER(G185), $B199 * H185, "")</f>
        <v>1123.5955056179776</v>
      </c>
      <c r="J185" s="15">
        <v>362</v>
      </c>
      <c r="K185" s="32">
        <f t="shared" ref="K185:K188" si="100">IF(ISNUMBER(J185), (J185 - $B185) / $B185, "")</f>
        <v>1.6853932584269662E-2</v>
      </c>
      <c r="L185" s="18">
        <f>IF(ISNUMBER(J185), $B199 * K185, "")</f>
        <v>1685.3932584269662</v>
      </c>
      <c r="M185" s="31">
        <v>357</v>
      </c>
      <c r="N185" s="32">
        <f t="shared" ref="N185:N188" si="101">IF(ISNUMBER(M185), (M185 - $B185) / $B185, "")</f>
        <v>2.8089887640449437E-3</v>
      </c>
      <c r="O185" s="18">
        <f>IF(ISNUMBER(M185), $B199 * N185, "")</f>
        <v>280.89887640449439</v>
      </c>
      <c r="Q185" s="235"/>
      <c r="R185" s="235"/>
      <c r="S185" s="235"/>
    </row>
    <row r="186" spans="1:19" ht="17.25" thickBot="1">
      <c r="A186" s="162" t="s">
        <v>210</v>
      </c>
      <c r="B186" s="126">
        <v>126</v>
      </c>
      <c r="C186" s="77">
        <v>-3.8167938899999997E-2</v>
      </c>
      <c r="D186" s="15">
        <v>127</v>
      </c>
      <c r="E186" s="32">
        <f t="shared" si="98"/>
        <v>7.9365079365079361E-3</v>
      </c>
      <c r="F186" s="18">
        <f>IF(ISNUMBER(D186), $B199 * E186, "")</f>
        <v>793.65079365079362</v>
      </c>
      <c r="G186" s="31">
        <v>131</v>
      </c>
      <c r="H186" s="32">
        <f t="shared" si="99"/>
        <v>3.968253968253968E-2</v>
      </c>
      <c r="I186" s="101">
        <f>IF(ISNUMBER(G186), $B199 * H186, "")</f>
        <v>3968.2539682539682</v>
      </c>
      <c r="J186" s="15">
        <v>132</v>
      </c>
      <c r="K186" s="32">
        <f t="shared" si="100"/>
        <v>4.7619047619047616E-2</v>
      </c>
      <c r="L186" s="18">
        <f>IF(ISNUMBER(J186), $B199 * K186, "")</f>
        <v>4761.9047619047615</v>
      </c>
      <c r="M186" s="31">
        <v>131</v>
      </c>
      <c r="N186" s="32">
        <f t="shared" si="101"/>
        <v>3.968253968253968E-2</v>
      </c>
      <c r="O186" s="18">
        <f>IF(ISNUMBER(M186), $B199 * N186, "")</f>
        <v>3968.2539682539682</v>
      </c>
      <c r="Q186" s="235"/>
      <c r="R186" s="235"/>
      <c r="S186" s="235"/>
    </row>
    <row r="187" spans="1:19" ht="17.25" thickBot="1">
      <c r="A187" s="162" t="s">
        <v>166</v>
      </c>
      <c r="B187" s="126">
        <v>1250</v>
      </c>
      <c r="C187" s="77">
        <v>-3.8461538500000003E-2</v>
      </c>
      <c r="D187" s="15">
        <v>1285</v>
      </c>
      <c r="E187" s="32">
        <f t="shared" si="98"/>
        <v>2.8000000000000001E-2</v>
      </c>
      <c r="F187" s="18">
        <f>IF(ISNUMBER(D187), $B199 * E187, "")</f>
        <v>2800</v>
      </c>
      <c r="G187" s="31">
        <v>1335</v>
      </c>
      <c r="H187" s="32">
        <f t="shared" si="99"/>
        <v>6.8000000000000005E-2</v>
      </c>
      <c r="I187" s="101">
        <f>IF(ISNUMBER(G187), $B199 * H187, "")</f>
        <v>6800.0000000000009</v>
      </c>
      <c r="J187" s="15">
        <v>1370</v>
      </c>
      <c r="K187" s="32">
        <f t="shared" si="100"/>
        <v>9.6000000000000002E-2</v>
      </c>
      <c r="L187" s="18">
        <f>IF(ISNUMBER(J187), $B199 * K187, "")</f>
        <v>9600</v>
      </c>
      <c r="M187" s="31">
        <v>1320</v>
      </c>
      <c r="N187" s="32">
        <f t="shared" si="101"/>
        <v>5.6000000000000001E-2</v>
      </c>
      <c r="O187" s="18">
        <f>IF(ISNUMBER(M187), $B199 * N187, "")</f>
        <v>5600</v>
      </c>
      <c r="Q187" s="33"/>
      <c r="R187" s="33"/>
    </row>
    <row r="188" spans="1:19" ht="17.25" thickBot="1">
      <c r="A188" s="130" t="s">
        <v>256</v>
      </c>
      <c r="B188" s="131">
        <v>174</v>
      </c>
      <c r="C188" s="79">
        <v>-3.8674033099999998E-2</v>
      </c>
      <c r="D188" s="24">
        <v>175</v>
      </c>
      <c r="E188" s="25">
        <f t="shared" si="98"/>
        <v>5.7471264367816091E-3</v>
      </c>
      <c r="F188" s="104">
        <f>IF(ISNUMBER(D188), $B199 * E188, "")</f>
        <v>574.71264367816093</v>
      </c>
      <c r="G188" s="102">
        <v>180</v>
      </c>
      <c r="H188" s="25">
        <f t="shared" si="99"/>
        <v>3.4482758620689655E-2</v>
      </c>
      <c r="I188" s="103">
        <f>IF(ISNUMBER(G188), $B199 * H188, "")</f>
        <v>3448.2758620689656</v>
      </c>
      <c r="J188" s="24">
        <v>181</v>
      </c>
      <c r="K188" s="25">
        <f t="shared" si="100"/>
        <v>4.0229885057471264E-2</v>
      </c>
      <c r="L188" s="104">
        <f>IF(ISNUMBER(J188), $B199 * K188, "")</f>
        <v>4022.9885057471265</v>
      </c>
      <c r="M188" s="102">
        <v>179</v>
      </c>
      <c r="N188" s="25">
        <f t="shared" si="101"/>
        <v>2.8735632183908046E-2</v>
      </c>
      <c r="O188" s="104">
        <f>IF(ISNUMBER(M188), $B199 * N188, "")</f>
        <v>2873.5632183908046</v>
      </c>
      <c r="Q188" s="236"/>
      <c r="R188" s="237"/>
      <c r="S188" s="238"/>
    </row>
    <row r="189" spans="1:19">
      <c r="A189" s="161" t="s">
        <v>272</v>
      </c>
      <c r="B189" s="124">
        <v>1340</v>
      </c>
      <c r="C189" s="76">
        <v>-3.9426523300000002E-2</v>
      </c>
      <c r="D189" s="13">
        <v>1380</v>
      </c>
      <c r="E189" s="14">
        <f>IF(ISNUMBER(D189), (D189 - $B189) / $B189, "")</f>
        <v>2.9850746268656716E-2</v>
      </c>
      <c r="F189" s="16">
        <f>IF(ISNUMBER(D189), $B199 * E189, "")</f>
        <v>2985.0746268656717</v>
      </c>
      <c r="G189" s="29">
        <v>1490</v>
      </c>
      <c r="H189" s="14">
        <f>IF(ISNUMBER(G189), (G189 - $B189) / $B189, "")</f>
        <v>0.11194029850746269</v>
      </c>
      <c r="I189" s="100">
        <f>IF(ISNUMBER(G189), $B199 * H189, "")</f>
        <v>11194.029850746268</v>
      </c>
      <c r="J189" s="13">
        <v>1435</v>
      </c>
      <c r="K189" s="14">
        <f>IF(ISNUMBER(J189), (J189 - $B189) / $B189, "")</f>
        <v>7.0895522388059698E-2</v>
      </c>
      <c r="L189" s="16">
        <f>IF(ISNUMBER(J189), $B199 * K189, "")</f>
        <v>7089.5522388059699</v>
      </c>
      <c r="M189" s="29">
        <v>1405</v>
      </c>
      <c r="N189" s="14">
        <f>IF(ISNUMBER(M189), (M189 - $B189) / $B189, "")</f>
        <v>4.8507462686567165E-2</v>
      </c>
      <c r="O189" s="16">
        <f>IF(ISNUMBER(M189), $B199 * N189, "")</f>
        <v>4850.7462686567169</v>
      </c>
      <c r="Q189" s="239"/>
      <c r="R189" s="240"/>
      <c r="S189" s="241"/>
    </row>
    <row r="190" spans="1:19" ht="17.25" thickBot="1">
      <c r="A190" s="162" t="s">
        <v>116</v>
      </c>
      <c r="B190" s="126">
        <v>372</v>
      </c>
      <c r="C190" s="77">
        <v>-4.1237113399999997E-2</v>
      </c>
      <c r="D190" s="15">
        <v>372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378</v>
      </c>
      <c r="H190" s="32">
        <f t="shared" ref="H190:H193" si="103">IF(ISNUMBER(G190), (G190 - $B190) / $B190, "")</f>
        <v>1.6129032258064516E-2</v>
      </c>
      <c r="I190" s="101">
        <f>IF(ISNUMBER(G190), $B199 * H190, "")</f>
        <v>1612.9032258064515</v>
      </c>
      <c r="J190" s="15">
        <v>379</v>
      </c>
      <c r="K190" s="32">
        <f t="shared" ref="K190:K193" si="104">IF(ISNUMBER(J190), (J190 - $B190) / $B190, "")</f>
        <v>1.8817204301075269E-2</v>
      </c>
      <c r="L190" s="18">
        <f>IF(ISNUMBER(J190), $B199 * K190, "")</f>
        <v>1881.7204301075269</v>
      </c>
      <c r="M190" s="31">
        <v>376</v>
      </c>
      <c r="N190" s="32">
        <f t="shared" ref="N190:N193" si="105">IF(ISNUMBER(M190), (M190 - $B190) / $B190, "")</f>
        <v>1.0752688172043012E-2</v>
      </c>
      <c r="O190" s="18">
        <f>IF(ISNUMBER(M190), $B199 * N190, "")</f>
        <v>1075.2688172043011</v>
      </c>
      <c r="Q190" s="242"/>
      <c r="R190" s="243"/>
      <c r="S190" s="244"/>
    </row>
    <row r="191" spans="1:19" ht="17.25" thickBot="1">
      <c r="A191" s="162" t="s">
        <v>264</v>
      </c>
      <c r="B191" s="126">
        <v>85.7</v>
      </c>
      <c r="C191" s="77">
        <v>-4.1387024600000002E-2</v>
      </c>
      <c r="D191" s="15">
        <v>86.5</v>
      </c>
      <c r="E191" s="32">
        <f t="shared" si="102"/>
        <v>9.3348891481913315E-3</v>
      </c>
      <c r="F191" s="18">
        <f>IF(ISNUMBER(D191), $B199 * E191, "")</f>
        <v>933.48891481913313</v>
      </c>
      <c r="G191" s="31">
        <v>87.9</v>
      </c>
      <c r="H191" s="32">
        <f t="shared" si="103"/>
        <v>2.5670945157526288E-2</v>
      </c>
      <c r="I191" s="101">
        <f>IF(ISNUMBER(G191), $B199 * H191, "")</f>
        <v>2567.0945157526289</v>
      </c>
      <c r="J191" s="15">
        <v>88.5</v>
      </c>
      <c r="K191" s="32">
        <f t="shared" si="104"/>
        <v>3.2672112018669743E-2</v>
      </c>
      <c r="L191" s="18">
        <f>IF(ISNUMBER(J191), $B199 * K191, "")</f>
        <v>3267.2112018669741</v>
      </c>
      <c r="M191" s="31">
        <v>87.7</v>
      </c>
      <c r="N191" s="32">
        <f t="shared" si="105"/>
        <v>2.3337222870478413E-2</v>
      </c>
      <c r="O191" s="18">
        <f>IF(ISNUMBER(M191), $B199 * N191, "")</f>
        <v>2333.7222870478413</v>
      </c>
      <c r="Q191" s="235"/>
      <c r="R191" s="235"/>
      <c r="S191" s="235"/>
    </row>
    <row r="192" spans="1:19" ht="17.25" thickBot="1">
      <c r="A192" s="162" t="s">
        <v>126</v>
      </c>
      <c r="B192" s="126">
        <v>27.7</v>
      </c>
      <c r="C192" s="77">
        <v>-4.1522491299999999E-2</v>
      </c>
      <c r="D192" s="15">
        <v>28.7</v>
      </c>
      <c r="E192" s="32">
        <f t="shared" si="102"/>
        <v>3.6101083032490974E-2</v>
      </c>
      <c r="F192" s="18">
        <f>IF(ISNUMBER(D192), $B199 * E192, "")</f>
        <v>3610.1083032490974</v>
      </c>
      <c r="G192" s="31">
        <v>29.4</v>
      </c>
      <c r="H192" s="32">
        <f t="shared" si="103"/>
        <v>6.1371841155234634E-2</v>
      </c>
      <c r="I192" s="101">
        <f>IF(ISNUMBER(G192), $B199 * H192, "")</f>
        <v>6137.1841155234633</v>
      </c>
      <c r="J192" s="15">
        <v>30.3</v>
      </c>
      <c r="K192" s="32">
        <f t="shared" si="104"/>
        <v>9.3862815884476591E-2</v>
      </c>
      <c r="L192" s="18">
        <f>IF(ISNUMBER(J192), $B199 * K192, "")</f>
        <v>9386.2815884476586</v>
      </c>
      <c r="M192" s="31">
        <v>29.6</v>
      </c>
      <c r="N192" s="32">
        <f t="shared" si="105"/>
        <v>6.8592057761732925E-2</v>
      </c>
      <c r="O192" s="18">
        <f>IF(ISNUMBER(M192), $B199 * N192, "")</f>
        <v>6859.2057761732922</v>
      </c>
      <c r="Q192" s="245"/>
      <c r="R192" s="245"/>
      <c r="S192" s="245"/>
    </row>
    <row r="193" spans="1:19" ht="17.25" thickBot="1">
      <c r="A193" s="163" t="s">
        <v>206</v>
      </c>
      <c r="B193" s="128">
        <v>16630</v>
      </c>
      <c r="C193" s="78">
        <v>-4.2050691199999997E-2</v>
      </c>
      <c r="D193" s="20">
        <v>16310</v>
      </c>
      <c r="E193" s="21">
        <f t="shared" si="102"/>
        <v>-1.9242333132892364E-2</v>
      </c>
      <c r="F193" s="22">
        <f>IF(ISNUMBER(D193), $B199 * E193, "")</f>
        <v>-1924.2333132892363</v>
      </c>
      <c r="G193" s="30">
        <v>16600</v>
      </c>
      <c r="H193" s="21">
        <f t="shared" si="103"/>
        <v>-1.8039687312086591E-3</v>
      </c>
      <c r="I193" s="105">
        <f>IF(ISNUMBER(G193), $B199 * H193, "")</f>
        <v>-180.39687312086591</v>
      </c>
      <c r="J193" s="20">
        <v>16500</v>
      </c>
      <c r="K193" s="21">
        <f t="shared" si="104"/>
        <v>-7.8171978352375229E-3</v>
      </c>
      <c r="L193" s="22">
        <f>IF(ISNUMBER(J193), $B199 * K193, "")</f>
        <v>-781.71978352375231</v>
      </c>
      <c r="M193" s="30">
        <v>16590</v>
      </c>
      <c r="N193" s="21">
        <f t="shared" si="105"/>
        <v>-2.4052916416115455E-3</v>
      </c>
      <c r="O193" s="22">
        <f>IF(ISNUMBER(M193), $B199 * N193, "")</f>
        <v>-240.52916416115454</v>
      </c>
      <c r="Q193" s="245"/>
      <c r="R193" s="245"/>
      <c r="S193" s="245"/>
    </row>
    <row r="194" spans="1:19" ht="17.25" thickBot="1">
      <c r="A194" s="162" t="s">
        <v>252</v>
      </c>
      <c r="B194" s="129">
        <v>311</v>
      </c>
      <c r="C194" s="80">
        <v>-4.3076923099999997E-2</v>
      </c>
      <c r="D194" s="106">
        <v>316</v>
      </c>
      <c r="E194" s="107">
        <f>IF(ISNUMBER(D194), (D194 - $B194) / $B194, "")</f>
        <v>1.607717041800643E-2</v>
      </c>
      <c r="F194" s="108">
        <f>IF(ISNUMBER(D194), $B199 * E194, "")</f>
        <v>1607.7170418006431</v>
      </c>
      <c r="G194" s="109">
        <v>321</v>
      </c>
      <c r="H194" s="107">
        <f>IF(ISNUMBER(G194), (G194 - $B194) / $B194, "")</f>
        <v>3.215434083601286E-2</v>
      </c>
      <c r="I194" s="110">
        <f>IF(ISNUMBER(G194), $B199 * H194, "")</f>
        <v>3215.4340836012861</v>
      </c>
      <c r="J194" s="106">
        <v>321</v>
      </c>
      <c r="K194" s="107">
        <f>IF(ISNUMBER(J194), (J194 - $B194) / $B194, "")</f>
        <v>3.215434083601286E-2</v>
      </c>
      <c r="L194" s="108">
        <f>IF(ISNUMBER(J194), $B199 * K194, "")</f>
        <v>3215.4340836012861</v>
      </c>
      <c r="M194" s="109">
        <v>317</v>
      </c>
      <c r="N194" s="107">
        <f>IF(ISNUMBER(M194), (M194 - $B194) / $B194, "")</f>
        <v>1.9292604501607719E-2</v>
      </c>
      <c r="O194" s="108">
        <f>IF(ISNUMBER(M194), $B199 * N194, "")</f>
        <v>1929.2604501607718</v>
      </c>
      <c r="Q194" s="235"/>
      <c r="R194" s="235"/>
      <c r="S194" s="235"/>
    </row>
    <row r="195" spans="1:19" ht="17.25" thickBot="1">
      <c r="A195" s="162" t="s">
        <v>144</v>
      </c>
      <c r="B195" s="126">
        <v>6885</v>
      </c>
      <c r="C195" s="77">
        <v>-4.4413601699999999E-2</v>
      </c>
      <c r="D195" s="15">
        <v>6920</v>
      </c>
      <c r="E195" s="32">
        <f t="shared" ref="E195:E198" si="106">IF(ISNUMBER(D195), (D195 - $B195) / $B195, "")</f>
        <v>5.0835148874364558E-3</v>
      </c>
      <c r="F195" s="18">
        <f>IF(ISNUMBER(D195), $B199 * E195, "")</f>
        <v>508.35148874364558</v>
      </c>
      <c r="G195" s="31">
        <v>6920</v>
      </c>
      <c r="H195" s="32">
        <f t="shared" ref="H195:H198" si="107">IF(ISNUMBER(G195), (G195 - $B195) / $B195, "")</f>
        <v>5.0835148874364558E-3</v>
      </c>
      <c r="I195" s="101">
        <f>IF(ISNUMBER(G195), $B199 * H195, "")</f>
        <v>508.35148874364558</v>
      </c>
      <c r="J195" s="15">
        <v>6945</v>
      </c>
      <c r="K195" s="32">
        <f t="shared" ref="K195:K198" si="108">IF(ISNUMBER(J195), (J195 - $B195) / $B195, "")</f>
        <v>8.7145969498910684E-3</v>
      </c>
      <c r="L195" s="18">
        <f>IF(ISNUMBER(J195), $B199 * K195, "")</f>
        <v>871.45969498910688</v>
      </c>
      <c r="M195" s="31">
        <v>6950</v>
      </c>
      <c r="N195" s="32">
        <f t="shared" ref="N195:N198" si="109">IF(ISNUMBER(M195), (M195 - $B195) / $B195, "")</f>
        <v>9.44081336238199E-3</v>
      </c>
      <c r="O195" s="18">
        <f>IF(ISNUMBER(M195), $B199 * N195, "")</f>
        <v>944.08133623819901</v>
      </c>
      <c r="Q195" s="235"/>
      <c r="R195" s="235"/>
      <c r="S195" s="235"/>
    </row>
    <row r="196" spans="1:19" ht="17.25" thickBot="1">
      <c r="A196" s="162" t="s">
        <v>212</v>
      </c>
      <c r="B196" s="126">
        <v>79.099999999999994</v>
      </c>
      <c r="C196" s="77">
        <v>-4.5838359500000002E-2</v>
      </c>
      <c r="D196" s="15">
        <v>78.8</v>
      </c>
      <c r="E196" s="32">
        <f t="shared" si="106"/>
        <v>-3.7926675094816331E-3</v>
      </c>
      <c r="F196" s="18">
        <f>IF(ISNUMBER(D196), $B199 * E196, "")</f>
        <v>-379.26675094816329</v>
      </c>
      <c r="G196" s="31">
        <v>79.599999999999994</v>
      </c>
      <c r="H196" s="32">
        <f t="shared" si="107"/>
        <v>6.3211125158027818E-3</v>
      </c>
      <c r="I196" s="101">
        <f>IF(ISNUMBER(G196), $B199 * H196, "")</f>
        <v>632.11125158027824</v>
      </c>
      <c r="J196" s="15">
        <v>79.8</v>
      </c>
      <c r="K196" s="32">
        <f t="shared" si="108"/>
        <v>8.8495575221239301E-3</v>
      </c>
      <c r="L196" s="18">
        <f>IF(ISNUMBER(J196), $B199 * K196, "")</f>
        <v>884.95575221239301</v>
      </c>
      <c r="M196" s="31">
        <v>79.599999999999994</v>
      </c>
      <c r="N196" s="32">
        <f t="shared" si="109"/>
        <v>6.3211125158027818E-3</v>
      </c>
      <c r="O196" s="18">
        <f>IF(ISNUMBER(M196), $B199 * N196, "")</f>
        <v>632.11125158027824</v>
      </c>
      <c r="Q196" s="235"/>
      <c r="R196" s="235"/>
      <c r="S196" s="235"/>
    </row>
    <row r="197" spans="1:19">
      <c r="A197" s="162" t="s">
        <v>67</v>
      </c>
      <c r="B197" s="126">
        <v>5535</v>
      </c>
      <c r="C197" s="77">
        <v>-4.7332185899999997E-2</v>
      </c>
      <c r="D197" s="15">
        <v>5765</v>
      </c>
      <c r="E197" s="32">
        <f t="shared" si="106"/>
        <v>4.1553748870822041E-2</v>
      </c>
      <c r="F197" s="18">
        <f>IF(ISNUMBER(D197), $B199 * E197, "")</f>
        <v>4155.3748870822037</v>
      </c>
      <c r="G197" s="31">
        <v>6170</v>
      </c>
      <c r="H197" s="32">
        <f t="shared" si="107"/>
        <v>0.11472448057813911</v>
      </c>
      <c r="I197" s="101">
        <f>IF(ISNUMBER(G197), $B199 * H197, "")</f>
        <v>11472.448057813912</v>
      </c>
      <c r="J197" s="15">
        <v>5850</v>
      </c>
      <c r="K197" s="32">
        <f t="shared" si="108"/>
        <v>5.6910569105691054E-2</v>
      </c>
      <c r="L197" s="18">
        <f>IF(ISNUMBER(J197), $B199 * K197, "")</f>
        <v>5691.0569105691056</v>
      </c>
      <c r="M197" s="31">
        <v>5665</v>
      </c>
      <c r="N197" s="32">
        <f t="shared" si="109"/>
        <v>2.3486901535682024E-2</v>
      </c>
      <c r="O197" s="18">
        <f>IF(ISNUMBER(M197), $B199 * N197, "")</f>
        <v>2348.6901535682023</v>
      </c>
      <c r="Q197" s="224"/>
      <c r="R197" s="225"/>
      <c r="S197" s="226"/>
    </row>
    <row r="198" spans="1:19" ht="17.25" thickBot="1">
      <c r="A198" s="130" t="s">
        <v>76</v>
      </c>
      <c r="B198" s="131">
        <v>31910</v>
      </c>
      <c r="C198" s="79">
        <v>-4.8882265299999998E-2</v>
      </c>
      <c r="D198" s="24">
        <v>32170</v>
      </c>
      <c r="E198" s="25">
        <f t="shared" si="106"/>
        <v>8.1479160137887807E-3</v>
      </c>
      <c r="F198" s="104">
        <f>IF(ISNUMBER(D198), $B199 * E198, "")</f>
        <v>814.79160137887811</v>
      </c>
      <c r="G198" s="102">
        <v>32350</v>
      </c>
      <c r="H198" s="25">
        <f t="shared" si="107"/>
        <v>1.3788780946411783E-2</v>
      </c>
      <c r="I198" s="103">
        <f>IF(ISNUMBER(G198), $B199 * H198, "")</f>
        <v>1378.8780946411782</v>
      </c>
      <c r="J198" s="24">
        <v>32110</v>
      </c>
      <c r="K198" s="25">
        <f t="shared" si="108"/>
        <v>6.2676277029144467E-3</v>
      </c>
      <c r="L198" s="104">
        <f>IF(ISNUMBER(J198), $B199 * K198, "")</f>
        <v>626.76277029144467</v>
      </c>
      <c r="M198" s="102">
        <v>32040</v>
      </c>
      <c r="N198" s="25">
        <f t="shared" si="109"/>
        <v>4.0739580068943904E-3</v>
      </c>
      <c r="O198" s="104">
        <f>IF(ISNUMBER(M198), $B199 * N198, "")</f>
        <v>407.39580068943906</v>
      </c>
      <c r="Q198" s="227"/>
      <c r="R198" s="228"/>
      <c r="S198" s="229"/>
    </row>
    <row r="199" spans="1:19" ht="17.25" thickBot="1">
      <c r="A199" s="132" t="s">
        <v>300</v>
      </c>
      <c r="B199" s="288">
        <f>$B$37</f>
        <v>100000</v>
      </c>
      <c r="C199" s="289"/>
      <c r="D199" s="26" t="s">
        <v>301</v>
      </c>
      <c r="E199" s="27">
        <f>IF(COUNT(E179:E198), SUM(E179:E198) / COUNT(E179:E198), 0)</f>
        <v>8.8483104636756064E-3</v>
      </c>
      <c r="F199" s="28">
        <f>SUM(F179:F198)</f>
        <v>17696.620927351207</v>
      </c>
      <c r="G199" s="26" t="s">
        <v>301</v>
      </c>
      <c r="H199" s="27">
        <f>IF(COUNT(H179:H198), SUM(H179:H198) / COUNT(H179:H198), 0)</f>
        <v>3.0754944767205646E-2</v>
      </c>
      <c r="I199" s="28">
        <f>SUM(I179:I198)</f>
        <v>61509.889534411297</v>
      </c>
      <c r="J199" s="26" t="s">
        <v>301</v>
      </c>
      <c r="K199" s="27">
        <f>IF(COUNT(K179:K198), SUM(K179:K198) / COUNT(K179:K198), 0)</f>
        <v>2.932816310358391E-2</v>
      </c>
      <c r="L199" s="28">
        <f>SUM(L179:L198)</f>
        <v>58656.326207167825</v>
      </c>
      <c r="M199" s="26" t="s">
        <v>301</v>
      </c>
      <c r="N199" s="27">
        <f>IF(COUNT(N179:N198), SUM(N179:N198) / COUNT(N179:N198), 0)</f>
        <v>1.9938872588639679E-2</v>
      </c>
      <c r="O199" s="28">
        <f>SUM(O179:O198)</f>
        <v>39877.74517727935</v>
      </c>
      <c r="Q199" s="230"/>
      <c r="R199" s="231"/>
      <c r="S199" s="232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9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47" priority="157">
      <formula>AND($N17 &gt; 0, ISNUMBER($N17))</formula>
    </cfRule>
    <cfRule type="expression" dxfId="1946" priority="158">
      <formula>AND($N17 = 0 * ISNUMBER($N17))</formula>
    </cfRule>
    <cfRule type="expression" dxfId="1945" priority="159">
      <formula>AND($N17 &lt; 0, ISNUMBER($N17))</formula>
    </cfRule>
  </conditionalFormatting>
  <conditionalFormatting sqref="A17:F36">
    <cfRule type="expression" dxfId="1944" priority="166">
      <formula>AND($E17 &gt; 0, ISNUMBER($E17))</formula>
    </cfRule>
    <cfRule type="expression" dxfId="1943" priority="167">
      <formula>AND($E17 = 0 * ISNUMBER($E17))</formula>
    </cfRule>
    <cfRule type="expression" dxfId="1942" priority="168">
      <formula>AND($E17 &lt; 0, ISNUMBER($E17))</formula>
    </cfRule>
  </conditionalFormatting>
  <conditionalFormatting sqref="A17:C36 G17:I36">
    <cfRule type="expression" dxfId="1941" priority="163">
      <formula>AND($H17 &gt; 0, ISNUMBER($H17))</formula>
    </cfRule>
    <cfRule type="expression" dxfId="1940" priority="164">
      <formula>AND($H17 = 0 * ISNUMBER($H17))</formula>
    </cfRule>
    <cfRule type="expression" dxfId="1939" priority="165">
      <formula>AND($H17 &lt; 0, ISNUMBER($H17))</formula>
    </cfRule>
  </conditionalFormatting>
  <conditionalFormatting sqref="A17:C36 J17:L36">
    <cfRule type="expression" dxfId="1938" priority="160">
      <formula>AND($K17 &gt; 0, ISNUMBER($K17))</formula>
    </cfRule>
    <cfRule type="expression" dxfId="1937" priority="161">
      <formula>AND($K17 = 0 * ISNUMBER($K17))</formula>
    </cfRule>
    <cfRule type="expression" dxfId="1936" priority="162">
      <formula>AND($K17 &lt; 0, ISNUMBER($K17))</formula>
    </cfRule>
  </conditionalFormatting>
  <conditionalFormatting sqref="D15:F16 E37:F37">
    <cfRule type="expression" dxfId="1935" priority="154">
      <formula>$E$37 &gt; 0</formula>
    </cfRule>
    <cfRule type="expression" dxfId="1934" priority="155">
      <formula>$E$37 = 0</formula>
    </cfRule>
    <cfRule type="expression" dxfId="1933" priority="156">
      <formula>$E$37 &lt; 0</formula>
    </cfRule>
  </conditionalFormatting>
  <conditionalFormatting sqref="G15:I16 H37:I37">
    <cfRule type="expression" dxfId="1932" priority="151">
      <formula>$H$37 &gt; 0</formula>
    </cfRule>
    <cfRule type="expression" dxfId="1931" priority="152">
      <formula>$H$37 = 0</formula>
    </cfRule>
    <cfRule type="expression" dxfId="1930" priority="153">
      <formula>$H$37 &lt; 0</formula>
    </cfRule>
  </conditionalFormatting>
  <conditionalFormatting sqref="J15:L16 K37:L37">
    <cfRule type="expression" dxfId="1929" priority="148">
      <formula>$K$37 &gt; 0</formula>
    </cfRule>
    <cfRule type="expression" dxfId="1928" priority="149">
      <formula>$K$37 = 0</formula>
    </cfRule>
    <cfRule type="expression" dxfId="1927" priority="150">
      <formula>$K$37 &lt; 0</formula>
    </cfRule>
  </conditionalFormatting>
  <conditionalFormatting sqref="M15:O16 N37:O37">
    <cfRule type="expression" dxfId="1926" priority="145">
      <formula>$N$37 &gt; 0</formula>
    </cfRule>
    <cfRule type="expression" dxfId="1925" priority="146">
      <formula>$N$37 = 0</formula>
    </cfRule>
    <cfRule type="expression" dxfId="1924" priority="147">
      <formula>$N$37 &lt; 0</formula>
    </cfRule>
  </conditionalFormatting>
  <conditionalFormatting sqref="A44:C63 M44:O63">
    <cfRule type="expression" dxfId="1923" priority="133">
      <formula>AND($N44 &gt; 0, ISNUMBER($N44))</formula>
    </cfRule>
    <cfRule type="expression" dxfId="1922" priority="134">
      <formula>AND($N44 = 0 * ISNUMBER($N44))</formula>
    </cfRule>
    <cfRule type="expression" dxfId="1921" priority="135">
      <formula>AND($N44 &lt; 0, ISNUMBER($N44))</formula>
    </cfRule>
  </conditionalFormatting>
  <conditionalFormatting sqref="A44:F63">
    <cfRule type="expression" dxfId="1920" priority="142">
      <formula>AND($E44 &gt; 0, ISNUMBER($E44))</formula>
    </cfRule>
    <cfRule type="expression" dxfId="1919" priority="143">
      <formula>AND($E44 = 0 * ISNUMBER($E44))</formula>
    </cfRule>
    <cfRule type="expression" dxfId="1918" priority="144">
      <formula>AND($E44 &lt; 0, ISNUMBER($E44))</formula>
    </cfRule>
  </conditionalFormatting>
  <conditionalFormatting sqref="A44:C63 G44:I63">
    <cfRule type="expression" dxfId="1917" priority="139">
      <formula>AND($H44 &gt; 0, ISNUMBER($H44))</formula>
    </cfRule>
    <cfRule type="expression" dxfId="1916" priority="140">
      <formula>AND($H44 = 0 * ISNUMBER($H44))</formula>
    </cfRule>
    <cfRule type="expression" dxfId="1915" priority="141">
      <formula>AND($H44 &lt; 0, ISNUMBER($H44))</formula>
    </cfRule>
  </conditionalFormatting>
  <conditionalFormatting sqref="A44:C63 J44:L63">
    <cfRule type="expression" dxfId="1914" priority="136">
      <formula>AND($K44 &gt; 0, ISNUMBER($K44))</formula>
    </cfRule>
    <cfRule type="expression" dxfId="1913" priority="137">
      <formula>AND($K44 = 0 * ISNUMBER($K44))</formula>
    </cfRule>
    <cfRule type="expression" dxfId="1912" priority="138">
      <formula>AND($K44 &lt; 0, ISNUMBER($K44))</formula>
    </cfRule>
  </conditionalFormatting>
  <conditionalFormatting sqref="D42:F43 E64:F64">
    <cfRule type="expression" dxfId="1911" priority="130">
      <formula>$E$64 &gt; 0</formula>
    </cfRule>
    <cfRule type="expression" dxfId="1910" priority="131">
      <formula>$E$64 = 0</formula>
    </cfRule>
    <cfRule type="expression" dxfId="1909" priority="132">
      <formula>$E$64 &lt; 0</formula>
    </cfRule>
  </conditionalFormatting>
  <conditionalFormatting sqref="G42:I43 H64:I64">
    <cfRule type="expression" dxfId="1908" priority="127">
      <formula>$H$64 &gt; 0</formula>
    </cfRule>
    <cfRule type="expression" dxfId="1907" priority="128">
      <formula>$H$64 = 0</formula>
    </cfRule>
    <cfRule type="expression" dxfId="1906" priority="129">
      <formula>$H$64 &lt; 0</formula>
    </cfRule>
  </conditionalFormatting>
  <conditionalFormatting sqref="J42:L43 K64:L64">
    <cfRule type="expression" dxfId="1905" priority="124">
      <formula>$K$64 &gt; 0</formula>
    </cfRule>
    <cfRule type="expression" dxfId="1904" priority="125">
      <formula>$K$64 = 0</formula>
    </cfRule>
    <cfRule type="expression" dxfId="1903" priority="126">
      <formula>$K$64 &lt; 0</formula>
    </cfRule>
  </conditionalFormatting>
  <conditionalFormatting sqref="M42:O43 N64:O64">
    <cfRule type="expression" dxfId="1902" priority="121">
      <formula>$N$64 &gt; 0</formula>
    </cfRule>
    <cfRule type="expression" dxfId="1901" priority="122">
      <formula>$N$64 = 0</formula>
    </cfRule>
    <cfRule type="expression" dxfId="1900" priority="123">
      <formula>$N$64 &lt; 0</formula>
    </cfRule>
  </conditionalFormatting>
  <conditionalFormatting sqref="A71:C90 M71:O90">
    <cfRule type="expression" dxfId="1899" priority="109">
      <formula>AND($N71 &gt; 0, ISNUMBER($N71))</formula>
    </cfRule>
    <cfRule type="expression" dxfId="1898" priority="110">
      <formula>AND($N71 = 0 * ISNUMBER($N71))</formula>
    </cfRule>
    <cfRule type="expression" dxfId="1897" priority="111">
      <formula>AND($N71 &lt; 0, ISNUMBER($N71))</formula>
    </cfRule>
  </conditionalFormatting>
  <conditionalFormatting sqref="A71:F90">
    <cfRule type="expression" dxfId="1896" priority="118">
      <formula>AND($E71 &gt; 0, ISNUMBER($E71))</formula>
    </cfRule>
    <cfRule type="expression" dxfId="1895" priority="119">
      <formula>AND($E71 = 0 * ISNUMBER($E71))</formula>
    </cfRule>
    <cfRule type="expression" dxfId="1894" priority="120">
      <formula>AND($E71 &lt; 0, ISNUMBER($E71))</formula>
    </cfRule>
  </conditionalFormatting>
  <conditionalFormatting sqref="A71:C90 G71:I90">
    <cfRule type="expression" dxfId="1893" priority="115">
      <formula>AND($H71 &gt; 0, ISNUMBER($H71))</formula>
    </cfRule>
    <cfRule type="expression" dxfId="1892" priority="116">
      <formula>AND($H71 = 0 * ISNUMBER($H71))</formula>
    </cfRule>
    <cfRule type="expression" dxfId="1891" priority="117">
      <formula>AND($H71 &lt; 0, ISNUMBER($H71))</formula>
    </cfRule>
  </conditionalFormatting>
  <conditionalFormatting sqref="A71:C90 J71:L90">
    <cfRule type="expression" dxfId="1890" priority="112">
      <formula>AND($K71 &gt; 0, ISNUMBER($K71))</formula>
    </cfRule>
    <cfRule type="expression" dxfId="1889" priority="113">
      <formula>AND($K71 = 0 * ISNUMBER($K71))</formula>
    </cfRule>
    <cfRule type="expression" dxfId="1888" priority="114">
      <formula>AND($K71 &lt; 0, ISNUMBER($K71))</formula>
    </cfRule>
  </conditionalFormatting>
  <conditionalFormatting sqref="D69:F70 E91:F91">
    <cfRule type="expression" dxfId="1887" priority="106">
      <formula>$E$91 &gt; 0</formula>
    </cfRule>
    <cfRule type="expression" dxfId="1886" priority="107">
      <formula>$E$91 = 0</formula>
    </cfRule>
    <cfRule type="expression" dxfId="1885" priority="108">
      <formula>$E$91 &lt; 0</formula>
    </cfRule>
  </conditionalFormatting>
  <conditionalFormatting sqref="G69:I70 H91:I91">
    <cfRule type="expression" dxfId="1884" priority="103">
      <formula>$H$91 &gt; 0</formula>
    </cfRule>
    <cfRule type="expression" dxfId="1883" priority="104">
      <formula>$H$91 = 0</formula>
    </cfRule>
    <cfRule type="expression" dxfId="1882" priority="105">
      <formula>$H$91 &lt; 0</formula>
    </cfRule>
  </conditionalFormatting>
  <conditionalFormatting sqref="J69:L70 K91:L91">
    <cfRule type="expression" dxfId="1881" priority="100">
      <formula>$K$91 &gt; 0</formula>
    </cfRule>
    <cfRule type="expression" dxfId="1880" priority="101">
      <formula>$K$91 = 0</formula>
    </cfRule>
    <cfRule type="expression" dxfId="1879" priority="102">
      <formula>$K$91 &lt; 0</formula>
    </cfRule>
  </conditionalFormatting>
  <conditionalFormatting sqref="M69:O70 N91:O91">
    <cfRule type="expression" dxfId="1878" priority="97">
      <formula>$N$91 &gt; 0</formula>
    </cfRule>
    <cfRule type="expression" dxfId="1877" priority="98">
      <formula>$N$91 = 0</formula>
    </cfRule>
    <cfRule type="expression" dxfId="1876" priority="99">
      <formula>$N$91 &lt; 0</formula>
    </cfRule>
  </conditionalFormatting>
  <conditionalFormatting sqref="A98:C117 M98:O117">
    <cfRule type="expression" dxfId="1875" priority="85">
      <formula>AND($N98 &gt; 0, ISNUMBER($N98))</formula>
    </cfRule>
    <cfRule type="expression" dxfId="1874" priority="86">
      <formula>AND($N98 = 0 * ISNUMBER($N98))</formula>
    </cfRule>
    <cfRule type="expression" dxfId="1873" priority="87">
      <formula>AND($N98 &lt; 0, ISNUMBER($N98))</formula>
    </cfRule>
  </conditionalFormatting>
  <conditionalFormatting sqref="A98:F117">
    <cfRule type="expression" dxfId="1872" priority="94">
      <formula>AND($E98 &gt; 0, ISNUMBER($E98))</formula>
    </cfRule>
    <cfRule type="expression" dxfId="1871" priority="95">
      <formula>AND($E98 = 0 * ISNUMBER($E98))</formula>
    </cfRule>
    <cfRule type="expression" dxfId="1870" priority="96">
      <formula>AND($E98 &lt; 0, ISNUMBER($E98))</formula>
    </cfRule>
  </conditionalFormatting>
  <conditionalFormatting sqref="A98:C117 G98:I117">
    <cfRule type="expression" dxfId="1869" priority="91">
      <formula>AND($H98 &gt; 0, ISNUMBER($H98))</formula>
    </cfRule>
    <cfRule type="expression" dxfId="1868" priority="92">
      <formula>AND($H98 = 0 * ISNUMBER($H98))</formula>
    </cfRule>
    <cfRule type="expression" dxfId="1867" priority="93">
      <formula>AND($H98 &lt; 0, ISNUMBER($H98))</formula>
    </cfRule>
  </conditionalFormatting>
  <conditionalFormatting sqref="A98:C117 J98:L117">
    <cfRule type="expression" dxfId="1866" priority="88">
      <formula>AND($K98 &gt; 0, ISNUMBER($K98))</formula>
    </cfRule>
    <cfRule type="expression" dxfId="1865" priority="89">
      <formula>AND($K98 = 0 * ISNUMBER($K98))</formula>
    </cfRule>
    <cfRule type="expression" dxfId="1864" priority="90">
      <formula>AND($K98 &lt; 0, ISNUMBER($K98))</formula>
    </cfRule>
  </conditionalFormatting>
  <conditionalFormatting sqref="D96:F97 E118:F118">
    <cfRule type="expression" dxfId="1863" priority="82">
      <formula>$E$118 &gt; 0</formula>
    </cfRule>
    <cfRule type="expression" dxfId="1862" priority="83">
      <formula>$E$118 = 0</formula>
    </cfRule>
    <cfRule type="expression" dxfId="1861" priority="84">
      <formula>$E$118 &lt; 0</formula>
    </cfRule>
  </conditionalFormatting>
  <conditionalFormatting sqref="G96:I97 H118:I118">
    <cfRule type="expression" dxfId="1860" priority="79">
      <formula>$H$118 &gt; 0</formula>
    </cfRule>
    <cfRule type="expression" dxfId="1859" priority="80">
      <formula>$H$118 = 0</formula>
    </cfRule>
    <cfRule type="expression" dxfId="1858" priority="81">
      <formula>$H$118 &lt; 0</formula>
    </cfRule>
  </conditionalFormatting>
  <conditionalFormatting sqref="J96:L97 K118:L118">
    <cfRule type="expression" dxfId="1857" priority="76">
      <formula>$K$118 &gt; 0</formula>
    </cfRule>
    <cfRule type="expression" dxfId="1856" priority="77">
      <formula>$K$118 = 0</formula>
    </cfRule>
    <cfRule type="expression" dxfId="1855" priority="78">
      <formula>$K$118 &lt; 0</formula>
    </cfRule>
  </conditionalFormatting>
  <conditionalFormatting sqref="M96:O97 N118:O118">
    <cfRule type="expression" dxfId="1854" priority="73">
      <formula>$N$118 &gt; 0</formula>
    </cfRule>
    <cfRule type="expression" dxfId="1853" priority="74">
      <formula>$N$118 = 0</formula>
    </cfRule>
    <cfRule type="expression" dxfId="1852" priority="75">
      <formula>$N$118 &lt; 0</formula>
    </cfRule>
  </conditionalFormatting>
  <conditionalFormatting sqref="A125:C144 M125:O144">
    <cfRule type="expression" dxfId="1851" priority="61">
      <formula>AND($N125 &gt; 0, ISNUMBER($N125))</formula>
    </cfRule>
    <cfRule type="expression" dxfId="1850" priority="62">
      <formula>AND($N125 = 0 * ISNUMBER($N125))</formula>
    </cfRule>
    <cfRule type="expression" dxfId="1849" priority="63">
      <formula>AND($N125 &lt; 0, ISNUMBER($N125))</formula>
    </cfRule>
  </conditionalFormatting>
  <conditionalFormatting sqref="A125:F144">
    <cfRule type="expression" dxfId="1848" priority="70">
      <formula>AND($E125 &gt; 0, ISNUMBER($E125))</formula>
    </cfRule>
    <cfRule type="expression" dxfId="1847" priority="71">
      <formula>AND($E125 = 0 * ISNUMBER($E125))</formula>
    </cfRule>
    <cfRule type="expression" dxfId="1846" priority="72">
      <formula>AND($E125 &lt; 0, ISNUMBER($E125))</formula>
    </cfRule>
  </conditionalFormatting>
  <conditionalFormatting sqref="A125:C144 G125:I144">
    <cfRule type="expression" dxfId="1845" priority="67">
      <formula>AND($H125 &gt; 0, ISNUMBER($H125))</formula>
    </cfRule>
    <cfRule type="expression" dxfId="1844" priority="68">
      <formula>AND($H125 = 0 * ISNUMBER($H125))</formula>
    </cfRule>
    <cfRule type="expression" dxfId="1843" priority="69">
      <formula>AND($H125 &lt; 0, ISNUMBER($H125))</formula>
    </cfRule>
  </conditionalFormatting>
  <conditionalFormatting sqref="A125:C144 J125:L144">
    <cfRule type="expression" dxfId="1842" priority="64">
      <formula>AND($K125 &gt; 0, ISNUMBER($K125))</formula>
    </cfRule>
    <cfRule type="expression" dxfId="1841" priority="65">
      <formula>AND($K125 = 0 * ISNUMBER($K125))</formula>
    </cfRule>
    <cfRule type="expression" dxfId="1840" priority="66">
      <formula>AND($K125 &lt; 0, ISNUMBER($K125))</formula>
    </cfRule>
  </conditionalFormatting>
  <conditionalFormatting sqref="D123:F124 E145:F145">
    <cfRule type="expression" dxfId="1839" priority="58">
      <formula>$E$145 &gt; 0</formula>
    </cfRule>
    <cfRule type="expression" dxfId="1838" priority="59">
      <formula>$E$145 = 0</formula>
    </cfRule>
    <cfRule type="expression" dxfId="1837" priority="60">
      <formula>$E$145 &lt; 0</formula>
    </cfRule>
  </conditionalFormatting>
  <conditionalFormatting sqref="G123:I124 H145:I145">
    <cfRule type="expression" dxfId="1836" priority="55">
      <formula>$H$145 &gt; 0</formula>
    </cfRule>
    <cfRule type="expression" dxfId="1835" priority="56">
      <formula>$H$145 = 0</formula>
    </cfRule>
    <cfRule type="expression" dxfId="1834" priority="57">
      <formula>$H$145 &lt; 0</formula>
    </cfRule>
  </conditionalFormatting>
  <conditionalFormatting sqref="J123:L124 K145:L145">
    <cfRule type="expression" dxfId="1833" priority="52">
      <formula>$K$145 &gt; 0</formula>
    </cfRule>
    <cfRule type="expression" dxfId="1832" priority="53">
      <formula>$K$145 = 0</formula>
    </cfRule>
    <cfRule type="expression" dxfId="1831" priority="54">
      <formula>$K$145 &lt; 0</formula>
    </cfRule>
  </conditionalFormatting>
  <conditionalFormatting sqref="M123:O124 N145:O145">
    <cfRule type="expression" dxfId="1830" priority="49">
      <formula>$N$145 &gt; 0</formula>
    </cfRule>
    <cfRule type="expression" dxfId="1829" priority="50">
      <formula>$N$145 = 0</formula>
    </cfRule>
    <cfRule type="expression" dxfId="1828" priority="51">
      <formula>$N$145 &lt; 0</formula>
    </cfRule>
  </conditionalFormatting>
  <conditionalFormatting sqref="A152:C171 M152:O171">
    <cfRule type="expression" dxfId="1827" priority="37">
      <formula>AND($N152 &gt; 0, ISNUMBER($N152))</formula>
    </cfRule>
    <cfRule type="expression" dxfId="1826" priority="38">
      <formula>AND($N152 = 0 * ISNUMBER($N152))</formula>
    </cfRule>
    <cfRule type="expression" dxfId="1825" priority="39">
      <formula>AND($N152 &lt; 0, ISNUMBER($N152))</formula>
    </cfRule>
  </conditionalFormatting>
  <conditionalFormatting sqref="A152:F171">
    <cfRule type="expression" dxfId="1824" priority="46">
      <formula>AND($E152 &gt; 0, ISNUMBER($E152))</formula>
    </cfRule>
    <cfRule type="expression" dxfId="1823" priority="47">
      <formula>AND($E152 = 0 * ISNUMBER($E152))</formula>
    </cfRule>
    <cfRule type="expression" dxfId="1822" priority="48">
      <formula>AND($E152 &lt; 0, ISNUMBER($E152))</formula>
    </cfRule>
  </conditionalFormatting>
  <conditionalFormatting sqref="A152:C171 G152:I171">
    <cfRule type="expression" dxfId="1821" priority="43">
      <formula>AND($H152 &gt; 0, ISNUMBER($H152))</formula>
    </cfRule>
    <cfRule type="expression" dxfId="1820" priority="44">
      <formula>AND($H152 = 0 * ISNUMBER($H152))</formula>
    </cfRule>
    <cfRule type="expression" dxfId="1819" priority="45">
      <formula>AND($H152 &lt; 0, ISNUMBER($H152))</formula>
    </cfRule>
  </conditionalFormatting>
  <conditionalFormatting sqref="A152:C171 J152:L171">
    <cfRule type="expression" dxfId="1818" priority="40">
      <formula>AND($K152 &gt; 0, ISNUMBER($K152))</formula>
    </cfRule>
    <cfRule type="expression" dxfId="1817" priority="41">
      <formula>AND($K152 = 0 * ISNUMBER($K152))</formula>
    </cfRule>
    <cfRule type="expression" dxfId="1816" priority="42">
      <formula>AND($K152 &lt; 0, ISNUMBER($K152))</formula>
    </cfRule>
  </conditionalFormatting>
  <conditionalFormatting sqref="D150:F151 E172:F172">
    <cfRule type="expression" dxfId="1815" priority="34">
      <formula>$E$172 &gt; 0</formula>
    </cfRule>
    <cfRule type="expression" dxfId="1814" priority="35">
      <formula>$E$172 = 0</formula>
    </cfRule>
    <cfRule type="expression" dxfId="1813" priority="36">
      <formula>$E$172 &lt; 0</formula>
    </cfRule>
  </conditionalFormatting>
  <conditionalFormatting sqref="G150:I151 H172:I172">
    <cfRule type="expression" dxfId="1812" priority="31">
      <formula>$H$172 &gt; 0</formula>
    </cfRule>
    <cfRule type="expression" dxfId="1811" priority="32">
      <formula>$H$172 = 0</formula>
    </cfRule>
    <cfRule type="expression" dxfId="1810" priority="33">
      <formula>$H$172 &lt; 0</formula>
    </cfRule>
  </conditionalFormatting>
  <conditionalFormatting sqref="J150:L151 K172:L172">
    <cfRule type="expression" dxfId="1809" priority="28">
      <formula>$K$172 &gt; 0</formula>
    </cfRule>
    <cfRule type="expression" dxfId="1808" priority="29">
      <formula>$K$172 = 0</formula>
    </cfRule>
    <cfRule type="expression" dxfId="1807" priority="30">
      <formula>$K$172 &lt; 0</formula>
    </cfRule>
  </conditionalFormatting>
  <conditionalFormatting sqref="M150:O151 N172:O172">
    <cfRule type="expression" dxfId="1806" priority="25">
      <formula>$N$172 &gt; 0</formula>
    </cfRule>
    <cfRule type="expression" dxfId="1805" priority="26">
      <formula>$N$172 = 0</formula>
    </cfRule>
    <cfRule type="expression" dxfId="1804" priority="27">
      <formula>$N$172 &lt; 0</formula>
    </cfRule>
  </conditionalFormatting>
  <conditionalFormatting sqref="A179:C198 M179:O198">
    <cfRule type="expression" dxfId="1803" priority="13">
      <formula>AND($N179 &gt; 0, ISNUMBER($N179))</formula>
    </cfRule>
    <cfRule type="expression" dxfId="1802" priority="14">
      <formula>AND($N179 = 0 * ISNUMBER($N179))</formula>
    </cfRule>
    <cfRule type="expression" dxfId="1801" priority="15">
      <formula>AND($N179 &lt; 0, ISNUMBER($N179))</formula>
    </cfRule>
  </conditionalFormatting>
  <conditionalFormatting sqref="A179:F198">
    <cfRule type="expression" dxfId="1800" priority="22">
      <formula>AND($E179 &gt; 0, ISNUMBER($E179))</formula>
    </cfRule>
    <cfRule type="expression" dxfId="1799" priority="23">
      <formula>AND($E179 = 0 * ISNUMBER($E179))</formula>
    </cfRule>
    <cfRule type="expression" dxfId="1798" priority="24">
      <formula>AND($E179 &lt; 0, ISNUMBER($E179))</formula>
    </cfRule>
  </conditionalFormatting>
  <conditionalFormatting sqref="A179:C198 G179:I198">
    <cfRule type="expression" dxfId="1797" priority="19">
      <formula>AND($H179 &gt; 0, ISNUMBER($H179))</formula>
    </cfRule>
    <cfRule type="expression" dxfId="1796" priority="20">
      <formula>AND($H179 = 0 * ISNUMBER($H179))</formula>
    </cfRule>
    <cfRule type="expression" dxfId="1795" priority="21">
      <formula>AND($H179 &lt; 0, ISNUMBER($H179))</formula>
    </cfRule>
  </conditionalFormatting>
  <conditionalFormatting sqref="A179:C198 J179:L198">
    <cfRule type="expression" dxfId="1794" priority="16">
      <formula>AND($K179 &gt; 0, ISNUMBER($K179))</formula>
    </cfRule>
    <cfRule type="expression" dxfId="1793" priority="17">
      <formula>AND($K179 = 0 * ISNUMBER($K179))</formula>
    </cfRule>
    <cfRule type="expression" dxfId="1792" priority="18">
      <formula>AND($K179 &lt; 0, ISNUMBER($K179))</formula>
    </cfRule>
  </conditionalFormatting>
  <conditionalFormatting sqref="D177:F178 E199:F199">
    <cfRule type="expression" dxfId="1791" priority="10">
      <formula>$E$199 &gt; 0</formula>
    </cfRule>
    <cfRule type="expression" dxfId="1790" priority="11">
      <formula>$E$199 = 0</formula>
    </cfRule>
    <cfRule type="expression" dxfId="1789" priority="12">
      <formula>$E$199 &lt; 0</formula>
    </cfRule>
  </conditionalFormatting>
  <conditionalFormatting sqref="G177:I178 H199:I199">
    <cfRule type="expression" dxfId="1788" priority="7">
      <formula>$H$199 &gt; 0</formula>
    </cfRule>
    <cfRule type="expression" dxfId="1787" priority="8">
      <formula>$H$199 = 0</formula>
    </cfRule>
    <cfRule type="expression" dxfId="1786" priority="9">
      <formula>$H$199 &lt; 0</formula>
    </cfRule>
  </conditionalFormatting>
  <conditionalFormatting sqref="J177:L178 K199:L199">
    <cfRule type="expression" dxfId="1785" priority="4">
      <formula>$K$199 &gt; 0</formula>
    </cfRule>
    <cfRule type="expression" dxfId="1784" priority="5">
      <formula>$K$199 = 0</formula>
    </cfRule>
    <cfRule type="expression" dxfId="1783" priority="6">
      <formula>$K$199 &lt; 0</formula>
    </cfRule>
  </conditionalFormatting>
  <conditionalFormatting sqref="M177:O178 N199:O199">
    <cfRule type="expression" dxfId="1782" priority="1">
      <formula>$N$199 &gt; 0</formula>
    </cfRule>
    <cfRule type="expression" dxfId="1781" priority="2">
      <formula>$N$199 = 0</formula>
    </cfRule>
    <cfRule type="expression" dxfId="17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CF281-AE9A-4447-9AF3-766BE4B2ED77}">
  <sheetPr codeName="Sheet13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7.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6" t="s">
        <v>0</v>
      </c>
      <c r="B1" s="247"/>
      <c r="C1" s="247"/>
      <c r="D1" s="247"/>
      <c r="E1" s="247"/>
      <c r="F1" s="248"/>
      <c r="G1" s="277">
        <v>44354</v>
      </c>
      <c r="H1" s="278"/>
      <c r="I1" s="279"/>
      <c r="J1" s="246" t="s">
        <v>1</v>
      </c>
      <c r="K1" s="247"/>
      <c r="L1" s="247"/>
      <c r="M1" s="247"/>
      <c r="N1" s="247"/>
      <c r="O1" s="248"/>
      <c r="Q1" s="246" t="s">
        <v>2</v>
      </c>
      <c r="R1" s="248"/>
    </row>
    <row r="2" spans="1:19" ht="17.25" customHeight="1">
      <c r="A2" s="117" t="s">
        <v>3</v>
      </c>
      <c r="B2" s="280" t="s">
        <v>8</v>
      </c>
      <c r="C2" s="281"/>
      <c r="D2" s="281"/>
      <c r="E2" s="281"/>
      <c r="F2" s="282"/>
      <c r="G2" s="274" t="s">
        <v>46</v>
      </c>
      <c r="H2" s="275"/>
      <c r="I2" s="276"/>
      <c r="J2" s="1" t="s">
        <v>3</v>
      </c>
      <c r="K2" s="280" t="s">
        <v>350</v>
      </c>
      <c r="L2" s="281"/>
      <c r="M2" s="281"/>
      <c r="N2" s="281"/>
      <c r="O2" s="282"/>
      <c r="Q2" s="2" t="s">
        <v>6</v>
      </c>
      <c r="R2" s="3">
        <v>0.375</v>
      </c>
    </row>
    <row r="3" spans="1:19" ht="17.25" customHeight="1" thickBot="1">
      <c r="A3" s="118" t="s">
        <v>7</v>
      </c>
      <c r="B3" s="271" t="s">
        <v>358</v>
      </c>
      <c r="C3" s="272"/>
      <c r="D3" s="272"/>
      <c r="E3" s="272"/>
      <c r="F3" s="273"/>
      <c r="G3" s="26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74,653 KRW (3.73%)</v>
      </c>
      <c r="H3" s="268"/>
      <c r="I3" s="269"/>
      <c r="J3" s="4" t="s">
        <v>7</v>
      </c>
      <c r="K3" s="271" t="s">
        <v>351</v>
      </c>
      <c r="L3" s="272"/>
      <c r="M3" s="272"/>
      <c r="N3" s="272"/>
      <c r="O3" s="27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1" t="s">
        <v>16</v>
      </c>
      <c r="C4" s="272"/>
      <c r="D4" s="272"/>
      <c r="E4" s="272"/>
      <c r="F4" s="273"/>
      <c r="G4" s="274" t="s">
        <v>44</v>
      </c>
      <c r="H4" s="275"/>
      <c r="I4" s="276"/>
      <c r="J4" s="4" t="s">
        <v>11</v>
      </c>
      <c r="K4" s="271" t="s">
        <v>352</v>
      </c>
      <c r="L4" s="272"/>
      <c r="M4" s="272"/>
      <c r="N4" s="272"/>
      <c r="O4" s="27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1" t="s">
        <v>349</v>
      </c>
      <c r="C5" s="272"/>
      <c r="D5" s="272"/>
      <c r="E5" s="272"/>
      <c r="F5" s="273"/>
      <c r="G5" s="26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27,697 KRW (1.38%)</v>
      </c>
      <c r="H5" s="268"/>
      <c r="I5" s="269"/>
      <c r="J5" s="4" t="s">
        <v>15</v>
      </c>
      <c r="K5" s="271" t="s">
        <v>353</v>
      </c>
      <c r="L5" s="272"/>
      <c r="M5" s="272"/>
      <c r="N5" s="272"/>
      <c r="O5" s="273"/>
    </row>
    <row r="6" spans="1:19">
      <c r="A6" s="118" t="s">
        <v>18</v>
      </c>
      <c r="B6" s="271"/>
      <c r="C6" s="272"/>
      <c r="D6" s="272"/>
      <c r="E6" s="272"/>
      <c r="F6" s="273"/>
      <c r="G6" s="274" t="s">
        <v>45</v>
      </c>
      <c r="H6" s="275"/>
      <c r="I6" s="276"/>
      <c r="J6" s="4" t="s">
        <v>18</v>
      </c>
      <c r="K6" s="271" t="s">
        <v>354</v>
      </c>
      <c r="L6" s="272"/>
      <c r="M6" s="272"/>
      <c r="N6" s="272"/>
      <c r="O6" s="273"/>
    </row>
    <row r="7" spans="1:19" ht="17.25" thickBot="1">
      <c r="A7" s="118" t="s">
        <v>21</v>
      </c>
      <c r="B7" s="271"/>
      <c r="C7" s="272"/>
      <c r="D7" s="272"/>
      <c r="E7" s="272"/>
      <c r="F7" s="273"/>
      <c r="G7" s="26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45,941 KRW (2.30%)</v>
      </c>
      <c r="H7" s="268"/>
      <c r="I7" s="269"/>
      <c r="J7" s="4" t="s">
        <v>21</v>
      </c>
      <c r="K7" s="271" t="s">
        <v>355</v>
      </c>
      <c r="L7" s="272"/>
      <c r="M7" s="272"/>
      <c r="N7" s="272"/>
      <c r="O7" s="273"/>
    </row>
    <row r="8" spans="1:19" ht="17.25" thickBot="1">
      <c r="A8" s="118" t="s">
        <v>24</v>
      </c>
      <c r="B8" s="271"/>
      <c r="C8" s="272"/>
      <c r="D8" s="272"/>
      <c r="E8" s="272"/>
      <c r="F8" s="273"/>
      <c r="G8" s="274" t="s">
        <v>285</v>
      </c>
      <c r="H8" s="275"/>
      <c r="I8" s="276"/>
      <c r="J8" s="4" t="s">
        <v>24</v>
      </c>
      <c r="K8" s="271"/>
      <c r="L8" s="272"/>
      <c r="M8" s="272"/>
      <c r="N8" s="272"/>
      <c r="O8" s="273"/>
      <c r="Q8" s="246" t="s">
        <v>27</v>
      </c>
      <c r="R8" s="248"/>
    </row>
    <row r="9" spans="1:19" ht="17.25" thickBot="1">
      <c r="A9" s="118" t="s">
        <v>28</v>
      </c>
      <c r="B9" s="271"/>
      <c r="C9" s="272"/>
      <c r="D9" s="272"/>
      <c r="E9" s="272"/>
      <c r="F9" s="273"/>
      <c r="G9" s="26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32,402 KRW (1.62%)</v>
      </c>
      <c r="H9" s="268"/>
      <c r="I9" s="269"/>
      <c r="J9" s="4" t="s">
        <v>28</v>
      </c>
      <c r="K9" s="271"/>
      <c r="L9" s="272"/>
      <c r="M9" s="272"/>
      <c r="N9" s="272"/>
      <c r="O9" s="273"/>
      <c r="Q9" s="2" t="s">
        <v>29</v>
      </c>
      <c r="R9" s="6">
        <v>10</v>
      </c>
    </row>
    <row r="10" spans="1:19">
      <c r="A10" s="118" t="s">
        <v>30</v>
      </c>
      <c r="B10" s="271"/>
      <c r="C10" s="272"/>
      <c r="D10" s="272"/>
      <c r="E10" s="272"/>
      <c r="F10" s="273"/>
      <c r="G10" s="274" t="s">
        <v>47</v>
      </c>
      <c r="H10" s="275"/>
      <c r="I10" s="276"/>
      <c r="J10" s="4" t="s">
        <v>30</v>
      </c>
      <c r="K10" s="271" t="s">
        <v>356</v>
      </c>
      <c r="L10" s="272"/>
      <c r="M10" s="272"/>
      <c r="N10" s="272"/>
      <c r="O10" s="273"/>
      <c r="Q10" s="2" t="s">
        <v>31</v>
      </c>
      <c r="R10" s="6">
        <v>100</v>
      </c>
    </row>
    <row r="11" spans="1:19" ht="17.25" thickBot="1">
      <c r="A11" s="119" t="s">
        <v>32</v>
      </c>
      <c r="B11" s="264" t="s">
        <v>357</v>
      </c>
      <c r="C11" s="265"/>
      <c r="D11" s="265"/>
      <c r="E11" s="265"/>
      <c r="F11" s="266"/>
      <c r="G11" s="26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32,857 KRW (2.19%)</v>
      </c>
      <c r="H11" s="268"/>
      <c r="I11" s="269"/>
      <c r="J11" s="7" t="s">
        <v>32</v>
      </c>
      <c r="K11" s="264" t="s">
        <v>348</v>
      </c>
      <c r="L11" s="265"/>
      <c r="M11" s="265"/>
      <c r="N11" s="265"/>
      <c r="O11" s="266"/>
      <c r="Q11" s="65" t="s">
        <v>33</v>
      </c>
      <c r="R11" s="8">
        <v>1000</v>
      </c>
    </row>
    <row r="12" spans="1:19" ht="17.25" thickBot="1"/>
    <row r="13" spans="1:19" ht="17.25" customHeight="1" thickBot="1">
      <c r="A13" s="246" t="s">
        <v>34</v>
      </c>
      <c r="B13" s="247"/>
      <c r="C13" s="247"/>
      <c r="D13" s="247"/>
      <c r="E13" s="247"/>
      <c r="F13" s="247"/>
      <c r="G13" s="247"/>
      <c r="H13" s="247"/>
      <c r="I13" s="247"/>
      <c r="J13" s="247"/>
      <c r="K13" s="247"/>
      <c r="L13" s="247"/>
      <c r="M13" s="247"/>
      <c r="N13" s="247"/>
      <c r="O13" s="248"/>
      <c r="Q13" s="245"/>
      <c r="R13" s="245"/>
      <c r="S13" s="245"/>
    </row>
    <row r="14" spans="1:19" ht="17.25" customHeight="1" thickBot="1">
      <c r="A14" s="184" t="s">
        <v>35</v>
      </c>
      <c r="B14" s="246" t="s">
        <v>36</v>
      </c>
      <c r="C14" s="248"/>
      <c r="D14" s="246" t="s">
        <v>37</v>
      </c>
      <c r="E14" s="247"/>
      <c r="F14" s="248"/>
      <c r="G14" s="249">
        <f>_xlfn.IFNA(VLOOKUP(B14, 현재가테이블!$B$2:$D$200, 2, FALSE), "-")</f>
        <v>45335000</v>
      </c>
      <c r="H14" s="250"/>
      <c r="I14" s="251"/>
      <c r="J14" s="246" t="s">
        <v>38</v>
      </c>
      <c r="K14" s="247"/>
      <c r="L14" s="248"/>
      <c r="M14" s="252">
        <f>_xlfn.IFNA(VLOOKUP(B14, 현재가테이블!$B$2:$D$200, 3, FALSE), "-")</f>
        <v>-2.27209037E-2</v>
      </c>
      <c r="N14" s="253"/>
      <c r="O14" s="254"/>
      <c r="Q14" s="245"/>
      <c r="R14" s="245"/>
      <c r="S14" s="245"/>
    </row>
    <row r="15" spans="1:19" ht="17.25" customHeight="1" thickBot="1">
      <c r="A15" s="283" t="s">
        <v>39</v>
      </c>
      <c r="B15" s="284" t="str">
        <f>TEXT($G$1, "[$-ko-KR]yyyy-mm-dd(ddd) ") &amp; "오전 00:00"</f>
        <v>2021-06-07(월) 오전 00:00</v>
      </c>
      <c r="C15" s="285"/>
      <c r="D15" s="259" t="str">
        <f>TEXT($G$1, "[$-ko-KR]yyyy-mm-dd(ddd) ") &amp; "오후 14:00"</f>
        <v>2021-06-07(월) 오후 14:00</v>
      </c>
      <c r="E15" s="260"/>
      <c r="F15" s="261"/>
      <c r="G15" s="259" t="str">
        <f>TEXT($G$1, "[$-ko-KR]yyyy-mm-dd(ddd) ") &amp; "오후 19:00"</f>
        <v>2021-06-07(월) 오후 19:00</v>
      </c>
      <c r="H15" s="260"/>
      <c r="I15" s="261"/>
      <c r="J15" s="259" t="str">
        <f>TEXT($G$1, "[$-ko-KR]yyyy-mm-dd(ddd) ") &amp; "오후 21:00"</f>
        <v>2021-06-07(월) 오후 21:00</v>
      </c>
      <c r="K15" s="260"/>
      <c r="L15" s="261"/>
      <c r="M15" s="259" t="str">
        <f>TEXT($G$1+1, "[$-ko-KR]yyyy-mm-dd(ddd) ") &amp; "오전 00:00"</f>
        <v>2021-06-08(화) 오전 00:00</v>
      </c>
      <c r="N15" s="260"/>
      <c r="O15" s="261"/>
      <c r="Q15" s="245"/>
      <c r="R15" s="245"/>
      <c r="S15" s="245"/>
    </row>
    <row r="16" spans="1:19" ht="17.25" customHeight="1" thickBot="1">
      <c r="A16" s="28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5" t="s">
        <v>37</v>
      </c>
      <c r="H16" s="186" t="s">
        <v>40</v>
      </c>
      <c r="I16" s="18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5"/>
      <c r="R16" s="235"/>
      <c r="S16" s="235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101</v>
      </c>
      <c r="C17" s="76">
        <f>IF(NOT(ISBLANK(_xlfn.IFNA(VLOOKUP($A17, $A$40:$O$199, 3, FALSE), ))), _xlfn.IFNA(VLOOKUP($A17, $A$40:$O$199, 3, FALSE), ), "")</f>
        <v>-1.9417475699999999E-2</v>
      </c>
      <c r="D17" s="13">
        <f>IF(NOT(ISBLANK(_xlfn.IFNA(VLOOKUP($A17, $A$40:$O$199, 4, FALSE), ))), _xlfn.IFNA(VLOOKUP($A17, $A$40:$O$199, 4, FALSE), ), "")</f>
        <v>100</v>
      </c>
      <c r="E17" s="14">
        <f>IF(NOT(ISBLANK(_xlfn.IFNA(VLOOKUP($A17, $A$40:$O$199, 5, FALSE), ))), _xlfn.IFNA(VLOOKUP($A17, $A$40:$O$199, 5, FALSE), ), "")</f>
        <v>-9.9009900990099011E-3</v>
      </c>
      <c r="F17" s="16">
        <f>IF(NOT(ISBLANK(_xlfn.IFNA(VLOOKUP($A17, $A$40:$O$199, 6, FALSE), ))), _xlfn.IFNA(VLOOKUP($A17, $A$40:$O$199, 6, FALSE), ), "")</f>
        <v>-990.09900990099015</v>
      </c>
      <c r="G17" s="29">
        <f>IF(NOT(ISBLANK(_xlfn.IFNA(VLOOKUP($A17, $A$40:$O$199, 7, FALSE), ))), _xlfn.IFNA(VLOOKUP($A17, $A$40:$O$199, 7, FALSE), ), "")</f>
        <v>99.6</v>
      </c>
      <c r="H17" s="14">
        <f>IF(NOT(ISBLANK(_xlfn.IFNA(VLOOKUP($A17, $A$40:$O$199, 8, FALSE), ))), _xlfn.IFNA(VLOOKUP($A17, $A$40:$O$199, 8, FALSE), ), "")</f>
        <v>-1.3861386138613917E-2</v>
      </c>
      <c r="I17" s="100">
        <f>IF(NOT(ISBLANK(_xlfn.IFNA(VLOOKUP($A17, $A$40:$O$199, 9, FALSE), ))), _xlfn.IFNA(VLOOKUP($A17, $A$40:$O$199, 9, FALSE), ), "")</f>
        <v>-1386.1386138613916</v>
      </c>
      <c r="J17" s="13">
        <f>IF(NOT(ISBLANK(_xlfn.IFNA(VLOOKUP($A17, $A$40:$O$199, 10, FALSE), ))), _xlfn.IFNA(VLOOKUP($A17, $A$40:$O$199, 10, FALSE), ), "")</f>
        <v>99.9</v>
      </c>
      <c r="K17" s="14">
        <f>IF(NOT(ISBLANK(_xlfn.IFNA(VLOOKUP($A17, $A$40:$O$199, 11, FALSE), ))), _xlfn.IFNA(VLOOKUP($A17, $A$40:$O$199, 11, FALSE), ), "")</f>
        <v>-1.0891089108910835E-2</v>
      </c>
      <c r="L17" s="16">
        <f>IF(NOT(ISBLANK(_xlfn.IFNA(VLOOKUP($A17, $A$40:$O$199, 12, FALSE), ))), _xlfn.IFNA(VLOOKUP($A17, $A$40:$O$199, 12, FALSE), ), "")</f>
        <v>-1089.1089108910835</v>
      </c>
      <c r="M17" s="29">
        <f>IF(NOT(ISBLANK(_xlfn.IFNA(VLOOKUP($A17, $A$40:$O$199, 13, FALSE), ))), _xlfn.IFNA(VLOOKUP($A17, $A$40:$O$199, 13, FALSE), ), "")</f>
        <v>99.7</v>
      </c>
      <c r="N17" s="14">
        <f>IF(NOT(ISBLANK(_xlfn.IFNA(VLOOKUP($A17, $A$40:$O$199, 14, FALSE), ))), _xlfn.IFNA(VLOOKUP($A17, $A$40:$O$199, 14, FALSE), ), "")</f>
        <v>-1.2871287128712843E-2</v>
      </c>
      <c r="O17" s="16">
        <f>IF(NOT(ISBLANK(_xlfn.IFNA(VLOOKUP($A17, $A$40:$O$199, 15, FALSE), ))), _xlfn.IFNA(VLOOKUP($A17, $A$40:$O$199, 15, FALSE), ), "")</f>
        <v>-1287.1287128712843</v>
      </c>
      <c r="Q17" s="245"/>
      <c r="R17" s="245"/>
      <c r="S17" s="245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79.599999999999994</v>
      </c>
      <c r="C18" s="77">
        <f t="shared" ref="C18:C36" si="1">IF(NOT(ISBLANK(_xlfn.IFNA(VLOOKUP($A18, $A$40:$O$199, 3, FALSE), ))), _xlfn.IFNA(VLOOKUP($A18, $A$40:$O$199, 3, FALSE), ), "")</f>
        <v>1.2578616000000001E-3</v>
      </c>
      <c r="D18" s="15">
        <f t="shared" ref="D18:D36" si="2">IF(NOT(ISBLANK(_xlfn.IFNA(VLOOKUP($A18, $A$40:$O$199, 4, FALSE), ))), _xlfn.IFNA(VLOOKUP($A18, $A$40:$O$199, 4, FALSE), ), "")</f>
        <v>79.7</v>
      </c>
      <c r="E18" s="32">
        <f t="shared" ref="E18:E36" si="3">IF(NOT(ISBLANK(_xlfn.IFNA(VLOOKUP($A18, $A$40:$O$199, 5, FALSE), ))), _xlfn.IFNA(VLOOKUP($A18, $A$40:$O$199, 5, FALSE), ), "")</f>
        <v>1.256281407035283E-3</v>
      </c>
      <c r="F18" s="18">
        <f t="shared" ref="F18:F36" si="4">IF(NOT(ISBLANK(_xlfn.IFNA(VLOOKUP($A18, $A$40:$O$199, 6, FALSE), ))), _xlfn.IFNA(VLOOKUP($A18, $A$40:$O$199, 6, FALSE), ), "")</f>
        <v>125.6281407035283</v>
      </c>
      <c r="G18" s="31">
        <f t="shared" ref="G18:G36" si="5">IF(NOT(ISBLANK(_xlfn.IFNA(VLOOKUP($A18, $A$40:$O$199, 7, FALSE), ))), _xlfn.IFNA(VLOOKUP($A18, $A$40:$O$199, 7, FALSE), ), "")</f>
        <v>79.7</v>
      </c>
      <c r="H18" s="32">
        <f t="shared" ref="H18:H36" si="6">IF(NOT(ISBLANK(_xlfn.IFNA(VLOOKUP($A18, $A$40:$O$199, 8, FALSE), ))), _xlfn.IFNA(VLOOKUP($A18, $A$40:$O$199, 8, FALSE), ), "")</f>
        <v>1.256281407035283E-3</v>
      </c>
      <c r="I18" s="101">
        <f t="shared" ref="I18:I36" si="7">IF(NOT(ISBLANK(_xlfn.IFNA(VLOOKUP($A18, $A$40:$O$199, 9, FALSE), ))), _xlfn.IFNA(VLOOKUP($A18, $A$40:$O$199, 9, FALSE), ), "")</f>
        <v>125.6281407035283</v>
      </c>
      <c r="J18" s="15">
        <f t="shared" ref="J18:J36" si="8">IF(NOT(ISBLANK(_xlfn.IFNA(VLOOKUP($A18, $A$40:$O$199, 10, FALSE), ))), _xlfn.IFNA(VLOOKUP($A18, $A$40:$O$199, 10, FALSE), ), "")</f>
        <v>79.5</v>
      </c>
      <c r="K18" s="32">
        <f t="shared" ref="K18:K36" si="9">IF(NOT(ISBLANK(_xlfn.IFNA(VLOOKUP($A18, $A$40:$O$199, 11, FALSE), ))), _xlfn.IFNA(VLOOKUP($A18, $A$40:$O$199, 11, FALSE), ), "")</f>
        <v>-1.2562814070351046E-3</v>
      </c>
      <c r="L18" s="18">
        <f t="shared" ref="L18:L36" si="10">IF(NOT(ISBLANK(_xlfn.IFNA(VLOOKUP($A18, $A$40:$O$199, 12, FALSE), ))), _xlfn.IFNA(VLOOKUP($A18, $A$40:$O$199, 12, FALSE), ), "")</f>
        <v>-125.62814070351045</v>
      </c>
      <c r="M18" s="31">
        <f t="shared" ref="M18:M36" si="11">IF(NOT(ISBLANK(_xlfn.IFNA(VLOOKUP($A18, $A$40:$O$199, 13, FALSE), ))), _xlfn.IFNA(VLOOKUP($A18, $A$40:$O$199, 13, FALSE), ), "")</f>
        <v>79.599999999999994</v>
      </c>
      <c r="N18" s="32">
        <f t="shared" ref="N18:N36" si="12">IF(NOT(ISBLANK(_xlfn.IFNA(VLOOKUP($A18, $A$40:$O$199, 14, FALSE), ))), _xlfn.IFNA(VLOOKUP($A18, $A$40:$O$199, 14, FALSE), ), "")</f>
        <v>0</v>
      </c>
      <c r="O18" s="18">
        <f t="shared" ref="O18:O36" si="13">IF(NOT(ISBLANK(_xlfn.IFNA(VLOOKUP($A18, $A$40:$O$199, 15, FALSE), ))), _xlfn.IFNA(VLOOKUP($A18, $A$40:$O$199, 15, FALSE), ), "")</f>
        <v>0</v>
      </c>
      <c r="Q18" s="245"/>
      <c r="R18" s="245"/>
      <c r="S18" s="245"/>
    </row>
    <row r="19" spans="1:19" ht="17.25" customHeight="1" thickBot="1">
      <c r="A19" s="162" t="s">
        <v>202</v>
      </c>
      <c r="B19" s="126">
        <f t="shared" si="0"/>
        <v>129</v>
      </c>
      <c r="C19" s="77">
        <f t="shared" si="1"/>
        <v>4.0322580599999998E-2</v>
      </c>
      <c r="D19" s="15">
        <f t="shared" si="2"/>
        <v>131</v>
      </c>
      <c r="E19" s="32">
        <f t="shared" si="3"/>
        <v>1.5503875968992248E-2</v>
      </c>
      <c r="F19" s="18">
        <f t="shared" si="4"/>
        <v>1550.3875968992247</v>
      </c>
      <c r="G19" s="31">
        <f t="shared" si="5"/>
        <v>130</v>
      </c>
      <c r="H19" s="32">
        <f t="shared" si="6"/>
        <v>7.7519379844961239E-3</v>
      </c>
      <c r="I19" s="101">
        <f t="shared" si="7"/>
        <v>775.19379844961236</v>
      </c>
      <c r="J19" s="15">
        <f t="shared" si="8"/>
        <v>130</v>
      </c>
      <c r="K19" s="32">
        <f t="shared" si="9"/>
        <v>7.7519379844961239E-3</v>
      </c>
      <c r="L19" s="18">
        <f t="shared" si="10"/>
        <v>775.19379844961236</v>
      </c>
      <c r="M19" s="31">
        <f t="shared" si="11"/>
        <v>129</v>
      </c>
      <c r="N19" s="32">
        <f t="shared" si="12"/>
        <v>0</v>
      </c>
      <c r="O19" s="18">
        <f t="shared" si="13"/>
        <v>0</v>
      </c>
      <c r="Q19" s="235"/>
      <c r="R19" s="235"/>
      <c r="S19" s="235"/>
    </row>
    <row r="20" spans="1:19" ht="17.25" customHeight="1" thickBot="1">
      <c r="A20" s="162" t="s">
        <v>120</v>
      </c>
      <c r="B20" s="126">
        <f t="shared" si="0"/>
        <v>142</v>
      </c>
      <c r="C20" s="77">
        <f t="shared" si="1"/>
        <v>1.42857143E-2</v>
      </c>
      <c r="D20" s="15">
        <f t="shared" si="2"/>
        <v>145</v>
      </c>
      <c r="E20" s="32">
        <f t="shared" si="3"/>
        <v>2.1126760563380281E-2</v>
      </c>
      <c r="F20" s="18">
        <f t="shared" si="4"/>
        <v>2112.676056338028</v>
      </c>
      <c r="G20" s="31">
        <f t="shared" si="5"/>
        <v>146</v>
      </c>
      <c r="H20" s="32">
        <f t="shared" si="6"/>
        <v>2.8169014084507043E-2</v>
      </c>
      <c r="I20" s="101">
        <f t="shared" si="7"/>
        <v>2816.9014084507044</v>
      </c>
      <c r="J20" s="15">
        <f t="shared" si="8"/>
        <v>145</v>
      </c>
      <c r="K20" s="32">
        <f t="shared" si="9"/>
        <v>2.1126760563380281E-2</v>
      </c>
      <c r="L20" s="18">
        <f t="shared" si="10"/>
        <v>2112.676056338028</v>
      </c>
      <c r="M20" s="31">
        <f t="shared" si="11"/>
        <v>145</v>
      </c>
      <c r="N20" s="32">
        <f t="shared" si="12"/>
        <v>2.1126760563380281E-2</v>
      </c>
      <c r="O20" s="18">
        <f t="shared" si="13"/>
        <v>2112.676056338028</v>
      </c>
      <c r="Q20" s="235"/>
      <c r="R20" s="235"/>
      <c r="S20" s="235"/>
    </row>
    <row r="21" spans="1:19" ht="17.25" customHeight="1" thickBot="1">
      <c r="A21" s="163" t="s">
        <v>246</v>
      </c>
      <c r="B21" s="128">
        <f t="shared" si="0"/>
        <v>311</v>
      </c>
      <c r="C21" s="78">
        <f t="shared" si="1"/>
        <v>3.2258065000000001E-3</v>
      </c>
      <c r="D21" s="20">
        <f t="shared" si="2"/>
        <v>314</v>
      </c>
      <c r="E21" s="21">
        <f t="shared" si="3"/>
        <v>9.6463022508038593E-3</v>
      </c>
      <c r="F21" s="22">
        <f t="shared" si="4"/>
        <v>964.63022508038591</v>
      </c>
      <c r="G21" s="30">
        <f t="shared" si="5"/>
        <v>314</v>
      </c>
      <c r="H21" s="21">
        <f t="shared" si="6"/>
        <v>9.6463022508038593E-3</v>
      </c>
      <c r="I21" s="105">
        <f t="shared" si="7"/>
        <v>964.63022508038591</v>
      </c>
      <c r="J21" s="20">
        <f t="shared" si="8"/>
        <v>316</v>
      </c>
      <c r="K21" s="21">
        <f t="shared" si="9"/>
        <v>1.607717041800643E-2</v>
      </c>
      <c r="L21" s="22">
        <f t="shared" si="10"/>
        <v>1607.7170418006431</v>
      </c>
      <c r="M21" s="30">
        <f t="shared" si="11"/>
        <v>315</v>
      </c>
      <c r="N21" s="21">
        <f t="shared" si="12"/>
        <v>1.2861736334405145E-2</v>
      </c>
      <c r="O21" s="22">
        <f t="shared" si="13"/>
        <v>1286.1736334405145</v>
      </c>
      <c r="Q21" s="235"/>
      <c r="R21" s="235"/>
      <c r="S21" s="235"/>
    </row>
    <row r="22" spans="1:19" ht="17.25" customHeight="1" thickBot="1">
      <c r="A22" s="162" t="s">
        <v>192</v>
      </c>
      <c r="B22" s="129">
        <f t="shared" si="0"/>
        <v>1195</v>
      </c>
      <c r="C22" s="80">
        <f t="shared" si="1"/>
        <v>6.2222222200000003E-2</v>
      </c>
      <c r="D22" s="106">
        <f t="shared" si="2"/>
        <v>1205</v>
      </c>
      <c r="E22" s="107">
        <f t="shared" si="3"/>
        <v>8.368200836820083E-3</v>
      </c>
      <c r="F22" s="108">
        <f t="shared" si="4"/>
        <v>836.82008368200832</v>
      </c>
      <c r="G22" s="109">
        <f t="shared" si="5"/>
        <v>1200</v>
      </c>
      <c r="H22" s="107">
        <f t="shared" si="6"/>
        <v>4.1841004184100415E-3</v>
      </c>
      <c r="I22" s="110">
        <f t="shared" si="7"/>
        <v>418.41004184100416</v>
      </c>
      <c r="J22" s="106">
        <f t="shared" si="8"/>
        <v>1205</v>
      </c>
      <c r="K22" s="107">
        <f t="shared" si="9"/>
        <v>8.368200836820083E-3</v>
      </c>
      <c r="L22" s="108">
        <f t="shared" si="10"/>
        <v>836.82008368200832</v>
      </c>
      <c r="M22" s="109">
        <f t="shared" si="11"/>
        <v>1190</v>
      </c>
      <c r="N22" s="107">
        <f t="shared" si="12"/>
        <v>-4.1841004184100415E-3</v>
      </c>
      <c r="O22" s="108">
        <f t="shared" si="13"/>
        <v>-418.41004184100416</v>
      </c>
      <c r="Q22" s="235"/>
      <c r="R22" s="235"/>
      <c r="S22" s="235"/>
    </row>
    <row r="23" spans="1:19" ht="17.25" customHeight="1" thickBot="1">
      <c r="A23" s="162" t="s">
        <v>200</v>
      </c>
      <c r="B23" s="126">
        <f t="shared" si="0"/>
        <v>224</v>
      </c>
      <c r="C23" s="77">
        <f t="shared" si="1"/>
        <v>6.1611374400000002E-2</v>
      </c>
      <c r="D23" s="15">
        <f t="shared" si="2"/>
        <v>229</v>
      </c>
      <c r="E23" s="32">
        <f t="shared" si="3"/>
        <v>2.2321428571428572E-2</v>
      </c>
      <c r="F23" s="18">
        <f t="shared" si="4"/>
        <v>2232.1428571428573</v>
      </c>
      <c r="G23" s="31">
        <f t="shared" si="5"/>
        <v>227</v>
      </c>
      <c r="H23" s="32">
        <f t="shared" si="6"/>
        <v>1.3392857142857142E-2</v>
      </c>
      <c r="I23" s="101">
        <f t="shared" si="7"/>
        <v>1339.2857142857142</v>
      </c>
      <c r="J23" s="15">
        <f t="shared" si="8"/>
        <v>228</v>
      </c>
      <c r="K23" s="32">
        <f t="shared" si="9"/>
        <v>1.7857142857142856E-2</v>
      </c>
      <c r="L23" s="18">
        <f t="shared" si="10"/>
        <v>1785.7142857142856</v>
      </c>
      <c r="M23" s="31">
        <f t="shared" si="11"/>
        <v>225</v>
      </c>
      <c r="N23" s="32">
        <f t="shared" si="12"/>
        <v>4.464285714285714E-3</v>
      </c>
      <c r="O23" s="18">
        <f t="shared" si="13"/>
        <v>446.42857142857139</v>
      </c>
      <c r="Q23" s="235"/>
      <c r="R23" s="235"/>
      <c r="S23" s="235"/>
    </row>
    <row r="24" spans="1:19" ht="17.25" customHeight="1" thickBot="1">
      <c r="A24" s="162" t="s">
        <v>166</v>
      </c>
      <c r="B24" s="126">
        <f t="shared" si="0"/>
        <v>1320</v>
      </c>
      <c r="C24" s="77">
        <f t="shared" si="1"/>
        <v>4.7619047599999999E-2</v>
      </c>
      <c r="D24" s="15">
        <f t="shared" si="2"/>
        <v>1320</v>
      </c>
      <c r="E24" s="32">
        <f t="shared" si="3"/>
        <v>0</v>
      </c>
      <c r="F24" s="18">
        <f t="shared" si="4"/>
        <v>0</v>
      </c>
      <c r="G24" s="31">
        <f t="shared" si="5"/>
        <v>1315</v>
      </c>
      <c r="H24" s="32">
        <f t="shared" si="6"/>
        <v>-3.787878787878788E-3</v>
      </c>
      <c r="I24" s="101">
        <f t="shared" si="7"/>
        <v>-378.78787878787881</v>
      </c>
      <c r="J24" s="15">
        <f t="shared" si="8"/>
        <v>1315</v>
      </c>
      <c r="K24" s="32">
        <f t="shared" si="9"/>
        <v>-3.787878787878788E-3</v>
      </c>
      <c r="L24" s="18">
        <f t="shared" si="10"/>
        <v>-378.78787878787881</v>
      </c>
      <c r="M24" s="31">
        <f t="shared" si="11"/>
        <v>1315</v>
      </c>
      <c r="N24" s="32">
        <f t="shared" si="12"/>
        <v>-3.787878787878788E-3</v>
      </c>
      <c r="O24" s="18">
        <f t="shared" si="13"/>
        <v>-378.78787878787881</v>
      </c>
      <c r="Q24" s="235"/>
      <c r="R24" s="235"/>
      <c r="S24" s="235"/>
    </row>
    <row r="25" spans="1:19" ht="17.25" customHeight="1" thickBot="1">
      <c r="A25" s="162" t="s">
        <v>228</v>
      </c>
      <c r="B25" s="126">
        <f t="shared" si="0"/>
        <v>11</v>
      </c>
      <c r="C25" s="77">
        <f t="shared" si="1"/>
        <v>4.7619047599999999E-2</v>
      </c>
      <c r="D25" s="15">
        <f t="shared" si="2"/>
        <v>11.2</v>
      </c>
      <c r="E25" s="32">
        <f t="shared" si="3"/>
        <v>1.8181818181818118E-2</v>
      </c>
      <c r="F25" s="18">
        <f t="shared" si="4"/>
        <v>1818.1818181818119</v>
      </c>
      <c r="G25" s="31">
        <f t="shared" si="5"/>
        <v>11.1</v>
      </c>
      <c r="H25" s="32">
        <f t="shared" si="6"/>
        <v>9.0909090909090592E-3</v>
      </c>
      <c r="I25" s="101">
        <f t="shared" si="7"/>
        <v>909.09090909090594</v>
      </c>
      <c r="J25" s="15">
        <f t="shared" si="8"/>
        <v>11.3</v>
      </c>
      <c r="K25" s="32">
        <f t="shared" si="9"/>
        <v>2.7272727272727337E-2</v>
      </c>
      <c r="L25" s="18">
        <f t="shared" si="10"/>
        <v>2727.2727272727338</v>
      </c>
      <c r="M25" s="31">
        <f t="shared" si="11"/>
        <v>11.4</v>
      </c>
      <c r="N25" s="32">
        <f t="shared" si="12"/>
        <v>3.6363636363636397E-2</v>
      </c>
      <c r="O25" s="18">
        <f t="shared" si="13"/>
        <v>3636.3636363636397</v>
      </c>
      <c r="Q25" s="33"/>
      <c r="R25" s="33"/>
    </row>
    <row r="26" spans="1:19" ht="17.25" customHeight="1" thickBot="1">
      <c r="A26" s="130" t="s">
        <v>136</v>
      </c>
      <c r="B26" s="131">
        <f t="shared" si="0"/>
        <v>148</v>
      </c>
      <c r="C26" s="79">
        <f t="shared" si="1"/>
        <v>4.2253521099999997E-2</v>
      </c>
      <c r="D26" s="24">
        <f t="shared" si="2"/>
        <v>146</v>
      </c>
      <c r="E26" s="25">
        <f t="shared" si="3"/>
        <v>-1.3513513513513514E-2</v>
      </c>
      <c r="F26" s="104">
        <f t="shared" si="4"/>
        <v>-1351.3513513513515</v>
      </c>
      <c r="G26" s="102">
        <f t="shared" si="5"/>
        <v>146</v>
      </c>
      <c r="H26" s="25">
        <f t="shared" si="6"/>
        <v>-1.3513513513513514E-2</v>
      </c>
      <c r="I26" s="103">
        <f t="shared" si="7"/>
        <v>-1351.3513513513515</v>
      </c>
      <c r="J26" s="24">
        <f t="shared" si="8"/>
        <v>145</v>
      </c>
      <c r="K26" s="25">
        <f t="shared" si="9"/>
        <v>-2.0270270270270271E-2</v>
      </c>
      <c r="L26" s="104">
        <f t="shared" si="10"/>
        <v>-2027.0270270270271</v>
      </c>
      <c r="M26" s="102">
        <f t="shared" si="11"/>
        <v>146</v>
      </c>
      <c r="N26" s="25">
        <f t="shared" si="12"/>
        <v>-1.3513513513513514E-2</v>
      </c>
      <c r="O26" s="104">
        <f t="shared" si="13"/>
        <v>-1351.3513513513515</v>
      </c>
      <c r="Q26" s="236"/>
      <c r="R26" s="237"/>
      <c r="S26" s="238"/>
    </row>
    <row r="27" spans="1:19" ht="17.25" customHeight="1">
      <c r="A27" s="161" t="s">
        <v>126</v>
      </c>
      <c r="B27" s="124">
        <f t="shared" si="0"/>
        <v>29.6</v>
      </c>
      <c r="C27" s="76">
        <f t="shared" si="1"/>
        <v>4.2253521099999997E-2</v>
      </c>
      <c r="D27" s="13">
        <f t="shared" si="2"/>
        <v>30.6</v>
      </c>
      <c r="E27" s="14">
        <f t="shared" si="3"/>
        <v>3.3783783783783779E-2</v>
      </c>
      <c r="F27" s="16">
        <f t="shared" si="4"/>
        <v>3378.3783783783779</v>
      </c>
      <c r="G27" s="29">
        <f t="shared" si="5"/>
        <v>31</v>
      </c>
      <c r="H27" s="14">
        <f t="shared" si="6"/>
        <v>4.7297297297297244E-2</v>
      </c>
      <c r="I27" s="100">
        <f t="shared" si="7"/>
        <v>4729.7297297297246</v>
      </c>
      <c r="J27" s="13">
        <f t="shared" si="8"/>
        <v>31</v>
      </c>
      <c r="K27" s="14">
        <f t="shared" si="9"/>
        <v>4.7297297297297244E-2</v>
      </c>
      <c r="L27" s="16">
        <f t="shared" si="10"/>
        <v>4729.7297297297246</v>
      </c>
      <c r="M27" s="29">
        <f t="shared" si="11"/>
        <v>30.4</v>
      </c>
      <c r="N27" s="14">
        <f t="shared" si="12"/>
        <v>2.7027027027026931E-2</v>
      </c>
      <c r="O27" s="16">
        <f t="shared" si="13"/>
        <v>2702.7027027026929</v>
      </c>
      <c r="Q27" s="239"/>
      <c r="R27" s="240"/>
      <c r="S27" s="241"/>
    </row>
    <row r="28" spans="1:19" ht="17.25" customHeight="1" thickBot="1">
      <c r="A28" s="162" t="s">
        <v>150</v>
      </c>
      <c r="B28" s="126">
        <f t="shared" si="0"/>
        <v>2475</v>
      </c>
      <c r="C28" s="77">
        <f t="shared" si="1"/>
        <v>4.21052632E-2</v>
      </c>
      <c r="D28" s="15">
        <f t="shared" si="2"/>
        <v>2520</v>
      </c>
      <c r="E28" s="32">
        <f t="shared" si="3"/>
        <v>1.8181818181818181E-2</v>
      </c>
      <c r="F28" s="18">
        <f t="shared" si="4"/>
        <v>1818.181818181818</v>
      </c>
      <c r="G28" s="31">
        <f t="shared" si="5"/>
        <v>2495</v>
      </c>
      <c r="H28" s="32">
        <f t="shared" si="6"/>
        <v>8.0808080808080808E-3</v>
      </c>
      <c r="I28" s="101">
        <f t="shared" si="7"/>
        <v>808.08080808080808</v>
      </c>
      <c r="J28" s="15">
        <f t="shared" si="8"/>
        <v>2550</v>
      </c>
      <c r="K28" s="32">
        <f t="shared" si="9"/>
        <v>3.0303030303030304E-2</v>
      </c>
      <c r="L28" s="18">
        <f t="shared" si="10"/>
        <v>3030.3030303030305</v>
      </c>
      <c r="M28" s="31">
        <f t="shared" si="11"/>
        <v>2520</v>
      </c>
      <c r="N28" s="32">
        <f t="shared" si="12"/>
        <v>1.8181818181818181E-2</v>
      </c>
      <c r="O28" s="18">
        <f t="shared" si="13"/>
        <v>1818.181818181818</v>
      </c>
      <c r="Q28" s="242"/>
      <c r="R28" s="243"/>
      <c r="S28" s="244"/>
    </row>
    <row r="29" spans="1:19" ht="17.25" customHeight="1" thickBot="1">
      <c r="A29" s="162" t="s">
        <v>202</v>
      </c>
      <c r="B29" s="126">
        <f t="shared" si="0"/>
        <v>129</v>
      </c>
      <c r="C29" s="77">
        <f t="shared" si="1"/>
        <v>4.0322580599999998E-2</v>
      </c>
      <c r="D29" s="15">
        <f t="shared" si="2"/>
        <v>131</v>
      </c>
      <c r="E29" s="32">
        <f t="shared" si="3"/>
        <v>1.5503875968992248E-2</v>
      </c>
      <c r="F29" s="18">
        <f t="shared" si="4"/>
        <v>1550.3875968992247</v>
      </c>
      <c r="G29" s="31">
        <f t="shared" si="5"/>
        <v>130</v>
      </c>
      <c r="H29" s="32">
        <f t="shared" si="6"/>
        <v>7.7519379844961239E-3</v>
      </c>
      <c r="I29" s="101">
        <f t="shared" si="7"/>
        <v>775.19379844961236</v>
      </c>
      <c r="J29" s="15">
        <f t="shared" si="8"/>
        <v>130</v>
      </c>
      <c r="K29" s="32">
        <f t="shared" si="9"/>
        <v>7.7519379844961239E-3</v>
      </c>
      <c r="L29" s="18">
        <f t="shared" si="10"/>
        <v>775.19379844961236</v>
      </c>
      <c r="M29" s="31">
        <f t="shared" si="11"/>
        <v>129</v>
      </c>
      <c r="N29" s="32">
        <f t="shared" si="12"/>
        <v>0</v>
      </c>
      <c r="O29" s="18">
        <f t="shared" si="13"/>
        <v>0</v>
      </c>
      <c r="Q29" s="235"/>
      <c r="R29" s="235"/>
      <c r="S29" s="235"/>
    </row>
    <row r="30" spans="1:19" ht="17.25" customHeight="1" thickBot="1">
      <c r="A30" s="162" t="s">
        <v>194</v>
      </c>
      <c r="B30" s="126">
        <f t="shared" si="0"/>
        <v>8700</v>
      </c>
      <c r="C30" s="77">
        <f t="shared" si="1"/>
        <v>3.8805970100000003E-2</v>
      </c>
      <c r="D30" s="15">
        <f t="shared" si="2"/>
        <v>9645</v>
      </c>
      <c r="E30" s="32">
        <f t="shared" si="3"/>
        <v>0.10862068965517241</v>
      </c>
      <c r="F30" s="18">
        <f t="shared" si="4"/>
        <v>10862.068965517241</v>
      </c>
      <c r="G30" s="31">
        <f t="shared" si="5"/>
        <v>9290</v>
      </c>
      <c r="H30" s="32">
        <f t="shared" si="6"/>
        <v>6.7816091954022995E-2</v>
      </c>
      <c r="I30" s="101">
        <f t="shared" si="7"/>
        <v>6781.6091954022995</v>
      </c>
      <c r="J30" s="15">
        <f t="shared" si="8"/>
        <v>10120</v>
      </c>
      <c r="K30" s="32">
        <f t="shared" si="9"/>
        <v>0.16321839080459771</v>
      </c>
      <c r="L30" s="18">
        <f t="shared" si="10"/>
        <v>16321.839080459771</v>
      </c>
      <c r="M30" s="31">
        <f t="shared" si="11"/>
        <v>9415</v>
      </c>
      <c r="N30" s="32">
        <f t="shared" si="12"/>
        <v>8.2183908045977014E-2</v>
      </c>
      <c r="O30" s="18">
        <f t="shared" si="13"/>
        <v>8218.3908045977005</v>
      </c>
      <c r="Q30" s="245"/>
      <c r="R30" s="245"/>
      <c r="S30" s="245"/>
    </row>
    <row r="31" spans="1:19" ht="17.25" customHeight="1" thickBot="1">
      <c r="A31" s="163" t="s">
        <v>220</v>
      </c>
      <c r="B31" s="128">
        <f t="shared" si="0"/>
        <v>11.2</v>
      </c>
      <c r="C31" s="78">
        <f t="shared" si="1"/>
        <v>3.7037037000000002E-2</v>
      </c>
      <c r="D31" s="20">
        <f t="shared" si="2"/>
        <v>11.8</v>
      </c>
      <c r="E31" s="21">
        <f t="shared" si="3"/>
        <v>5.35714285714287E-2</v>
      </c>
      <c r="F31" s="22">
        <f t="shared" si="4"/>
        <v>5357.1428571428696</v>
      </c>
      <c r="G31" s="30">
        <f t="shared" si="5"/>
        <v>12.5</v>
      </c>
      <c r="H31" s="21">
        <f t="shared" si="6"/>
        <v>0.11607142857142864</v>
      </c>
      <c r="I31" s="105">
        <f t="shared" si="7"/>
        <v>11607.142857142864</v>
      </c>
      <c r="J31" s="20">
        <f t="shared" si="8"/>
        <v>12.7</v>
      </c>
      <c r="K31" s="21">
        <f t="shared" si="9"/>
        <v>0.13392857142857142</v>
      </c>
      <c r="L31" s="22">
        <f t="shared" si="10"/>
        <v>13392.857142857143</v>
      </c>
      <c r="M31" s="30">
        <f t="shared" si="11"/>
        <v>13</v>
      </c>
      <c r="N31" s="21">
        <f t="shared" si="12"/>
        <v>0.16071428571428578</v>
      </c>
      <c r="O31" s="22">
        <f t="shared" si="13"/>
        <v>16071.428571428578</v>
      </c>
      <c r="Q31" s="245"/>
      <c r="R31" s="245"/>
      <c r="S31" s="24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5"/>
      <c r="R32" s="235"/>
      <c r="S32" s="235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5"/>
      <c r="R33" s="235"/>
      <c r="S33" s="235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5"/>
      <c r="R34" s="235"/>
      <c r="S34" s="235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4"/>
      <c r="R35" s="225"/>
      <c r="S35" s="22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7"/>
      <c r="R36" s="228"/>
      <c r="S36" s="229"/>
    </row>
    <row r="37" spans="1:19" ht="17.25" customHeight="1" thickBot="1">
      <c r="A37" s="132" t="s">
        <v>42</v>
      </c>
      <c r="B37" s="288">
        <v>100000</v>
      </c>
      <c r="C37" s="289"/>
      <c r="D37" s="26" t="s">
        <v>43</v>
      </c>
      <c r="E37" s="27">
        <f>IF(COUNT(E17:E36), SUM(E17:E36) / COUNT(E17:E36), 0)</f>
        <v>2.0176784021930023E-2</v>
      </c>
      <c r="F37" s="28">
        <f>SUM(F17:F36)</f>
        <v>30265.176032895033</v>
      </c>
      <c r="G37" s="26" t="s">
        <v>43</v>
      </c>
      <c r="H37" s="27">
        <f>IF(COUNT(H17:H36), SUM(H17:H36) / COUNT(H17:H36), 0)</f>
        <v>1.9289745855137697E-2</v>
      </c>
      <c r="I37" s="28">
        <f>SUM(I17:I36)</f>
        <v>28934.618782706544</v>
      </c>
      <c r="J37" s="26" t="s">
        <v>43</v>
      </c>
      <c r="K37" s="27">
        <f>IF(COUNT(K17:K36), SUM(K17:K36) / COUNT(K17:K36), 0)</f>
        <v>2.9649843211764729E-2</v>
      </c>
      <c r="L37" s="28">
        <f>SUM(L17:L36)</f>
        <v>44474.76481764709</v>
      </c>
      <c r="M37" s="26" t="s">
        <v>43</v>
      </c>
      <c r="N37" s="27">
        <f>IF(COUNT(N17:N36), SUM(N17:N36) / COUNT(N17:N36), 0)</f>
        <v>2.1904445206420018E-2</v>
      </c>
      <c r="O37" s="28">
        <f>SUM(O17:O36)</f>
        <v>32856.667809630024</v>
      </c>
      <c r="Q37" s="230"/>
      <c r="R37" s="231"/>
      <c r="S37" s="232"/>
    </row>
    <row r="38" spans="1:19" ht="17.25" customHeight="1"/>
    <row r="39" spans="1:19" ht="17.25" customHeight="1" thickBot="1"/>
    <row r="40" spans="1:19" ht="17.25" customHeight="1" thickBot="1">
      <c r="A40" s="246" t="s">
        <v>44</v>
      </c>
      <c r="B40" s="247"/>
      <c r="C40" s="247"/>
      <c r="D40" s="247"/>
      <c r="E40" s="247"/>
      <c r="F40" s="247"/>
      <c r="G40" s="247"/>
      <c r="H40" s="247"/>
      <c r="I40" s="247"/>
      <c r="J40" s="247"/>
      <c r="K40" s="247"/>
      <c r="L40" s="247"/>
      <c r="M40" s="247"/>
      <c r="N40" s="247"/>
      <c r="O40" s="248"/>
      <c r="Q40" s="245"/>
      <c r="R40" s="245"/>
      <c r="S40" s="245"/>
    </row>
    <row r="41" spans="1:19" ht="17.25" customHeight="1" thickBot="1">
      <c r="A41" s="184" t="s">
        <v>297</v>
      </c>
      <c r="B41" s="246" t="s">
        <v>49</v>
      </c>
      <c r="C41" s="248"/>
      <c r="D41" s="246" t="s">
        <v>58</v>
      </c>
      <c r="E41" s="247"/>
      <c r="F41" s="248"/>
      <c r="G41" s="249">
        <f>_xlfn.IFNA(VLOOKUP(B41, 현재가테이블!$B$2:$D$200, 2, FALSE), "-")</f>
        <v>45335000</v>
      </c>
      <c r="H41" s="250"/>
      <c r="I41" s="251"/>
      <c r="J41" s="246" t="s">
        <v>59</v>
      </c>
      <c r="K41" s="247"/>
      <c r="L41" s="248"/>
      <c r="M41" s="252">
        <f>_xlfn.IFNA(VLOOKUP(B41, 현재가테이블!$B$2:$D$200, 3, FALSE), "-")</f>
        <v>-2.27209037E-2</v>
      </c>
      <c r="N41" s="253"/>
      <c r="O41" s="254"/>
      <c r="Q41" s="245"/>
      <c r="R41" s="245"/>
      <c r="S41" s="245"/>
    </row>
    <row r="42" spans="1:19" ht="17.25" customHeight="1" thickBot="1">
      <c r="A42" s="290" t="s">
        <v>55</v>
      </c>
      <c r="B42" s="286" t="str">
        <f>TEXT($G$1, "[$-ko-KR]yyyy-mm-dd(ddd) ") &amp; "오전 00:00"</f>
        <v>2021-06-07(월) 오전 00:00</v>
      </c>
      <c r="C42" s="287"/>
      <c r="D42" s="259" t="str">
        <f>TEXT($G$1, "[$-ko-KR]yyyy-mm-dd(ddd) ") &amp; "오후 14:00"</f>
        <v>2021-06-07(월) 오후 14:00</v>
      </c>
      <c r="E42" s="260"/>
      <c r="F42" s="261"/>
      <c r="G42" s="259" t="str">
        <f>TEXT($G$1, "[$-ko-KR]yyyy-mm-dd(ddd) ") &amp; "오후 19:00"</f>
        <v>2021-06-07(월) 오후 19:00</v>
      </c>
      <c r="H42" s="260"/>
      <c r="I42" s="261"/>
      <c r="J42" s="259" t="str">
        <f>TEXT($G$1, "[$-ko-KR]yyyy-mm-dd(ddd) ") &amp; "오후 21:00"</f>
        <v>2021-06-07(월) 오후 21:00</v>
      </c>
      <c r="K42" s="260"/>
      <c r="L42" s="261"/>
      <c r="M42" s="259" t="str">
        <f>TEXT($G$1+1, "[$-ko-KR]yyyy-mm-dd(ddd) ") &amp; "오전 00:00"</f>
        <v>2021-06-08(화) 오전 00:00</v>
      </c>
      <c r="N42" s="260"/>
      <c r="O42" s="261"/>
      <c r="Q42" s="245"/>
      <c r="R42" s="245"/>
      <c r="S42" s="245"/>
    </row>
    <row r="43" spans="1:19" ht="17.25" customHeight="1" thickBot="1">
      <c r="A43" s="291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85" t="s">
        <v>58</v>
      </c>
      <c r="H43" s="186" t="s">
        <v>298</v>
      </c>
      <c r="I43" s="187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5"/>
      <c r="R43" s="235"/>
      <c r="S43" s="235"/>
    </row>
    <row r="44" spans="1:19" ht="17.25" customHeight="1" thickBot="1">
      <c r="A44" s="161" t="s">
        <v>72</v>
      </c>
      <c r="B44" s="124">
        <v>22.5</v>
      </c>
      <c r="C44" s="76">
        <v>8.6956521699999997E-2</v>
      </c>
      <c r="D44" s="13">
        <v>22.7</v>
      </c>
      <c r="E44" s="14">
        <f>IF(ISNUMBER(D44), (D44 - $B44) / $B44, "")</f>
        <v>8.8888888888888577E-3</v>
      </c>
      <c r="F44" s="16">
        <f>IF(ISNUMBER(D44), $B64 * E44, "")</f>
        <v>888.88888888888573</v>
      </c>
      <c r="G44" s="29">
        <v>23.3</v>
      </c>
      <c r="H44" s="14">
        <f>IF(ISNUMBER(G44), (G44 - $B44) / $B44, "")</f>
        <v>3.555555555555559E-2</v>
      </c>
      <c r="I44" s="100">
        <f>IF(ISNUMBER(G44), $B64 * H44, "")</f>
        <v>3555.5555555555588</v>
      </c>
      <c r="J44" s="13">
        <v>23.6</v>
      </c>
      <c r="K44" s="14">
        <f>IF(ISNUMBER(J44), (J44 - $B44) / $B44, "")</f>
        <v>4.8888888888888954E-2</v>
      </c>
      <c r="L44" s="16">
        <f>IF(ISNUMBER(J44), $B64 * K44, "")</f>
        <v>4888.8888888888951</v>
      </c>
      <c r="M44" s="29">
        <v>22.9</v>
      </c>
      <c r="N44" s="14">
        <f>IF(ISNUMBER(M44), (M44 - $B44) / $B44, "")</f>
        <v>1.7777777777777715E-2</v>
      </c>
      <c r="O44" s="16">
        <f>IF(ISNUMBER(M44), $B64 * N44, "")</f>
        <v>1777.7777777777715</v>
      </c>
      <c r="Q44" s="245"/>
      <c r="R44" s="245"/>
      <c r="S44" s="245"/>
    </row>
    <row r="45" spans="1:19" ht="17.25" customHeight="1" thickBot="1">
      <c r="A45" s="162" t="s">
        <v>228</v>
      </c>
      <c r="B45" s="126">
        <v>11</v>
      </c>
      <c r="C45" s="77">
        <v>4.7619047599999999E-2</v>
      </c>
      <c r="D45" s="15">
        <v>11.2</v>
      </c>
      <c r="E45" s="32">
        <f t="shared" ref="E45:E48" si="14">IF(ISNUMBER(D45), (D45 - $B45) / $B45, "")</f>
        <v>1.8181818181818118E-2</v>
      </c>
      <c r="F45" s="18">
        <f>IF(ISNUMBER(D45), $B64 * E45, "")</f>
        <v>1818.1818181818119</v>
      </c>
      <c r="G45" s="31">
        <v>11.1</v>
      </c>
      <c r="H45" s="32">
        <f t="shared" ref="H45:H48" si="15">IF(ISNUMBER(G45), (G45 - $B45) / $B45, "")</f>
        <v>9.0909090909090592E-3</v>
      </c>
      <c r="I45" s="101">
        <f>IF(ISNUMBER(G45), $B64 * H45, "")</f>
        <v>909.09090909090594</v>
      </c>
      <c r="J45" s="15">
        <v>11.3</v>
      </c>
      <c r="K45" s="32">
        <f t="shared" ref="K45:K48" si="16">IF(ISNUMBER(J45), (J45 - $B45) / $B45, "")</f>
        <v>2.7272727272727337E-2</v>
      </c>
      <c r="L45" s="18">
        <f>IF(ISNUMBER(J45), $B64 * K45, "")</f>
        <v>2727.2727272727338</v>
      </c>
      <c r="M45" s="31">
        <v>11.4</v>
      </c>
      <c r="N45" s="32">
        <f t="shared" ref="N45:N48" si="17">IF(ISNUMBER(M45), (M45 - $B45) / $B45, "")</f>
        <v>3.6363636363636397E-2</v>
      </c>
      <c r="O45" s="18">
        <f>IF(ISNUMBER(M45), $B64 * N45, "")</f>
        <v>3636.3636363636397</v>
      </c>
      <c r="Q45" s="245"/>
      <c r="R45" s="245"/>
      <c r="S45" s="245"/>
    </row>
    <row r="46" spans="1:19" ht="17.25" customHeight="1" thickBot="1">
      <c r="A46" s="162" t="s">
        <v>126</v>
      </c>
      <c r="B46" s="126">
        <v>29.6</v>
      </c>
      <c r="C46" s="77">
        <v>4.2253521099999997E-2</v>
      </c>
      <c r="D46" s="15">
        <v>30.6</v>
      </c>
      <c r="E46" s="32">
        <f t="shared" si="14"/>
        <v>3.3783783783783779E-2</v>
      </c>
      <c r="F46" s="18">
        <f>IF(ISNUMBER(D46), $B64 * E46, "")</f>
        <v>3378.3783783783779</v>
      </c>
      <c r="G46" s="31">
        <v>31</v>
      </c>
      <c r="H46" s="32">
        <f t="shared" si="15"/>
        <v>4.7297297297297244E-2</v>
      </c>
      <c r="I46" s="101">
        <f>IF(ISNUMBER(G46), $B64 * H46, "")</f>
        <v>4729.7297297297246</v>
      </c>
      <c r="J46" s="15">
        <v>31</v>
      </c>
      <c r="K46" s="32">
        <f t="shared" si="16"/>
        <v>4.7297297297297244E-2</v>
      </c>
      <c r="L46" s="18">
        <f>IF(ISNUMBER(J46), $B64 * K46, "")</f>
        <v>4729.7297297297246</v>
      </c>
      <c r="M46" s="31">
        <v>30.4</v>
      </c>
      <c r="N46" s="32">
        <f t="shared" si="17"/>
        <v>2.7027027027026931E-2</v>
      </c>
      <c r="O46" s="18">
        <f>IF(ISNUMBER(M46), $B64 * N46, "")</f>
        <v>2702.7027027026929</v>
      </c>
      <c r="Q46" s="235"/>
      <c r="R46" s="235"/>
      <c r="S46" s="235"/>
    </row>
    <row r="47" spans="1:19" ht="17.25" customHeight="1" thickBot="1">
      <c r="A47" s="162" t="s">
        <v>220</v>
      </c>
      <c r="B47" s="126">
        <v>11.2</v>
      </c>
      <c r="C47" s="77">
        <v>3.7037037000000002E-2</v>
      </c>
      <c r="D47" s="15">
        <v>11.8</v>
      </c>
      <c r="E47" s="32">
        <f t="shared" si="14"/>
        <v>5.35714285714287E-2</v>
      </c>
      <c r="F47" s="18">
        <f>IF(ISNUMBER(D47), $B64 * E47, "")</f>
        <v>5357.1428571428696</v>
      </c>
      <c r="G47" s="31">
        <v>12.5</v>
      </c>
      <c r="H47" s="32">
        <f t="shared" si="15"/>
        <v>0.11607142857142864</v>
      </c>
      <c r="I47" s="101">
        <f>IF(ISNUMBER(G47), $B64 * H47, "")</f>
        <v>11607.142857142864</v>
      </c>
      <c r="J47" s="15">
        <v>12.7</v>
      </c>
      <c r="K47" s="32">
        <f t="shared" si="16"/>
        <v>0.13392857142857142</v>
      </c>
      <c r="L47" s="18">
        <f>IF(ISNUMBER(J47), $B64 * K47, "")</f>
        <v>13392.857142857143</v>
      </c>
      <c r="M47" s="31">
        <v>13</v>
      </c>
      <c r="N47" s="32">
        <f t="shared" si="17"/>
        <v>0.16071428571428578</v>
      </c>
      <c r="O47" s="18">
        <f>IF(ISNUMBER(M47), $B64 * N47, "")</f>
        <v>16071.428571428578</v>
      </c>
      <c r="Q47" s="235"/>
      <c r="R47" s="235"/>
      <c r="S47" s="235"/>
    </row>
    <row r="48" spans="1:19" ht="17.25" customHeight="1" thickBot="1">
      <c r="A48" s="163" t="s">
        <v>266</v>
      </c>
      <c r="B48" s="128">
        <v>59.7</v>
      </c>
      <c r="C48" s="78">
        <v>3.1088082900000001E-2</v>
      </c>
      <c r="D48" s="20">
        <v>59.5</v>
      </c>
      <c r="E48" s="21">
        <f t="shared" si="14"/>
        <v>-3.3500837520938497E-3</v>
      </c>
      <c r="F48" s="22">
        <f>IF(ISNUMBER(D48), $B64 * E48, "")</f>
        <v>-335.00837520938495</v>
      </c>
      <c r="G48" s="30">
        <v>59.7</v>
      </c>
      <c r="H48" s="21">
        <f t="shared" si="15"/>
        <v>0</v>
      </c>
      <c r="I48" s="105">
        <f>IF(ISNUMBER(G48), $B64 * H48, "")</f>
        <v>0</v>
      </c>
      <c r="J48" s="20">
        <v>60.7</v>
      </c>
      <c r="K48" s="21">
        <f t="shared" si="16"/>
        <v>1.675041876046901E-2</v>
      </c>
      <c r="L48" s="22">
        <f>IF(ISNUMBER(J48), $B64 * K48, "")</f>
        <v>1675.0418760469011</v>
      </c>
      <c r="M48" s="30">
        <v>59.9</v>
      </c>
      <c r="N48" s="21">
        <f t="shared" si="17"/>
        <v>3.3500837520937308E-3</v>
      </c>
      <c r="O48" s="22">
        <f>IF(ISNUMBER(M48), $B64 * N48, "")</f>
        <v>335.00837520937307</v>
      </c>
      <c r="Q48" s="235"/>
      <c r="R48" s="235"/>
      <c r="S48" s="235"/>
    </row>
    <row r="49" spans="1:19" ht="17.25" customHeight="1" thickBot="1">
      <c r="A49" s="162" t="s">
        <v>154</v>
      </c>
      <c r="B49" s="129">
        <v>11.6</v>
      </c>
      <c r="C49" s="80">
        <v>2.65486726E-2</v>
      </c>
      <c r="D49" s="106">
        <v>11.6</v>
      </c>
      <c r="E49" s="107">
        <f>IF(ISNUMBER(D49), (D49 - $B49) / $B49, "")</f>
        <v>0</v>
      </c>
      <c r="F49" s="108">
        <f>IF(ISNUMBER(D49), $B64 * E49, "")</f>
        <v>0</v>
      </c>
      <c r="G49" s="109">
        <v>11.7</v>
      </c>
      <c r="H49" s="107">
        <f>IF(ISNUMBER(G49), (G49 - $B49) / $B49, "")</f>
        <v>8.6206896551723842E-3</v>
      </c>
      <c r="I49" s="110">
        <f>IF(ISNUMBER(G49), $B64 * H49, "")</f>
        <v>862.06896551723844</v>
      </c>
      <c r="J49" s="106">
        <v>11.7</v>
      </c>
      <c r="K49" s="107">
        <f>IF(ISNUMBER(J49), (J49 - $B49) / $B49, "")</f>
        <v>8.6206896551723842E-3</v>
      </c>
      <c r="L49" s="108">
        <f>IF(ISNUMBER(J49), $B64 * K49, "")</f>
        <v>862.06896551723844</v>
      </c>
      <c r="M49" s="109">
        <v>11.6</v>
      </c>
      <c r="N49" s="107">
        <f>IF(ISNUMBER(M49), (M49 - $B49) / $B49, "")</f>
        <v>0</v>
      </c>
      <c r="O49" s="108">
        <f>IF(ISNUMBER(M49), $B64 * N49, "")</f>
        <v>0</v>
      </c>
      <c r="Q49" s="235"/>
      <c r="R49" s="235"/>
      <c r="S49" s="235"/>
    </row>
    <row r="50" spans="1:19" ht="17.25" customHeight="1" thickBot="1">
      <c r="A50" s="162" t="s">
        <v>278</v>
      </c>
      <c r="B50" s="126">
        <v>80.8</v>
      </c>
      <c r="C50" s="77">
        <v>1.76322418E-2</v>
      </c>
      <c r="D50" s="15">
        <v>81.7</v>
      </c>
      <c r="E50" s="32">
        <f t="shared" ref="E50:E53" si="18">IF(ISNUMBER(D50), (D50 - $B50) / $B50, "")</f>
        <v>1.1138613861386209E-2</v>
      </c>
      <c r="F50" s="18">
        <f>IF(ISNUMBER(D50), $B64 * E50, "")</f>
        <v>1113.8613861386209</v>
      </c>
      <c r="G50" s="31">
        <v>81.7</v>
      </c>
      <c r="H50" s="32">
        <f t="shared" ref="H50:H53" si="19">IF(ISNUMBER(G50), (G50 - $B50) / $B50, "")</f>
        <v>1.1138613861386209E-2</v>
      </c>
      <c r="I50" s="101">
        <f>IF(ISNUMBER(G50), $B64 * H50, "")</f>
        <v>1113.8613861386209</v>
      </c>
      <c r="J50" s="15">
        <v>81.7</v>
      </c>
      <c r="K50" s="32">
        <f t="shared" ref="K50:K53" si="20">IF(ISNUMBER(J50), (J50 - $B50) / $B50, "")</f>
        <v>1.1138613861386209E-2</v>
      </c>
      <c r="L50" s="18">
        <f>IF(ISNUMBER(J50), $B64 * K50, "")</f>
        <v>1113.8613861386209</v>
      </c>
      <c r="M50" s="31">
        <v>81.900000000000006</v>
      </c>
      <c r="N50" s="32">
        <f t="shared" ref="N50:N53" si="21">IF(ISNUMBER(M50), (M50 - $B50) / $B50, "")</f>
        <v>1.361386138613872E-2</v>
      </c>
      <c r="O50" s="18">
        <f>IF(ISNUMBER(M50), $B64 * N50, "")</f>
        <v>1361.3861386138719</v>
      </c>
      <c r="Q50" s="235"/>
      <c r="R50" s="235"/>
      <c r="S50" s="235"/>
    </row>
    <row r="51" spans="1:19" ht="17.25" customHeight="1" thickBot="1">
      <c r="A51" s="162" t="s">
        <v>196</v>
      </c>
      <c r="B51" s="126">
        <v>12.1</v>
      </c>
      <c r="C51" s="77">
        <v>1.6806722699999999E-2</v>
      </c>
      <c r="D51" s="15">
        <v>12</v>
      </c>
      <c r="E51" s="32">
        <f t="shared" si="18"/>
        <v>-8.2644628099173261E-3</v>
      </c>
      <c r="F51" s="18">
        <f>IF(ISNUMBER(D51), $B64 * E51, "")</f>
        <v>-826.44628099173258</v>
      </c>
      <c r="G51" s="31">
        <v>12.3</v>
      </c>
      <c r="H51" s="32">
        <f t="shared" si="19"/>
        <v>1.6528925619834798E-2</v>
      </c>
      <c r="I51" s="101">
        <f>IF(ISNUMBER(G51), $B64 * H51, "")</f>
        <v>1652.8925619834797</v>
      </c>
      <c r="J51" s="15">
        <v>12.3</v>
      </c>
      <c r="K51" s="32">
        <f t="shared" si="20"/>
        <v>1.6528925619834798E-2</v>
      </c>
      <c r="L51" s="18">
        <f>IF(ISNUMBER(J51), $B64 * K51, "")</f>
        <v>1652.8925619834797</v>
      </c>
      <c r="M51" s="31">
        <v>12.3</v>
      </c>
      <c r="N51" s="32">
        <f t="shared" si="21"/>
        <v>1.6528925619834798E-2</v>
      </c>
      <c r="O51" s="18">
        <f>IF(ISNUMBER(M51), $B64 * N51, "")</f>
        <v>1652.8925619834797</v>
      </c>
      <c r="Q51" s="235"/>
      <c r="R51" s="235"/>
      <c r="S51" s="235"/>
    </row>
    <row r="52" spans="1:19" ht="17.25" customHeight="1" thickBot="1">
      <c r="A52" s="162" t="s">
        <v>268</v>
      </c>
      <c r="B52" s="126">
        <v>53.3</v>
      </c>
      <c r="C52" s="77">
        <v>1.5238095199999999E-2</v>
      </c>
      <c r="D52" s="15">
        <v>53.8</v>
      </c>
      <c r="E52" s="32">
        <f t="shared" si="18"/>
        <v>9.3808630393996256E-3</v>
      </c>
      <c r="F52" s="18">
        <f>IF(ISNUMBER(D52), $B64 * E52, "")</f>
        <v>938.08630393996259</v>
      </c>
      <c r="G52" s="31">
        <v>54.3</v>
      </c>
      <c r="H52" s="32">
        <f t="shared" si="19"/>
        <v>1.8761726078799251E-2</v>
      </c>
      <c r="I52" s="101">
        <f>IF(ISNUMBER(G52), $B64 * H52, "")</f>
        <v>1876.1726078799252</v>
      </c>
      <c r="J52" s="15">
        <v>54.3</v>
      </c>
      <c r="K52" s="32">
        <f t="shared" si="20"/>
        <v>1.8761726078799251E-2</v>
      </c>
      <c r="L52" s="18">
        <f>IF(ISNUMBER(J52), $B64 * K52, "")</f>
        <v>1876.1726078799252</v>
      </c>
      <c r="M52" s="31">
        <v>54.3</v>
      </c>
      <c r="N52" s="32">
        <f t="shared" si="21"/>
        <v>1.8761726078799251E-2</v>
      </c>
      <c r="O52" s="18">
        <f>IF(ISNUMBER(M52), $B64 * N52, "")</f>
        <v>1876.1726078799252</v>
      </c>
      <c r="Q52" s="33"/>
      <c r="R52" s="33"/>
    </row>
    <row r="53" spans="1:19" ht="17.25" customHeight="1" thickBot="1">
      <c r="A53" s="130" t="s">
        <v>214</v>
      </c>
      <c r="B53" s="131">
        <v>14</v>
      </c>
      <c r="C53" s="79">
        <v>1.44927536E-2</v>
      </c>
      <c r="D53" s="24">
        <v>14.2</v>
      </c>
      <c r="E53" s="25">
        <f t="shared" si="18"/>
        <v>1.4285714285714235E-2</v>
      </c>
      <c r="F53" s="104">
        <f>IF(ISNUMBER(D53), $B64 * E53, "")</f>
        <v>1428.5714285714234</v>
      </c>
      <c r="G53" s="102">
        <v>14.6</v>
      </c>
      <c r="H53" s="25">
        <f t="shared" si="19"/>
        <v>4.285714285714283E-2</v>
      </c>
      <c r="I53" s="103">
        <f>IF(ISNUMBER(G53), $B64 * H53, "")</f>
        <v>4285.7142857142826</v>
      </c>
      <c r="J53" s="24">
        <v>14.4</v>
      </c>
      <c r="K53" s="25">
        <f t="shared" si="20"/>
        <v>2.8571428571428598E-2</v>
      </c>
      <c r="L53" s="104">
        <f>IF(ISNUMBER(J53), $B64 * K53, "")</f>
        <v>2857.1428571428596</v>
      </c>
      <c r="M53" s="102">
        <v>14.4</v>
      </c>
      <c r="N53" s="25">
        <f t="shared" si="21"/>
        <v>2.8571428571428598E-2</v>
      </c>
      <c r="O53" s="104">
        <f>IF(ISNUMBER(M53), $B64 * N53, "")</f>
        <v>2857.1428571428596</v>
      </c>
      <c r="Q53" s="236"/>
      <c r="R53" s="237"/>
      <c r="S53" s="238"/>
    </row>
    <row r="54" spans="1:19" ht="17.25" customHeight="1">
      <c r="A54" s="161" t="s">
        <v>186</v>
      </c>
      <c r="B54" s="124">
        <v>21.3</v>
      </c>
      <c r="C54" s="76">
        <v>1.42857143E-2</v>
      </c>
      <c r="D54" s="13">
        <v>19.899999999999999</v>
      </c>
      <c r="E54" s="14">
        <f>IF(ISNUMBER(D54), (D54 - $B54) / $B54, "")</f>
        <v>-6.5727699530516534E-2</v>
      </c>
      <c r="F54" s="16">
        <f>IF(ISNUMBER(D54), $B64 * E54, "")</f>
        <v>-6572.7699530516538</v>
      </c>
      <c r="G54" s="29">
        <v>19.600000000000001</v>
      </c>
      <c r="H54" s="14">
        <f>IF(ISNUMBER(G54), (G54 - $B54) / $B54, "")</f>
        <v>-7.9812206572769911E-2</v>
      </c>
      <c r="I54" s="100">
        <f>IF(ISNUMBER(G54), $B64 * H54, "")</f>
        <v>-7981.220657276991</v>
      </c>
      <c r="J54" s="13">
        <v>19.3</v>
      </c>
      <c r="K54" s="14">
        <f>IF(ISNUMBER(J54), (J54 - $B54) / $B54, "")</f>
        <v>-9.3896713615023469E-2</v>
      </c>
      <c r="L54" s="16">
        <f>IF(ISNUMBER(J54), $B64 * K54, "")</f>
        <v>-9389.6713615023473</v>
      </c>
      <c r="M54" s="29">
        <v>19.3</v>
      </c>
      <c r="N54" s="14">
        <f>IF(ISNUMBER(M54), (M54 - $B54) / $B54, "")</f>
        <v>-9.3896713615023469E-2</v>
      </c>
      <c r="O54" s="16">
        <f>IF(ISNUMBER(M54), $B64 * N54, "")</f>
        <v>-9389.6713615023473</v>
      </c>
      <c r="Q54" s="239"/>
      <c r="R54" s="240"/>
      <c r="S54" s="241"/>
    </row>
    <row r="55" spans="1:19" ht="17.25" customHeight="1" thickBot="1">
      <c r="A55" s="162" t="s">
        <v>152</v>
      </c>
      <c r="B55" s="126">
        <v>21.8</v>
      </c>
      <c r="C55" s="77">
        <v>1.39534884E-2</v>
      </c>
      <c r="D55" s="15">
        <v>21.7</v>
      </c>
      <c r="E55" s="32">
        <f t="shared" ref="E55:E58" si="22">IF(ISNUMBER(D55), (D55 - $B55) / $B55, "")</f>
        <v>-4.5871559633028176E-3</v>
      </c>
      <c r="F55" s="18">
        <f>IF(ISNUMBER(D55), $B64 * E55, "")</f>
        <v>-458.71559633028176</v>
      </c>
      <c r="G55" s="31">
        <v>21.8</v>
      </c>
      <c r="H55" s="32">
        <f t="shared" ref="H55:H58" si="23">IF(ISNUMBER(G55), (G55 - $B55) / $B55, "")</f>
        <v>0</v>
      </c>
      <c r="I55" s="101">
        <f>IF(ISNUMBER(G55), $B64 * H55, "")</f>
        <v>0</v>
      </c>
      <c r="J55" s="15">
        <v>21.8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21.7</v>
      </c>
      <c r="N55" s="32">
        <f t="shared" ref="N55:N58" si="25">IF(ISNUMBER(M55), (M55 - $B55) / $B55, "")</f>
        <v>-4.5871559633028176E-3</v>
      </c>
      <c r="O55" s="18">
        <f>IF(ISNUMBER(M55), $B64 * N55, "")</f>
        <v>-458.71559633028176</v>
      </c>
      <c r="Q55" s="242"/>
      <c r="R55" s="243"/>
      <c r="S55" s="244"/>
    </row>
    <row r="56" spans="1:19" ht="17.25" customHeight="1" thickBot="1">
      <c r="A56" s="162" t="s">
        <v>198</v>
      </c>
      <c r="B56" s="126">
        <v>16.899999999999999</v>
      </c>
      <c r="C56" s="77">
        <v>1.19760479E-2</v>
      </c>
      <c r="D56" s="15">
        <v>17</v>
      </c>
      <c r="E56" s="32">
        <f t="shared" si="22"/>
        <v>5.9171597633136943E-3</v>
      </c>
      <c r="F56" s="18">
        <f>IF(ISNUMBER(D56), $B64 * E56, "")</f>
        <v>591.71597633136946</v>
      </c>
      <c r="G56" s="31">
        <v>17.2</v>
      </c>
      <c r="H56" s="32">
        <f t="shared" si="23"/>
        <v>1.775147928994087E-2</v>
      </c>
      <c r="I56" s="101">
        <f>IF(ISNUMBER(G56), $B64 * H56, "")</f>
        <v>1775.1479289940871</v>
      </c>
      <c r="J56" s="15">
        <v>17.100000000000001</v>
      </c>
      <c r="K56" s="32">
        <f t="shared" si="24"/>
        <v>1.1834319526627389E-2</v>
      </c>
      <c r="L56" s="18">
        <f>IF(ISNUMBER(J56), $B64 * K56, "")</f>
        <v>1183.4319526627389</v>
      </c>
      <c r="M56" s="31">
        <v>17</v>
      </c>
      <c r="N56" s="32">
        <f t="shared" si="25"/>
        <v>5.9171597633136943E-3</v>
      </c>
      <c r="O56" s="18">
        <f>IF(ISNUMBER(M56), $B64 * N56, "")</f>
        <v>591.71597633136946</v>
      </c>
      <c r="Q56" s="235"/>
      <c r="R56" s="235"/>
      <c r="S56" s="235"/>
    </row>
    <row r="57" spans="1:19" ht="17.25" customHeight="1" thickBot="1">
      <c r="A57" s="162" t="s">
        <v>218</v>
      </c>
      <c r="B57" s="126">
        <v>16.899999999999999</v>
      </c>
      <c r="C57" s="77">
        <v>1.19760479E-2</v>
      </c>
      <c r="D57" s="15">
        <v>17.100000000000001</v>
      </c>
      <c r="E57" s="32">
        <f t="shared" si="22"/>
        <v>1.1834319526627389E-2</v>
      </c>
      <c r="F57" s="18">
        <f>IF(ISNUMBER(D57), $B64 * E57, "")</f>
        <v>1183.4319526627389</v>
      </c>
      <c r="G57" s="31">
        <v>17.399999999999999</v>
      </c>
      <c r="H57" s="32">
        <f t="shared" si="23"/>
        <v>2.9585798816568049E-2</v>
      </c>
      <c r="I57" s="101">
        <f>IF(ISNUMBER(G57), $B64 * H57, "")</f>
        <v>2958.5798816568049</v>
      </c>
      <c r="J57" s="15">
        <v>17.3</v>
      </c>
      <c r="K57" s="32">
        <f t="shared" si="24"/>
        <v>2.3668639053254566E-2</v>
      </c>
      <c r="L57" s="18">
        <f>IF(ISNUMBER(J57), $B64 * K57, "")</f>
        <v>2366.8639053254565</v>
      </c>
      <c r="M57" s="31">
        <v>17</v>
      </c>
      <c r="N57" s="32">
        <f t="shared" si="25"/>
        <v>5.9171597633136943E-3</v>
      </c>
      <c r="O57" s="18">
        <f>IF(ISNUMBER(M57), $B64 * N57, "")</f>
        <v>591.71597633136946</v>
      </c>
      <c r="Q57" s="245"/>
      <c r="R57" s="245"/>
      <c r="S57" s="245"/>
    </row>
    <row r="58" spans="1:19" ht="17.25" customHeight="1" thickBot="1">
      <c r="A58" s="163" t="s">
        <v>254</v>
      </c>
      <c r="B58" s="128">
        <v>51.8</v>
      </c>
      <c r="C58" s="78">
        <v>1.171875E-2</v>
      </c>
      <c r="D58" s="20">
        <v>52.1</v>
      </c>
      <c r="E58" s="21">
        <f t="shared" si="22"/>
        <v>5.7915057915058745E-3</v>
      </c>
      <c r="F58" s="22">
        <f>IF(ISNUMBER(D58), $B64 * E58, "")</f>
        <v>579.15057915058742</v>
      </c>
      <c r="G58" s="30">
        <v>52.3</v>
      </c>
      <c r="H58" s="21">
        <f t="shared" si="23"/>
        <v>9.6525096525096523E-3</v>
      </c>
      <c r="I58" s="105">
        <f>IF(ISNUMBER(G58), $B64 * H58, "")</f>
        <v>965.25096525096524</v>
      </c>
      <c r="J58" s="20">
        <v>52.5</v>
      </c>
      <c r="K58" s="21">
        <f t="shared" si="24"/>
        <v>1.351351351351357E-2</v>
      </c>
      <c r="L58" s="22">
        <f>IF(ISNUMBER(J58), $B64 * K58, "")</f>
        <v>1351.3513513513569</v>
      </c>
      <c r="M58" s="30">
        <v>52.5</v>
      </c>
      <c r="N58" s="21">
        <f t="shared" si="25"/>
        <v>1.351351351351357E-2</v>
      </c>
      <c r="O58" s="22">
        <f>IF(ISNUMBER(M58), $B64 * N58, "")</f>
        <v>1351.3513513513569</v>
      </c>
      <c r="Q58" s="245"/>
      <c r="R58" s="245"/>
      <c r="S58" s="245"/>
    </row>
    <row r="59" spans="1:19" ht="17.25" customHeight="1" thickBot="1">
      <c r="A59" s="162" t="s">
        <v>122</v>
      </c>
      <c r="B59" s="129">
        <v>66.599999999999994</v>
      </c>
      <c r="C59" s="80">
        <v>9.0909091000000008E-3</v>
      </c>
      <c r="D59" s="106">
        <v>67.5</v>
      </c>
      <c r="E59" s="107">
        <f>IF(ISNUMBER(D59), (D59 - $B59) / $B59, "")</f>
        <v>1.3513513513513599E-2</v>
      </c>
      <c r="F59" s="108">
        <f>IF(ISNUMBER(D59), $B64 * E59, "")</f>
        <v>1351.3513513513599</v>
      </c>
      <c r="G59" s="109">
        <v>67.599999999999994</v>
      </c>
      <c r="H59" s="107">
        <f>IF(ISNUMBER(G59), (G59 - $B59) / $B59, "")</f>
        <v>1.5015015015015017E-2</v>
      </c>
      <c r="I59" s="110">
        <f>IF(ISNUMBER(G59), $B64 * H59, "")</f>
        <v>1501.5015015015017</v>
      </c>
      <c r="J59" s="106">
        <v>67.8</v>
      </c>
      <c r="K59" s="107">
        <f>IF(ISNUMBER(J59), (J59 - $B59) / $B59, "")</f>
        <v>1.8018018018018063E-2</v>
      </c>
      <c r="L59" s="108">
        <f>IF(ISNUMBER(J59), $B64 * K59, "")</f>
        <v>1801.8018018018063</v>
      </c>
      <c r="M59" s="109">
        <v>66.900000000000006</v>
      </c>
      <c r="N59" s="107">
        <f>IF(ISNUMBER(M59), (M59 - $B59) / $B59, "")</f>
        <v>4.5045045045046753E-3</v>
      </c>
      <c r="O59" s="108">
        <f>IF(ISNUMBER(M59), $B64 * N59, "")</f>
        <v>450.45045045046754</v>
      </c>
      <c r="Q59" s="235"/>
      <c r="R59" s="235"/>
      <c r="S59" s="235"/>
    </row>
    <row r="60" spans="1:19" ht="17.25" customHeight="1" thickBot="1">
      <c r="A60" s="162" t="s">
        <v>156</v>
      </c>
      <c r="B60" s="126">
        <v>89.8</v>
      </c>
      <c r="C60" s="77">
        <v>7.8563412000000003E-3</v>
      </c>
      <c r="D60" s="15">
        <v>89.9</v>
      </c>
      <c r="E60" s="32">
        <f t="shared" ref="E60:E63" si="26">IF(ISNUMBER(D60), (D60 - $B60) / $B60, "")</f>
        <v>1.1135857461025448E-3</v>
      </c>
      <c r="F60" s="18">
        <f>IF(ISNUMBER(D60), $B64 * E60, "")</f>
        <v>111.35857461025448</v>
      </c>
      <c r="G60" s="31">
        <v>89.5</v>
      </c>
      <c r="H60" s="32">
        <f t="shared" ref="H60:H63" si="27">IF(ISNUMBER(G60), (G60 - $B60) / $B60, "")</f>
        <v>-3.3407572383073181E-3</v>
      </c>
      <c r="I60" s="101">
        <f>IF(ISNUMBER(G60), $B64 * H60, "")</f>
        <v>-334.07572383073182</v>
      </c>
      <c r="J60" s="15">
        <v>89.5</v>
      </c>
      <c r="K60" s="32">
        <f t="shared" ref="K60:K63" si="28">IF(ISNUMBER(J60), (J60 - $B60) / $B60, "")</f>
        <v>-3.3407572383073181E-3</v>
      </c>
      <c r="L60" s="18">
        <f>IF(ISNUMBER(J60), $B64 * K60, "")</f>
        <v>-334.07572383073182</v>
      </c>
      <c r="M60" s="31">
        <v>89.9</v>
      </c>
      <c r="N60" s="32">
        <f t="shared" ref="N60:N63" si="29">IF(ISNUMBER(M60), (M60 - $B60) / $B60, "")</f>
        <v>1.1135857461025448E-3</v>
      </c>
      <c r="O60" s="18">
        <f>IF(ISNUMBER(M60), $B64 * N60, "")</f>
        <v>111.35857461025448</v>
      </c>
      <c r="Q60" s="235"/>
      <c r="R60" s="235"/>
      <c r="S60" s="235"/>
    </row>
    <row r="61" spans="1:19" ht="17.25" customHeight="1" thickBot="1">
      <c r="A61" s="162" t="s">
        <v>264</v>
      </c>
      <c r="B61" s="126">
        <v>87.7</v>
      </c>
      <c r="C61" s="77">
        <v>6.8886338000000002E-3</v>
      </c>
      <c r="D61" s="15">
        <v>88.7</v>
      </c>
      <c r="E61" s="32">
        <f t="shared" si="26"/>
        <v>1.1402508551881414E-2</v>
      </c>
      <c r="F61" s="18">
        <f>IF(ISNUMBER(D61), $B64 * E61, "")</f>
        <v>1140.2508551881415</v>
      </c>
      <c r="G61" s="31">
        <v>89.7</v>
      </c>
      <c r="H61" s="32">
        <f t="shared" si="27"/>
        <v>2.2805017103762829E-2</v>
      </c>
      <c r="I61" s="101">
        <f>IF(ISNUMBER(G61), $B64 * H61, "")</f>
        <v>2280.501710376283</v>
      </c>
      <c r="J61" s="15">
        <v>90.6</v>
      </c>
      <c r="K61" s="32">
        <f t="shared" si="28"/>
        <v>3.3067274800456001E-2</v>
      </c>
      <c r="L61" s="18">
        <f>IF(ISNUMBER(J61), $B64 * K61, "")</f>
        <v>3306.7274800456003</v>
      </c>
      <c r="M61" s="31">
        <v>90.2</v>
      </c>
      <c r="N61" s="32">
        <f t="shared" si="29"/>
        <v>2.8506271379703532E-2</v>
      </c>
      <c r="O61" s="18">
        <f>IF(ISNUMBER(M61), $B64 * N61, "")</f>
        <v>2850.627137970353</v>
      </c>
      <c r="Q61" s="235"/>
      <c r="R61" s="235"/>
      <c r="S61" s="235"/>
    </row>
    <row r="62" spans="1:19" ht="17.25" customHeight="1">
      <c r="A62" s="162" t="s">
        <v>260</v>
      </c>
      <c r="B62" s="126">
        <v>76.7</v>
      </c>
      <c r="C62" s="77">
        <v>6.5616798000000002E-3</v>
      </c>
      <c r="D62" s="15">
        <v>76.900000000000006</v>
      </c>
      <c r="E62" s="32">
        <f t="shared" si="26"/>
        <v>2.6075619295958647E-3</v>
      </c>
      <c r="F62" s="18">
        <f>IF(ISNUMBER(D62), $B64 * E62, "")</f>
        <v>260.75619295958649</v>
      </c>
      <c r="G62" s="31">
        <v>76.8</v>
      </c>
      <c r="H62" s="32">
        <f t="shared" si="27"/>
        <v>1.3037809647978398E-3</v>
      </c>
      <c r="I62" s="101">
        <f>IF(ISNUMBER(G62), $B64 * H62, "")</f>
        <v>130.37809647978398</v>
      </c>
      <c r="J62" s="15">
        <v>77</v>
      </c>
      <c r="K62" s="32">
        <f t="shared" si="28"/>
        <v>3.9113428943937049E-3</v>
      </c>
      <c r="L62" s="18">
        <f>IF(ISNUMBER(J62), $B64 * K62, "")</f>
        <v>391.13428943937049</v>
      </c>
      <c r="M62" s="31">
        <v>76.599999999999994</v>
      </c>
      <c r="N62" s="32">
        <f t="shared" si="29"/>
        <v>-1.3037809647980252E-3</v>
      </c>
      <c r="O62" s="18">
        <f>IF(ISNUMBER(M62), $B64 * N62, "")</f>
        <v>-130.37809647980251</v>
      </c>
      <c r="Q62" s="224"/>
      <c r="R62" s="225"/>
      <c r="S62" s="226"/>
    </row>
    <row r="63" spans="1:19" ht="17.25" customHeight="1" thickBot="1">
      <c r="A63" s="130" t="s">
        <v>65</v>
      </c>
      <c r="B63" s="131">
        <v>36.9</v>
      </c>
      <c r="C63" s="79">
        <v>5.4495912999999998E-3</v>
      </c>
      <c r="D63" s="24">
        <v>37.200000000000003</v>
      </c>
      <c r="E63" s="25">
        <f t="shared" si="26"/>
        <v>8.1300813008131235E-3</v>
      </c>
      <c r="F63" s="104">
        <f>IF(ISNUMBER(D63), $B64 * E63, "")</f>
        <v>813.0081300813124</v>
      </c>
      <c r="G63" s="102">
        <v>37.200000000000003</v>
      </c>
      <c r="H63" s="25">
        <f t="shared" si="27"/>
        <v>8.1300813008131235E-3</v>
      </c>
      <c r="I63" s="103">
        <f>IF(ISNUMBER(G63), $B64 * H63, "")</f>
        <v>813.0081300813124</v>
      </c>
      <c r="J63" s="24">
        <v>36.9</v>
      </c>
      <c r="K63" s="25">
        <f t="shared" si="28"/>
        <v>0</v>
      </c>
      <c r="L63" s="104">
        <f>IF(ISNUMBER(J63), $B64 * K63, "")</f>
        <v>0</v>
      </c>
      <c r="M63" s="102">
        <v>36.700000000000003</v>
      </c>
      <c r="N63" s="25">
        <f t="shared" si="29"/>
        <v>-5.4200542005418901E-3</v>
      </c>
      <c r="O63" s="104">
        <f>IF(ISNUMBER(M63), $B64 * N63, "")</f>
        <v>-542.00542005418902</v>
      </c>
      <c r="Q63" s="227"/>
      <c r="R63" s="228"/>
      <c r="S63" s="229"/>
    </row>
    <row r="64" spans="1:19" ht="17.25" customHeight="1" thickBot="1">
      <c r="A64" s="132" t="s">
        <v>300</v>
      </c>
      <c r="B64" s="288">
        <f>$B$37</f>
        <v>100000</v>
      </c>
      <c r="C64" s="289"/>
      <c r="D64" s="26" t="s">
        <v>301</v>
      </c>
      <c r="E64" s="27">
        <f>IF(COUNT(E44:E63), SUM(E44:E63) / COUNT(E44:E63), 0)</f>
        <v>6.3805972339971246E-3</v>
      </c>
      <c r="F64" s="28">
        <f>SUM(F44:F63)</f>
        <v>12761.19446799425</v>
      </c>
      <c r="G64" s="26" t="s">
        <v>301</v>
      </c>
      <c r="H64" s="27">
        <f>IF(COUNT(H44:H63), SUM(H44:H63) / COUNT(H44:H63), 0)</f>
        <v>1.6350650345992802E-2</v>
      </c>
      <c r="I64" s="28">
        <f>SUM(I44:I63)</f>
        <v>32701.300691985623</v>
      </c>
      <c r="J64" s="26" t="s">
        <v>301</v>
      </c>
      <c r="K64" s="27">
        <f>IF(COUNT(K44:K63), SUM(K44:K63) / COUNT(K44:K63), 0)</f>
        <v>1.8226746219375388E-2</v>
      </c>
      <c r="L64" s="28">
        <f>SUM(L44:L63)</f>
        <v>36453.492438750778</v>
      </c>
      <c r="M64" s="26" t="s">
        <v>301</v>
      </c>
      <c r="N64" s="27">
        <f>IF(COUNT(N44:N63), SUM(N44:N63) / COUNT(N44:N63), 0)</f>
        <v>1.3848662110890369E-2</v>
      </c>
      <c r="O64" s="28">
        <f>SUM(O44:O63)</f>
        <v>27697.324221780742</v>
      </c>
      <c r="Q64" s="230"/>
      <c r="R64" s="231"/>
      <c r="S64" s="232"/>
    </row>
    <row r="65" spans="1:19" ht="17.25" customHeight="1"/>
    <row r="66" spans="1:19" ht="17.25" customHeight="1" thickBot="1"/>
    <row r="67" spans="1:19" ht="17.25" thickBot="1">
      <c r="A67" s="246" t="s">
        <v>45</v>
      </c>
      <c r="B67" s="247"/>
      <c r="C67" s="247"/>
      <c r="D67" s="247"/>
      <c r="E67" s="247"/>
      <c r="F67" s="247"/>
      <c r="G67" s="247"/>
      <c r="H67" s="247"/>
      <c r="I67" s="247"/>
      <c r="J67" s="247"/>
      <c r="K67" s="247"/>
      <c r="L67" s="247"/>
      <c r="M67" s="247"/>
      <c r="N67" s="247"/>
      <c r="O67" s="248"/>
      <c r="Q67" s="245"/>
      <c r="R67" s="245"/>
      <c r="S67" s="245"/>
    </row>
    <row r="68" spans="1:19" ht="17.25" thickBot="1">
      <c r="A68" s="184" t="s">
        <v>297</v>
      </c>
      <c r="B68" s="246" t="s">
        <v>49</v>
      </c>
      <c r="C68" s="248"/>
      <c r="D68" s="246" t="s">
        <v>58</v>
      </c>
      <c r="E68" s="247"/>
      <c r="F68" s="248"/>
      <c r="G68" s="249">
        <f>_xlfn.IFNA(VLOOKUP(B68, 현재가테이블!$B$2:$D$200, 2, FALSE), "-")</f>
        <v>45335000</v>
      </c>
      <c r="H68" s="250"/>
      <c r="I68" s="251"/>
      <c r="J68" s="246" t="s">
        <v>59</v>
      </c>
      <c r="K68" s="247"/>
      <c r="L68" s="248"/>
      <c r="M68" s="252">
        <f>_xlfn.IFNA(VLOOKUP(B68, 현재가테이블!$B$2:$D$200, 3, FALSE), "-")</f>
        <v>-2.27209037E-2</v>
      </c>
      <c r="N68" s="253"/>
      <c r="O68" s="254"/>
      <c r="Q68" s="245"/>
      <c r="R68" s="245"/>
      <c r="S68" s="245"/>
    </row>
    <row r="69" spans="1:19" ht="17.25" thickBot="1">
      <c r="A69" s="290" t="s">
        <v>55</v>
      </c>
      <c r="B69" s="286" t="str">
        <f>TEXT($G$1, "[$-ko-KR]yyyy-mm-dd(ddd) ") &amp; "오전 00:00"</f>
        <v>2021-06-07(월) 오전 00:00</v>
      </c>
      <c r="C69" s="287"/>
      <c r="D69" s="259" t="str">
        <f>TEXT($G$1, "[$-ko-KR]yyyy-mm-dd(ddd) ") &amp; "오후 14:00"</f>
        <v>2021-06-07(월) 오후 14:00</v>
      </c>
      <c r="E69" s="260"/>
      <c r="F69" s="261"/>
      <c r="G69" s="259" t="str">
        <f>TEXT($G$1, "[$-ko-KR]yyyy-mm-dd(ddd) ") &amp; "오후 19:00"</f>
        <v>2021-06-07(월) 오후 19:00</v>
      </c>
      <c r="H69" s="260"/>
      <c r="I69" s="261"/>
      <c r="J69" s="259" t="str">
        <f>TEXT($G$1, "[$-ko-KR]yyyy-mm-dd(ddd) ") &amp; "오후 21:00"</f>
        <v>2021-06-07(월) 오후 21:00</v>
      </c>
      <c r="K69" s="260"/>
      <c r="L69" s="261"/>
      <c r="M69" s="259" t="str">
        <f>TEXT($G$1+1, "[$-ko-KR]yyyy-mm-dd(ddd) ") &amp; "오전 00:00"</f>
        <v>2021-06-08(화) 오전 00:00</v>
      </c>
      <c r="N69" s="260"/>
      <c r="O69" s="261"/>
      <c r="Q69" s="245"/>
      <c r="R69" s="245"/>
      <c r="S69" s="245"/>
    </row>
    <row r="70" spans="1:19" ht="17.25" thickBot="1">
      <c r="A70" s="291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85" t="s">
        <v>58</v>
      </c>
      <c r="H70" s="186" t="s">
        <v>298</v>
      </c>
      <c r="I70" s="187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5"/>
      <c r="R70" s="235"/>
      <c r="S70" s="235"/>
    </row>
    <row r="71" spans="1:19" ht="17.25" thickBot="1">
      <c r="A71" s="161" t="s">
        <v>200</v>
      </c>
      <c r="B71" s="124">
        <v>224</v>
      </c>
      <c r="C71" s="76">
        <v>6.1611374400000002E-2</v>
      </c>
      <c r="D71" s="13">
        <v>229</v>
      </c>
      <c r="E71" s="14">
        <f>IF(ISNUMBER(D71), (D71 - $B71) / $B71, "")</f>
        <v>2.2321428571428572E-2</v>
      </c>
      <c r="F71" s="16">
        <f>IF(ISNUMBER(D71), $B91 * E71, "")</f>
        <v>2232.1428571428573</v>
      </c>
      <c r="G71" s="29">
        <v>227</v>
      </c>
      <c r="H71" s="14">
        <f>IF(ISNUMBER(G71), (G71 - $B71) / $B71, "")</f>
        <v>1.3392857142857142E-2</v>
      </c>
      <c r="I71" s="100">
        <f>IF(ISNUMBER(G71), $B91 * H71, "")</f>
        <v>1339.2857142857142</v>
      </c>
      <c r="J71" s="13">
        <v>228</v>
      </c>
      <c r="K71" s="14">
        <f>IF(ISNUMBER(J71), (J71 - $B71) / $B71, "")</f>
        <v>1.7857142857142856E-2</v>
      </c>
      <c r="L71" s="16">
        <f>IF(ISNUMBER(J71), $B91 * K71, "")</f>
        <v>1785.7142857142856</v>
      </c>
      <c r="M71" s="29">
        <v>225</v>
      </c>
      <c r="N71" s="14">
        <f>IF(ISNUMBER(M71), (M71 - $B71) / $B71, "")</f>
        <v>4.464285714285714E-3</v>
      </c>
      <c r="O71" s="16">
        <f>IF(ISNUMBER(M71), $B91 * N71, "")</f>
        <v>446.42857142857139</v>
      </c>
      <c r="Q71" s="245"/>
      <c r="R71" s="245"/>
      <c r="S71" s="245"/>
    </row>
    <row r="72" spans="1:19" ht="17.25" thickBot="1">
      <c r="A72" s="162" t="s">
        <v>136</v>
      </c>
      <c r="B72" s="126">
        <v>148</v>
      </c>
      <c r="C72" s="77">
        <v>4.2253521099999997E-2</v>
      </c>
      <c r="D72" s="15">
        <v>146</v>
      </c>
      <c r="E72" s="32">
        <f t="shared" ref="E72:E75" si="30">IF(ISNUMBER(D72), (D72 - $B72) / $B72, "")</f>
        <v>-1.3513513513513514E-2</v>
      </c>
      <c r="F72" s="18">
        <f>IF(ISNUMBER(D72), $B91 * E72, "")</f>
        <v>-1351.3513513513515</v>
      </c>
      <c r="G72" s="31">
        <v>146</v>
      </c>
      <c r="H72" s="32">
        <f t="shared" ref="H72:H75" si="31">IF(ISNUMBER(G72), (G72 - $B72) / $B72, "")</f>
        <v>-1.3513513513513514E-2</v>
      </c>
      <c r="I72" s="101">
        <f>IF(ISNUMBER(G72), $B91 * H72, "")</f>
        <v>-1351.3513513513515</v>
      </c>
      <c r="J72" s="15">
        <v>145</v>
      </c>
      <c r="K72" s="32">
        <f t="shared" ref="K72:K75" si="32">IF(ISNUMBER(J72), (J72 - $B72) / $B72, "")</f>
        <v>-2.0270270270270271E-2</v>
      </c>
      <c r="L72" s="18">
        <f>IF(ISNUMBER(J72), $B91 * K72, "")</f>
        <v>-2027.0270270270271</v>
      </c>
      <c r="M72" s="31">
        <v>146</v>
      </c>
      <c r="N72" s="32">
        <f t="shared" ref="N72:N75" si="33">IF(ISNUMBER(M72), (M72 - $B72) / $B72, "")</f>
        <v>-1.3513513513513514E-2</v>
      </c>
      <c r="O72" s="18">
        <f>IF(ISNUMBER(M72), $B91 * N72, "")</f>
        <v>-1351.3513513513515</v>
      </c>
      <c r="Q72" s="245"/>
      <c r="R72" s="245"/>
      <c r="S72" s="245"/>
    </row>
    <row r="73" spans="1:19" ht="17.25" thickBot="1">
      <c r="A73" s="162" t="s">
        <v>202</v>
      </c>
      <c r="B73" s="126">
        <v>129</v>
      </c>
      <c r="C73" s="77">
        <v>4.0322580599999998E-2</v>
      </c>
      <c r="D73" s="15">
        <v>131</v>
      </c>
      <c r="E73" s="32">
        <f t="shared" si="30"/>
        <v>1.5503875968992248E-2</v>
      </c>
      <c r="F73" s="18">
        <f>IF(ISNUMBER(D73), $B91 * E73, "")</f>
        <v>1550.3875968992247</v>
      </c>
      <c r="G73" s="31">
        <v>130</v>
      </c>
      <c r="H73" s="32">
        <f t="shared" si="31"/>
        <v>7.7519379844961239E-3</v>
      </c>
      <c r="I73" s="101">
        <f>IF(ISNUMBER(G73), $B91 * H73, "")</f>
        <v>775.19379844961236</v>
      </c>
      <c r="J73" s="15">
        <v>130</v>
      </c>
      <c r="K73" s="32">
        <f t="shared" si="32"/>
        <v>7.7519379844961239E-3</v>
      </c>
      <c r="L73" s="18">
        <f>IF(ISNUMBER(J73), $B91 * K73, "")</f>
        <v>775.19379844961236</v>
      </c>
      <c r="M73" s="31">
        <v>129</v>
      </c>
      <c r="N73" s="32">
        <f t="shared" si="33"/>
        <v>0</v>
      </c>
      <c r="O73" s="18">
        <f>IF(ISNUMBER(M73), $B91 * N73, "")</f>
        <v>0</v>
      </c>
      <c r="Q73" s="235"/>
      <c r="R73" s="235"/>
      <c r="S73" s="235"/>
    </row>
    <row r="74" spans="1:19" ht="17.25" thickBot="1">
      <c r="A74" s="162" t="s">
        <v>240</v>
      </c>
      <c r="B74" s="126">
        <v>131</v>
      </c>
      <c r="C74" s="77">
        <v>3.1496062999999998E-2</v>
      </c>
      <c r="D74" s="15">
        <v>131</v>
      </c>
      <c r="E74" s="32">
        <f t="shared" si="30"/>
        <v>0</v>
      </c>
      <c r="F74" s="18">
        <f>IF(ISNUMBER(D74), $B91 * E74, "")</f>
        <v>0</v>
      </c>
      <c r="G74" s="31">
        <v>133</v>
      </c>
      <c r="H74" s="32">
        <f t="shared" si="31"/>
        <v>1.5267175572519083E-2</v>
      </c>
      <c r="I74" s="101">
        <f>IF(ISNUMBER(G74), $B91 * H74, "")</f>
        <v>1526.7175572519084</v>
      </c>
      <c r="J74" s="15">
        <v>134</v>
      </c>
      <c r="K74" s="32">
        <f t="shared" si="32"/>
        <v>2.2900763358778626E-2</v>
      </c>
      <c r="L74" s="18">
        <f>IF(ISNUMBER(J74), $B91 * K74, "")</f>
        <v>2290.0763358778627</v>
      </c>
      <c r="M74" s="31">
        <v>133</v>
      </c>
      <c r="N74" s="32">
        <f t="shared" si="33"/>
        <v>1.5267175572519083E-2</v>
      </c>
      <c r="O74" s="18">
        <f>IF(ISNUMBER(M74), $B91 * N74, "")</f>
        <v>1526.7175572519084</v>
      </c>
      <c r="Q74" s="235"/>
      <c r="R74" s="235"/>
      <c r="S74" s="235"/>
    </row>
    <row r="75" spans="1:19" ht="17.25" thickBot="1">
      <c r="A75" s="163" t="s">
        <v>232</v>
      </c>
      <c r="B75" s="128">
        <v>120</v>
      </c>
      <c r="C75" s="78">
        <v>2.5641025599999999E-2</v>
      </c>
      <c r="D75" s="20">
        <v>122</v>
      </c>
      <c r="E75" s="21">
        <f t="shared" si="30"/>
        <v>1.6666666666666666E-2</v>
      </c>
      <c r="F75" s="22">
        <f>IF(ISNUMBER(D75), $B91 * E75, "")</f>
        <v>1666.6666666666667</v>
      </c>
      <c r="G75" s="30">
        <v>122</v>
      </c>
      <c r="H75" s="21">
        <f t="shared" si="31"/>
        <v>1.6666666666666666E-2</v>
      </c>
      <c r="I75" s="105">
        <f>IF(ISNUMBER(G75), $B91 * H75, "")</f>
        <v>1666.6666666666667</v>
      </c>
      <c r="J75" s="20">
        <v>122</v>
      </c>
      <c r="K75" s="21">
        <f t="shared" si="32"/>
        <v>1.6666666666666666E-2</v>
      </c>
      <c r="L75" s="22">
        <f>IF(ISNUMBER(J75), $B91 * K75, "")</f>
        <v>1666.6666666666667</v>
      </c>
      <c r="M75" s="30">
        <v>122</v>
      </c>
      <c r="N75" s="21">
        <f t="shared" si="33"/>
        <v>1.6666666666666666E-2</v>
      </c>
      <c r="O75" s="22">
        <f>IF(ISNUMBER(M75), $B91 * N75, "")</f>
        <v>1666.6666666666667</v>
      </c>
      <c r="Q75" s="235"/>
      <c r="R75" s="235"/>
      <c r="S75" s="235"/>
    </row>
    <row r="76" spans="1:19" ht="17.25" thickBot="1">
      <c r="A76" s="162" t="s">
        <v>250</v>
      </c>
      <c r="B76" s="129">
        <v>120</v>
      </c>
      <c r="C76" s="80">
        <v>2.5641025599999999E-2</v>
      </c>
      <c r="D76" s="106">
        <v>124</v>
      </c>
      <c r="E76" s="107">
        <f>IF(ISNUMBER(D76), (D76 - $B76) / $B76, "")</f>
        <v>3.3333333333333333E-2</v>
      </c>
      <c r="F76" s="108">
        <f>IF(ISNUMBER(D76), $B91 * E76, "")</f>
        <v>3333.3333333333335</v>
      </c>
      <c r="G76" s="109">
        <v>125</v>
      </c>
      <c r="H76" s="107">
        <f>IF(ISNUMBER(G76), (G76 - $B76) / $B76, "")</f>
        <v>4.1666666666666664E-2</v>
      </c>
      <c r="I76" s="110">
        <f>IF(ISNUMBER(G76), $B91 * H76, "")</f>
        <v>4166.6666666666661</v>
      </c>
      <c r="J76" s="106">
        <v>127</v>
      </c>
      <c r="K76" s="107">
        <f>IF(ISNUMBER(J76), (J76 - $B76) / $B76, "")</f>
        <v>5.8333333333333334E-2</v>
      </c>
      <c r="L76" s="108">
        <f>IF(ISNUMBER(J76), $B91 * K76, "")</f>
        <v>5833.333333333333</v>
      </c>
      <c r="M76" s="109">
        <v>127</v>
      </c>
      <c r="N76" s="107">
        <f>IF(ISNUMBER(M76), (M76 - $B76) / $B76, "")</f>
        <v>5.8333333333333334E-2</v>
      </c>
      <c r="O76" s="108">
        <f>IF(ISNUMBER(M76), $B91 * N76, "")</f>
        <v>5833.333333333333</v>
      </c>
      <c r="Q76" s="235"/>
      <c r="R76" s="235"/>
      <c r="S76" s="235"/>
    </row>
    <row r="77" spans="1:19" ht="17.25" thickBot="1">
      <c r="A77" s="162" t="s">
        <v>210</v>
      </c>
      <c r="B77" s="126">
        <v>131</v>
      </c>
      <c r="C77" s="77">
        <v>2.34375E-2</v>
      </c>
      <c r="D77" s="15">
        <v>133</v>
      </c>
      <c r="E77" s="32">
        <f t="shared" ref="E77:E80" si="34">IF(ISNUMBER(D77), (D77 - $B77) / $B77, "")</f>
        <v>1.5267175572519083E-2</v>
      </c>
      <c r="F77" s="18">
        <f>IF(ISNUMBER(D77), $B91 * E77, "")</f>
        <v>1526.7175572519084</v>
      </c>
      <c r="G77" s="31">
        <v>135</v>
      </c>
      <c r="H77" s="32">
        <f t="shared" ref="H77:H80" si="35">IF(ISNUMBER(G77), (G77 - $B77) / $B77, "")</f>
        <v>3.0534351145038167E-2</v>
      </c>
      <c r="I77" s="101">
        <f>IF(ISNUMBER(G77), $B91 * H77, "")</f>
        <v>3053.4351145038167</v>
      </c>
      <c r="J77" s="15">
        <v>134</v>
      </c>
      <c r="K77" s="32">
        <f t="shared" ref="K77:K80" si="36">IF(ISNUMBER(J77), (J77 - $B77) / $B77, "")</f>
        <v>2.2900763358778626E-2</v>
      </c>
      <c r="L77" s="18">
        <f>IF(ISNUMBER(J77), $B91 * K77, "")</f>
        <v>2290.0763358778627</v>
      </c>
      <c r="M77" s="31">
        <v>135</v>
      </c>
      <c r="N77" s="32">
        <f t="shared" ref="N77:N80" si="37">IF(ISNUMBER(M77), (M77 - $B77) / $B77, "")</f>
        <v>3.0534351145038167E-2</v>
      </c>
      <c r="O77" s="18">
        <f>IF(ISNUMBER(M77), $B91 * N77, "")</f>
        <v>3053.4351145038167</v>
      </c>
      <c r="Q77" s="235"/>
      <c r="R77" s="235"/>
      <c r="S77" s="235"/>
    </row>
    <row r="78" spans="1:19" ht="17.25" thickBot="1">
      <c r="A78" s="162" t="s">
        <v>208</v>
      </c>
      <c r="B78" s="126">
        <v>320</v>
      </c>
      <c r="C78" s="77">
        <v>2.2364217299999999E-2</v>
      </c>
      <c r="D78" s="15">
        <v>319</v>
      </c>
      <c r="E78" s="32">
        <f t="shared" si="34"/>
        <v>-3.1250000000000002E-3</v>
      </c>
      <c r="F78" s="18">
        <f>IF(ISNUMBER(D78), $B91 * E78, "")</f>
        <v>-312.5</v>
      </c>
      <c r="G78" s="31">
        <v>320</v>
      </c>
      <c r="H78" s="32">
        <f t="shared" si="35"/>
        <v>0</v>
      </c>
      <c r="I78" s="101">
        <f>IF(ISNUMBER(G78), $B91 * H78, "")</f>
        <v>0</v>
      </c>
      <c r="J78" s="15">
        <v>322</v>
      </c>
      <c r="K78" s="32">
        <f t="shared" si="36"/>
        <v>6.2500000000000003E-3</v>
      </c>
      <c r="L78" s="18">
        <f>IF(ISNUMBER(J78), $B91 * K78, "")</f>
        <v>625</v>
      </c>
      <c r="M78" s="31">
        <v>320</v>
      </c>
      <c r="N78" s="32">
        <f t="shared" si="37"/>
        <v>0</v>
      </c>
      <c r="O78" s="18">
        <f>IF(ISNUMBER(M78), $B91 * N78, "")</f>
        <v>0</v>
      </c>
      <c r="Q78" s="235"/>
      <c r="R78" s="235"/>
      <c r="S78" s="235"/>
    </row>
    <row r="79" spans="1:19" ht="17.25" thickBot="1">
      <c r="A79" s="162" t="s">
        <v>174</v>
      </c>
      <c r="B79" s="126">
        <v>190</v>
      </c>
      <c r="C79" s="77">
        <v>2.15053763E-2</v>
      </c>
      <c r="D79" s="15">
        <v>188</v>
      </c>
      <c r="E79" s="32">
        <f t="shared" si="34"/>
        <v>-1.0526315789473684E-2</v>
      </c>
      <c r="F79" s="18">
        <f>IF(ISNUMBER(D79), $B91 * E79, "")</f>
        <v>-1052.6315789473683</v>
      </c>
      <c r="G79" s="31">
        <v>189</v>
      </c>
      <c r="H79" s="32">
        <f t="shared" si="35"/>
        <v>-5.263157894736842E-3</v>
      </c>
      <c r="I79" s="101">
        <f>IF(ISNUMBER(G79), $B91 * H79, "")</f>
        <v>-526.31578947368416</v>
      </c>
      <c r="J79" s="15">
        <v>189</v>
      </c>
      <c r="K79" s="32">
        <f t="shared" si="36"/>
        <v>-5.263157894736842E-3</v>
      </c>
      <c r="L79" s="18">
        <f>IF(ISNUMBER(J79), $B91 * K79, "")</f>
        <v>-526.31578947368416</v>
      </c>
      <c r="M79" s="31">
        <v>187</v>
      </c>
      <c r="N79" s="32">
        <f t="shared" si="37"/>
        <v>-1.5789473684210527E-2</v>
      </c>
      <c r="O79" s="18">
        <f>IF(ISNUMBER(M79), $B91 * N79, "")</f>
        <v>-1578.9473684210527</v>
      </c>
      <c r="Q79" s="33"/>
      <c r="R79" s="33"/>
    </row>
    <row r="80" spans="1:19" ht="17.25" thickBot="1">
      <c r="A80" s="130" t="s">
        <v>182</v>
      </c>
      <c r="B80" s="131">
        <v>298</v>
      </c>
      <c r="C80" s="79">
        <v>2.0547945200000001E-2</v>
      </c>
      <c r="D80" s="24">
        <v>307</v>
      </c>
      <c r="E80" s="25">
        <f t="shared" si="34"/>
        <v>3.0201342281879196E-2</v>
      </c>
      <c r="F80" s="104">
        <f>IF(ISNUMBER(D80), $B91 * E80, "")</f>
        <v>3020.1342281879197</v>
      </c>
      <c r="G80" s="102">
        <v>307</v>
      </c>
      <c r="H80" s="25">
        <f t="shared" si="35"/>
        <v>3.0201342281879196E-2</v>
      </c>
      <c r="I80" s="103">
        <f>IF(ISNUMBER(G80), $B91 * H80, "")</f>
        <v>3020.1342281879197</v>
      </c>
      <c r="J80" s="24">
        <v>309</v>
      </c>
      <c r="K80" s="25">
        <f t="shared" si="36"/>
        <v>3.6912751677852351E-2</v>
      </c>
      <c r="L80" s="104">
        <f>IF(ISNUMBER(J80), $B91 * K80, "")</f>
        <v>3691.2751677852352</v>
      </c>
      <c r="M80" s="102">
        <v>308</v>
      </c>
      <c r="N80" s="25">
        <f t="shared" si="37"/>
        <v>3.3557046979865772E-2</v>
      </c>
      <c r="O80" s="104">
        <f>IF(ISNUMBER(M80), $B91 * N80, "")</f>
        <v>3355.7046979865772</v>
      </c>
      <c r="Q80" s="236"/>
      <c r="R80" s="237"/>
      <c r="S80" s="238"/>
    </row>
    <row r="81" spans="1:19">
      <c r="A81" s="161" t="s">
        <v>282</v>
      </c>
      <c r="B81" s="124">
        <v>110</v>
      </c>
      <c r="C81" s="76">
        <v>1.8518518500000001E-2</v>
      </c>
      <c r="D81" s="13">
        <v>118</v>
      </c>
      <c r="E81" s="14">
        <f>IF(ISNUMBER(D81), (D81 - $B81) / $B81, "")</f>
        <v>7.2727272727272724E-2</v>
      </c>
      <c r="F81" s="16">
        <f>IF(ISNUMBER(D81), $B91 * E81, "")</f>
        <v>7272.7272727272721</v>
      </c>
      <c r="G81" s="29">
        <v>120</v>
      </c>
      <c r="H81" s="14">
        <f>IF(ISNUMBER(G81), (G81 - $B81) / $B81, "")</f>
        <v>9.0909090909090912E-2</v>
      </c>
      <c r="I81" s="100">
        <f>IF(ISNUMBER(G81), $B91 * H81, "")</f>
        <v>9090.9090909090919</v>
      </c>
      <c r="J81" s="13">
        <v>120</v>
      </c>
      <c r="K81" s="14">
        <f>IF(ISNUMBER(J81), (J81 - $B81) / $B81, "")</f>
        <v>9.0909090909090912E-2</v>
      </c>
      <c r="L81" s="16">
        <f>IF(ISNUMBER(J81), $B91 * K81, "")</f>
        <v>9090.9090909090919</v>
      </c>
      <c r="M81" s="29">
        <v>122</v>
      </c>
      <c r="N81" s="14">
        <f>IF(ISNUMBER(M81), (M81 - $B81) / $B81, "")</f>
        <v>0.10909090909090909</v>
      </c>
      <c r="O81" s="16">
        <f>IF(ISNUMBER(M81), $B91 * N81, "")</f>
        <v>10909.090909090908</v>
      </c>
      <c r="Q81" s="239"/>
      <c r="R81" s="240"/>
      <c r="S81" s="241"/>
    </row>
    <row r="82" spans="1:19" ht="17.25" thickBot="1">
      <c r="A82" s="162" t="s">
        <v>230</v>
      </c>
      <c r="B82" s="126">
        <v>114</v>
      </c>
      <c r="C82" s="77">
        <v>1.7857142900000001E-2</v>
      </c>
      <c r="D82" s="15">
        <v>119</v>
      </c>
      <c r="E82" s="32">
        <f t="shared" ref="E82:E85" si="38">IF(ISNUMBER(D82), (D82 - $B82) / $B82, "")</f>
        <v>4.3859649122807015E-2</v>
      </c>
      <c r="F82" s="18">
        <f>IF(ISNUMBER(D82), $B91 * E82, "")</f>
        <v>4385.9649122807014</v>
      </c>
      <c r="G82" s="31">
        <v>122</v>
      </c>
      <c r="H82" s="32">
        <f t="shared" ref="H82:H85" si="39">IF(ISNUMBER(G82), (G82 - $B82) / $B82, "")</f>
        <v>7.0175438596491224E-2</v>
      </c>
      <c r="I82" s="101">
        <f>IF(ISNUMBER(G82), $B91 * H82, "")</f>
        <v>7017.5438596491222</v>
      </c>
      <c r="J82" s="15">
        <v>120</v>
      </c>
      <c r="K82" s="32">
        <f t="shared" ref="K82:K85" si="40">IF(ISNUMBER(J82), (J82 - $B82) / $B82, "")</f>
        <v>5.2631578947368418E-2</v>
      </c>
      <c r="L82" s="18">
        <f>IF(ISNUMBER(J82), $B91 * K82, "")</f>
        <v>5263.1578947368416</v>
      </c>
      <c r="M82" s="31">
        <v>124</v>
      </c>
      <c r="N82" s="32">
        <f t="shared" ref="N82:N85" si="41">IF(ISNUMBER(M82), (M82 - $B82) / $B82, "")</f>
        <v>8.771929824561403E-2</v>
      </c>
      <c r="O82" s="18">
        <f>IF(ISNUMBER(M82), $B91 * N82, "")</f>
        <v>8771.9298245614027</v>
      </c>
      <c r="Q82" s="242"/>
      <c r="R82" s="243"/>
      <c r="S82" s="244"/>
    </row>
    <row r="83" spans="1:19" ht="17.25" thickBot="1">
      <c r="A83" s="162" t="s">
        <v>256</v>
      </c>
      <c r="B83" s="126">
        <v>179</v>
      </c>
      <c r="C83" s="77">
        <v>1.7045454500000001E-2</v>
      </c>
      <c r="D83" s="15">
        <v>181</v>
      </c>
      <c r="E83" s="32">
        <f t="shared" si="38"/>
        <v>1.11731843575419E-2</v>
      </c>
      <c r="F83" s="18">
        <f>IF(ISNUMBER(D83), $B91 * E83, "")</f>
        <v>1117.31843575419</v>
      </c>
      <c r="G83" s="31">
        <v>180</v>
      </c>
      <c r="H83" s="32">
        <f t="shared" si="39"/>
        <v>5.5865921787709499E-3</v>
      </c>
      <c r="I83" s="101">
        <f>IF(ISNUMBER(G83), $B91 * H83, "")</f>
        <v>558.65921787709499</v>
      </c>
      <c r="J83" s="15">
        <v>181</v>
      </c>
      <c r="K83" s="32">
        <f t="shared" si="40"/>
        <v>1.11731843575419E-2</v>
      </c>
      <c r="L83" s="18">
        <f>IF(ISNUMBER(J83), $B91 * K83, "")</f>
        <v>1117.31843575419</v>
      </c>
      <c r="M83" s="31">
        <v>181</v>
      </c>
      <c r="N83" s="32">
        <f t="shared" si="41"/>
        <v>1.11731843575419E-2</v>
      </c>
      <c r="O83" s="18">
        <f>IF(ISNUMBER(M83), $B91 * N83, "")</f>
        <v>1117.31843575419</v>
      </c>
      <c r="Q83" s="235"/>
      <c r="R83" s="235"/>
      <c r="S83" s="235"/>
    </row>
    <row r="84" spans="1:19" ht="17.25" thickBot="1">
      <c r="A84" s="162" t="s">
        <v>262</v>
      </c>
      <c r="B84" s="126">
        <v>638</v>
      </c>
      <c r="C84" s="77">
        <v>1.5923566900000002E-2</v>
      </c>
      <c r="D84" s="15">
        <v>662</v>
      </c>
      <c r="E84" s="32">
        <f t="shared" si="38"/>
        <v>3.7617554858934171E-2</v>
      </c>
      <c r="F84" s="18">
        <f>IF(ISNUMBER(D84), $B91 * E84, "")</f>
        <v>3761.7554858934172</v>
      </c>
      <c r="G84" s="31">
        <v>660</v>
      </c>
      <c r="H84" s="32">
        <f t="shared" si="39"/>
        <v>3.4482758620689655E-2</v>
      </c>
      <c r="I84" s="101">
        <f>IF(ISNUMBER(G84), $B91 * H84, "")</f>
        <v>3448.2758620689656</v>
      </c>
      <c r="J84" s="15">
        <v>665</v>
      </c>
      <c r="K84" s="32">
        <f t="shared" si="40"/>
        <v>4.2319749216300939E-2</v>
      </c>
      <c r="L84" s="18">
        <f>IF(ISNUMBER(J84), $B91 * K84, "")</f>
        <v>4231.9749216300943</v>
      </c>
      <c r="M84" s="31">
        <v>657</v>
      </c>
      <c r="N84" s="32">
        <f t="shared" si="41"/>
        <v>2.9780564263322883E-2</v>
      </c>
      <c r="O84" s="18">
        <f>IF(ISNUMBER(M84), $B91 * N84, "")</f>
        <v>2978.0564263322885</v>
      </c>
      <c r="Q84" s="245"/>
      <c r="R84" s="245"/>
      <c r="S84" s="245"/>
    </row>
    <row r="85" spans="1:19" ht="17.25" thickBot="1">
      <c r="A85" s="163" t="s">
        <v>258</v>
      </c>
      <c r="B85" s="128">
        <v>490</v>
      </c>
      <c r="C85" s="78">
        <v>1.44927536E-2</v>
      </c>
      <c r="D85" s="20">
        <v>490</v>
      </c>
      <c r="E85" s="21">
        <f t="shared" si="38"/>
        <v>0</v>
      </c>
      <c r="F85" s="22">
        <f>IF(ISNUMBER(D85), $B91 * E85, "")</f>
        <v>0</v>
      </c>
      <c r="G85" s="30">
        <v>492</v>
      </c>
      <c r="H85" s="21">
        <f t="shared" si="39"/>
        <v>4.0816326530612249E-3</v>
      </c>
      <c r="I85" s="105">
        <f>IF(ISNUMBER(G85), $B91 * H85, "")</f>
        <v>408.16326530612247</v>
      </c>
      <c r="J85" s="20">
        <v>493</v>
      </c>
      <c r="K85" s="21">
        <f t="shared" si="40"/>
        <v>6.1224489795918364E-3</v>
      </c>
      <c r="L85" s="22">
        <f>IF(ISNUMBER(J85), $B91 * K85, "")</f>
        <v>612.24489795918362</v>
      </c>
      <c r="M85" s="30">
        <v>489</v>
      </c>
      <c r="N85" s="21">
        <f t="shared" si="41"/>
        <v>-2.0408163265306124E-3</v>
      </c>
      <c r="O85" s="22">
        <f>IF(ISNUMBER(M85), $B91 * N85, "")</f>
        <v>-204.08163265306123</v>
      </c>
      <c r="Q85" s="245"/>
      <c r="R85" s="245"/>
      <c r="S85" s="245"/>
    </row>
    <row r="86" spans="1:19" ht="17.25" thickBot="1">
      <c r="A86" s="162" t="s">
        <v>120</v>
      </c>
      <c r="B86" s="129">
        <v>142</v>
      </c>
      <c r="C86" s="80">
        <v>1.42857143E-2</v>
      </c>
      <c r="D86" s="106">
        <v>145</v>
      </c>
      <c r="E86" s="107">
        <f>IF(ISNUMBER(D86), (D86 - $B86) / $B86, "")</f>
        <v>2.1126760563380281E-2</v>
      </c>
      <c r="F86" s="108">
        <f>IF(ISNUMBER(D86), $B91 * E86, "")</f>
        <v>2112.676056338028</v>
      </c>
      <c r="G86" s="109">
        <v>146</v>
      </c>
      <c r="H86" s="107">
        <f>IF(ISNUMBER(G86), (G86 - $B86) / $B86, "")</f>
        <v>2.8169014084507043E-2</v>
      </c>
      <c r="I86" s="110">
        <f>IF(ISNUMBER(G86), $B91 * H86, "")</f>
        <v>2816.9014084507044</v>
      </c>
      <c r="J86" s="106">
        <v>145</v>
      </c>
      <c r="K86" s="107">
        <f>IF(ISNUMBER(J86), (J86 - $B86) / $B86, "")</f>
        <v>2.1126760563380281E-2</v>
      </c>
      <c r="L86" s="108">
        <f>IF(ISNUMBER(J86), $B91 * K86, "")</f>
        <v>2112.676056338028</v>
      </c>
      <c r="M86" s="109">
        <v>145</v>
      </c>
      <c r="N86" s="107">
        <f>IF(ISNUMBER(M86), (M86 - $B86) / $B86, "")</f>
        <v>2.1126760563380281E-2</v>
      </c>
      <c r="O86" s="108">
        <f>IF(ISNUMBER(M86), $B91 * N86, "")</f>
        <v>2112.676056338028</v>
      </c>
      <c r="Q86" s="235"/>
      <c r="R86" s="235"/>
      <c r="S86" s="235"/>
    </row>
    <row r="87" spans="1:19" ht="17.25" thickBot="1">
      <c r="A87" s="162" t="s">
        <v>54</v>
      </c>
      <c r="B87" s="126">
        <v>265</v>
      </c>
      <c r="C87" s="77">
        <v>1.14503817E-2</v>
      </c>
      <c r="D87" s="15">
        <v>266</v>
      </c>
      <c r="E87" s="32">
        <f t="shared" ref="E87:E90" si="42">IF(ISNUMBER(D87), (D87 - $B87) / $B87, "")</f>
        <v>3.7735849056603774E-3</v>
      </c>
      <c r="F87" s="18">
        <f>IF(ISNUMBER(D87), $B91 * E87, "")</f>
        <v>377.35849056603774</v>
      </c>
      <c r="G87" s="31">
        <v>266</v>
      </c>
      <c r="H87" s="32">
        <f t="shared" ref="H87:H90" si="43">IF(ISNUMBER(G87), (G87 - $B87) / $B87, "")</f>
        <v>3.7735849056603774E-3</v>
      </c>
      <c r="I87" s="101">
        <f>IF(ISNUMBER(G87), $B91 * H87, "")</f>
        <v>377.35849056603774</v>
      </c>
      <c r="J87" s="15">
        <v>266</v>
      </c>
      <c r="K87" s="32">
        <f t="shared" ref="K87:K90" si="44">IF(ISNUMBER(J87), (J87 - $B87) / $B87, "")</f>
        <v>3.7735849056603774E-3</v>
      </c>
      <c r="L87" s="18">
        <f>IF(ISNUMBER(J87), $B91 * K87, "")</f>
        <v>377.35849056603774</v>
      </c>
      <c r="M87" s="31">
        <v>262</v>
      </c>
      <c r="N87" s="32">
        <f t="shared" ref="N87:N90" si="45">IF(ISNUMBER(M87), (M87 - $B87) / $B87, "")</f>
        <v>-1.1320754716981131E-2</v>
      </c>
      <c r="O87" s="18">
        <f>IF(ISNUMBER(M87), $B91 * N87, "")</f>
        <v>-1132.0754716981132</v>
      </c>
      <c r="Q87" s="235"/>
      <c r="R87" s="235"/>
      <c r="S87" s="235"/>
    </row>
    <row r="88" spans="1:19" ht="17.25" thickBot="1">
      <c r="A88" s="162" t="s">
        <v>238</v>
      </c>
      <c r="B88" s="126">
        <v>186</v>
      </c>
      <c r="C88" s="77">
        <v>1.08695652E-2</v>
      </c>
      <c r="D88" s="15">
        <v>189</v>
      </c>
      <c r="E88" s="32">
        <f t="shared" si="42"/>
        <v>1.6129032258064516E-2</v>
      </c>
      <c r="F88" s="18">
        <f>IF(ISNUMBER(D88), $B91 * E88, "")</f>
        <v>1612.9032258064515</v>
      </c>
      <c r="G88" s="31">
        <v>189</v>
      </c>
      <c r="H88" s="32">
        <f t="shared" si="43"/>
        <v>1.6129032258064516E-2</v>
      </c>
      <c r="I88" s="101">
        <f>IF(ISNUMBER(G88), $B91 * H88, "")</f>
        <v>1612.9032258064515</v>
      </c>
      <c r="J88" s="15">
        <v>190</v>
      </c>
      <c r="K88" s="32">
        <f t="shared" si="44"/>
        <v>2.1505376344086023E-2</v>
      </c>
      <c r="L88" s="18">
        <f>IF(ISNUMBER(J88), $B91 * K88, "")</f>
        <v>2150.5376344086021</v>
      </c>
      <c r="M88" s="31">
        <v>190</v>
      </c>
      <c r="N88" s="32">
        <f t="shared" si="45"/>
        <v>2.1505376344086023E-2</v>
      </c>
      <c r="O88" s="18">
        <f>IF(ISNUMBER(M88), $B91 * N88, "")</f>
        <v>2150.5376344086021</v>
      </c>
      <c r="Q88" s="235"/>
      <c r="R88" s="235"/>
      <c r="S88" s="235"/>
    </row>
    <row r="89" spans="1:19">
      <c r="A89" s="162" t="s">
        <v>252</v>
      </c>
      <c r="B89" s="126">
        <v>317</v>
      </c>
      <c r="C89" s="77">
        <v>9.5541401000000005E-3</v>
      </c>
      <c r="D89" s="15">
        <v>341</v>
      </c>
      <c r="E89" s="32">
        <f t="shared" si="42"/>
        <v>7.5709779179810727E-2</v>
      </c>
      <c r="F89" s="18">
        <f>IF(ISNUMBER(D89), $B91 * E89, "")</f>
        <v>7570.977917981073</v>
      </c>
      <c r="G89" s="31">
        <v>331</v>
      </c>
      <c r="H89" s="32">
        <f t="shared" si="43"/>
        <v>4.4164037854889593E-2</v>
      </c>
      <c r="I89" s="101">
        <f>IF(ISNUMBER(G89), $B91 * H89, "")</f>
        <v>4416.4037854889593</v>
      </c>
      <c r="J89" s="15">
        <v>330</v>
      </c>
      <c r="K89" s="32">
        <f t="shared" si="44"/>
        <v>4.1009463722397478E-2</v>
      </c>
      <c r="L89" s="18">
        <f>IF(ISNUMBER(J89), $B91 * K89, "")</f>
        <v>4100.9463722397477</v>
      </c>
      <c r="M89" s="31">
        <v>331</v>
      </c>
      <c r="N89" s="32">
        <f t="shared" si="45"/>
        <v>4.4164037854889593E-2</v>
      </c>
      <c r="O89" s="18">
        <f>IF(ISNUMBER(M89), $B91 * N89, "")</f>
        <v>4416.4037854889593</v>
      </c>
      <c r="Q89" s="224"/>
      <c r="R89" s="225"/>
      <c r="S89" s="226"/>
    </row>
    <row r="90" spans="1:19" ht="17.25" thickBot="1">
      <c r="A90" s="130" t="s">
        <v>168</v>
      </c>
      <c r="B90" s="131">
        <v>107</v>
      </c>
      <c r="C90" s="79">
        <v>9.4339622999999994E-3</v>
      </c>
      <c r="D90" s="24">
        <v>111</v>
      </c>
      <c r="E90" s="25">
        <f t="shared" si="42"/>
        <v>3.7383177570093455E-2</v>
      </c>
      <c r="F90" s="104">
        <f>IF(ISNUMBER(D90), $B91 * E90, "")</f>
        <v>3738.3177570093453</v>
      </c>
      <c r="G90" s="102">
        <v>110</v>
      </c>
      <c r="H90" s="25">
        <f t="shared" si="43"/>
        <v>2.8037383177570093E-2</v>
      </c>
      <c r="I90" s="103">
        <f>IF(ISNUMBER(G90), $B91 * H90, "")</f>
        <v>2803.7383177570091</v>
      </c>
      <c r="J90" s="24">
        <v>110</v>
      </c>
      <c r="K90" s="25">
        <f t="shared" si="44"/>
        <v>2.8037383177570093E-2</v>
      </c>
      <c r="L90" s="104">
        <f>IF(ISNUMBER(J90), $B91 * K90, "")</f>
        <v>2803.7383177570091</v>
      </c>
      <c r="M90" s="102">
        <v>109</v>
      </c>
      <c r="N90" s="25">
        <f t="shared" si="45"/>
        <v>1.8691588785046728E-2</v>
      </c>
      <c r="O90" s="104">
        <f>IF(ISNUMBER(M90), $B91 * N90, "")</f>
        <v>1869.1588785046727</v>
      </c>
      <c r="Q90" s="227"/>
      <c r="R90" s="228"/>
      <c r="S90" s="229"/>
    </row>
    <row r="91" spans="1:19" ht="17.25" thickBot="1">
      <c r="A91" s="132" t="s">
        <v>300</v>
      </c>
      <c r="B91" s="288">
        <f>$B$37</f>
        <v>100000</v>
      </c>
      <c r="C91" s="289"/>
      <c r="D91" s="26" t="s">
        <v>301</v>
      </c>
      <c r="E91" s="27">
        <f>IF(COUNT(E71:E90), SUM(E71:E90) / COUNT(E71:E90), 0)</f>
        <v>2.128144943176985E-2</v>
      </c>
      <c r="F91" s="28">
        <f>SUM(F71:F90)</f>
        <v>42562.898863539711</v>
      </c>
      <c r="G91" s="26" t="s">
        <v>301</v>
      </c>
      <c r="H91" s="27">
        <f>IF(COUNT(H71:H90), SUM(H71:H90) / COUNT(H71:H90), 0)</f>
        <v>2.3110644564533413E-2</v>
      </c>
      <c r="I91" s="28">
        <f>SUM(I71:I90)</f>
        <v>46221.289129066834</v>
      </c>
      <c r="J91" s="26" t="s">
        <v>301</v>
      </c>
      <c r="K91" s="27">
        <f>IF(COUNT(K71:K90), SUM(K71:K90) / COUNT(K71:K90), 0)</f>
        <v>2.4132427609751487E-2</v>
      </c>
      <c r="L91" s="28">
        <f>SUM(L71:L90)</f>
        <v>48264.855219502977</v>
      </c>
      <c r="M91" s="26" t="s">
        <v>301</v>
      </c>
      <c r="N91" s="27">
        <f>IF(COUNT(N71:N90), SUM(N71:N90) / COUNT(N71:N90), 0)</f>
        <v>2.297050103376317E-2</v>
      </c>
      <c r="O91" s="28">
        <f>SUM(O71:O90)</f>
        <v>45941.002067526351</v>
      </c>
      <c r="Q91" s="230"/>
      <c r="R91" s="231"/>
      <c r="S91" s="232"/>
    </row>
    <row r="93" spans="1:19" ht="17.25" thickBot="1"/>
    <row r="94" spans="1:19" ht="17.25" thickBot="1">
      <c r="A94" s="246" t="s">
        <v>46</v>
      </c>
      <c r="B94" s="247"/>
      <c r="C94" s="247"/>
      <c r="D94" s="247"/>
      <c r="E94" s="247"/>
      <c r="F94" s="247"/>
      <c r="G94" s="247"/>
      <c r="H94" s="247"/>
      <c r="I94" s="247"/>
      <c r="J94" s="247"/>
      <c r="K94" s="247"/>
      <c r="L94" s="247"/>
      <c r="M94" s="247"/>
      <c r="N94" s="247"/>
      <c r="O94" s="248"/>
      <c r="Q94" s="245"/>
      <c r="R94" s="245"/>
      <c r="S94" s="245"/>
    </row>
    <row r="95" spans="1:19" ht="17.25" thickBot="1">
      <c r="A95" s="184" t="s">
        <v>297</v>
      </c>
      <c r="B95" s="246" t="s">
        <v>49</v>
      </c>
      <c r="C95" s="248"/>
      <c r="D95" s="246" t="s">
        <v>58</v>
      </c>
      <c r="E95" s="247"/>
      <c r="F95" s="248"/>
      <c r="G95" s="249">
        <f>_xlfn.IFNA(VLOOKUP(B95, 현재가테이블!$B$2:$D$200, 2, FALSE), "-")</f>
        <v>45335000</v>
      </c>
      <c r="H95" s="250"/>
      <c r="I95" s="251"/>
      <c r="J95" s="246" t="s">
        <v>59</v>
      </c>
      <c r="K95" s="247"/>
      <c r="L95" s="248"/>
      <c r="M95" s="252">
        <f>_xlfn.IFNA(VLOOKUP(B95, 현재가테이블!$B$2:$D$200, 3, FALSE), "-")</f>
        <v>-2.27209037E-2</v>
      </c>
      <c r="N95" s="253"/>
      <c r="O95" s="254"/>
      <c r="Q95" s="245"/>
      <c r="R95" s="245"/>
      <c r="S95" s="245"/>
    </row>
    <row r="96" spans="1:19" ht="17.25" thickBot="1">
      <c r="A96" s="290" t="s">
        <v>55</v>
      </c>
      <c r="B96" s="286" t="str">
        <f>TEXT($G$1, "[$-ko-KR]yyyy-mm-dd(ddd) ") &amp; "오전 00:00"</f>
        <v>2021-06-07(월) 오전 00:00</v>
      </c>
      <c r="C96" s="287"/>
      <c r="D96" s="259" t="str">
        <f>TEXT($G$1, "[$-ko-KR]yyyy-mm-dd(ddd) ") &amp; "오후 14:00"</f>
        <v>2021-06-07(월) 오후 14:00</v>
      </c>
      <c r="E96" s="260"/>
      <c r="F96" s="261"/>
      <c r="G96" s="259" t="str">
        <f>TEXT($G$1, "[$-ko-KR]yyyy-mm-dd(ddd) ") &amp; "오후 19:00"</f>
        <v>2021-06-07(월) 오후 19:00</v>
      </c>
      <c r="H96" s="260"/>
      <c r="I96" s="261"/>
      <c r="J96" s="259" t="str">
        <f>TEXT($G$1, "[$-ko-KR]yyyy-mm-dd(ddd) ") &amp; "오후 21:00"</f>
        <v>2021-06-07(월) 오후 21:00</v>
      </c>
      <c r="K96" s="260"/>
      <c r="L96" s="261"/>
      <c r="M96" s="259" t="str">
        <f>TEXT($G$1+1, "[$-ko-KR]yyyy-mm-dd(ddd) ") &amp; "오전 00:00"</f>
        <v>2021-06-08(화) 오전 00:00</v>
      </c>
      <c r="N96" s="260"/>
      <c r="O96" s="261"/>
      <c r="Q96" s="245"/>
      <c r="R96" s="245"/>
      <c r="S96" s="245"/>
    </row>
    <row r="97" spans="1:19" ht="17.25" thickBot="1">
      <c r="A97" s="291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85" t="s">
        <v>58</v>
      </c>
      <c r="H97" s="186" t="s">
        <v>298</v>
      </c>
      <c r="I97" s="187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5"/>
      <c r="R97" s="235"/>
      <c r="S97" s="235"/>
    </row>
    <row r="98" spans="1:19" ht="17.25" thickBot="1">
      <c r="A98" s="161" t="s">
        <v>190</v>
      </c>
      <c r="B98" s="124">
        <v>68700</v>
      </c>
      <c r="C98" s="76">
        <v>0.46263572489999999</v>
      </c>
      <c r="D98" s="13">
        <v>72970</v>
      </c>
      <c r="E98" s="14">
        <f>IF(ISNUMBER(D98), (D98 - $B98) / $B98, "")</f>
        <v>6.2154294032023293E-2</v>
      </c>
      <c r="F98" s="16">
        <f>IF(ISNUMBER(D98), $B118 * E98, "")</f>
        <v>6215.429403202329</v>
      </c>
      <c r="G98" s="29">
        <v>67220</v>
      </c>
      <c r="H98" s="14">
        <f>IF(ISNUMBER(G98), (G98 - $B98) / $B98, "")</f>
        <v>-2.1542940320232896E-2</v>
      </c>
      <c r="I98" s="100">
        <f>IF(ISNUMBER(G98), $B118 * H98, "")</f>
        <v>-2154.2940320232897</v>
      </c>
      <c r="J98" s="13">
        <v>67220</v>
      </c>
      <c r="K98" s="14">
        <f>IF(ISNUMBER(J98), (J98 - $B98) / $B98, "")</f>
        <v>-2.1542940320232896E-2</v>
      </c>
      <c r="L98" s="16">
        <f>IF(ISNUMBER(J98), $B118 * K98, "")</f>
        <v>-2154.2940320232897</v>
      </c>
      <c r="M98" s="29">
        <v>65050</v>
      </c>
      <c r="N98" s="14">
        <f>IF(ISNUMBER(M98), (M98 - $B98) / $B98, "")</f>
        <v>-5.3129548762736532E-2</v>
      </c>
      <c r="O98" s="16">
        <f>IF(ISNUMBER(M98), $B118 * N98, "")</f>
        <v>-5312.9548762736531</v>
      </c>
      <c r="Q98" s="245"/>
      <c r="R98" s="245"/>
      <c r="S98" s="245"/>
    </row>
    <row r="99" spans="1:19" ht="17.25" thickBot="1">
      <c r="A99" s="162" t="s">
        <v>164</v>
      </c>
      <c r="B99" s="126">
        <v>18940</v>
      </c>
      <c r="C99" s="77">
        <v>0.13617276540000001</v>
      </c>
      <c r="D99" s="15">
        <v>18250</v>
      </c>
      <c r="E99" s="32">
        <f t="shared" ref="E99:E102" si="46">IF(ISNUMBER(D99), (D99 - $B99) / $B99, "")</f>
        <v>-3.6430834213305174E-2</v>
      </c>
      <c r="F99" s="18">
        <f>IF(ISNUMBER(D99), $B118 * E99, "")</f>
        <v>-3643.0834213305175</v>
      </c>
      <c r="G99" s="31">
        <v>18040</v>
      </c>
      <c r="H99" s="32">
        <f t="shared" ref="H99:H102" si="47">IF(ISNUMBER(G99), (G99 - $B99) / $B99, "")</f>
        <v>-4.7518479408658922E-2</v>
      </c>
      <c r="I99" s="101">
        <f>IF(ISNUMBER(G99), $B118 * H99, "")</f>
        <v>-4751.8479408658923</v>
      </c>
      <c r="J99" s="15">
        <v>18090</v>
      </c>
      <c r="K99" s="32">
        <f t="shared" ref="K99:K102" si="48">IF(ISNUMBER(J99), (J99 - $B99) / $B99, "")</f>
        <v>-4.4878563885955652E-2</v>
      </c>
      <c r="L99" s="18">
        <f>IF(ISNUMBER(J99), $B118 * K99, "")</f>
        <v>-4487.8563885955655</v>
      </c>
      <c r="M99" s="31">
        <v>17850</v>
      </c>
      <c r="N99" s="32">
        <f t="shared" ref="N99:N102" si="49">IF(ISNUMBER(M99), (M99 - $B99) / $B99, "")</f>
        <v>-5.7550158394931362E-2</v>
      </c>
      <c r="O99" s="18">
        <f>IF(ISNUMBER(M99), $B118 * N99, "")</f>
        <v>-5755.0158394931359</v>
      </c>
      <c r="Q99" s="245"/>
      <c r="R99" s="245"/>
      <c r="S99" s="245"/>
    </row>
    <row r="100" spans="1:19" ht="17.25" thickBot="1">
      <c r="A100" s="162" t="s">
        <v>276</v>
      </c>
      <c r="B100" s="126">
        <v>3200</v>
      </c>
      <c r="C100" s="77">
        <v>0.13274336279999999</v>
      </c>
      <c r="D100" s="15">
        <v>3740</v>
      </c>
      <c r="E100" s="32">
        <f t="shared" si="46"/>
        <v>0.16875000000000001</v>
      </c>
      <c r="F100" s="18">
        <f>IF(ISNUMBER(D100), $B118 * E100, "")</f>
        <v>16875</v>
      </c>
      <c r="G100" s="31">
        <v>3720</v>
      </c>
      <c r="H100" s="32">
        <f t="shared" si="47"/>
        <v>0.16250000000000001</v>
      </c>
      <c r="I100" s="101">
        <f>IF(ISNUMBER(G100), $B118 * H100, "")</f>
        <v>16250</v>
      </c>
      <c r="J100" s="15">
        <v>3750</v>
      </c>
      <c r="K100" s="32">
        <f t="shared" si="48"/>
        <v>0.171875</v>
      </c>
      <c r="L100" s="18">
        <f>IF(ISNUMBER(J100), $B118 * K100, "")</f>
        <v>17187.5</v>
      </c>
      <c r="M100" s="31">
        <v>3610</v>
      </c>
      <c r="N100" s="32">
        <f t="shared" si="49"/>
        <v>0.12812499999999999</v>
      </c>
      <c r="O100" s="18">
        <f>IF(ISNUMBER(M100), $B118 * N100, "")</f>
        <v>12812.499999999998</v>
      </c>
      <c r="Q100" s="235"/>
      <c r="R100" s="235"/>
      <c r="S100" s="235"/>
    </row>
    <row r="101" spans="1:19" ht="17.25" thickBot="1">
      <c r="A101" s="162" t="s">
        <v>180</v>
      </c>
      <c r="B101" s="126">
        <v>2875</v>
      </c>
      <c r="C101" s="77">
        <v>9.9426386199999994E-2</v>
      </c>
      <c r="D101" s="15">
        <v>3475</v>
      </c>
      <c r="E101" s="32">
        <f t="shared" si="46"/>
        <v>0.20869565217391303</v>
      </c>
      <c r="F101" s="18">
        <f>IF(ISNUMBER(D101), $B118 * E101, "")</f>
        <v>20869.565217391304</v>
      </c>
      <c r="G101" s="31">
        <v>3835</v>
      </c>
      <c r="H101" s="32">
        <f t="shared" si="47"/>
        <v>0.3339130434782609</v>
      </c>
      <c r="I101" s="101">
        <f>IF(ISNUMBER(G101), $B118 * H101, "")</f>
        <v>33391.304347826088</v>
      </c>
      <c r="J101" s="15">
        <v>3770</v>
      </c>
      <c r="K101" s="32">
        <f t="shared" si="48"/>
        <v>0.31130434782608696</v>
      </c>
      <c r="L101" s="18">
        <f>IF(ISNUMBER(J101), $B118 * K101, "")</f>
        <v>31130.434782608696</v>
      </c>
      <c r="M101" s="31">
        <v>3675</v>
      </c>
      <c r="N101" s="32">
        <f t="shared" si="49"/>
        <v>0.27826086956521739</v>
      </c>
      <c r="O101" s="18">
        <f>IF(ISNUMBER(M101), $B118 * N101, "")</f>
        <v>27826.08695652174</v>
      </c>
      <c r="Q101" s="235"/>
      <c r="R101" s="235"/>
      <c r="S101" s="235"/>
    </row>
    <row r="102" spans="1:19" ht="17.25" thickBot="1">
      <c r="A102" s="163" t="s">
        <v>72</v>
      </c>
      <c r="B102" s="128">
        <v>22.5</v>
      </c>
      <c r="C102" s="78">
        <v>8.6956521699999997E-2</v>
      </c>
      <c r="D102" s="20">
        <v>22.7</v>
      </c>
      <c r="E102" s="21">
        <f t="shared" si="46"/>
        <v>8.8888888888888577E-3</v>
      </c>
      <c r="F102" s="22">
        <f>IF(ISNUMBER(D102), $B118 * E102, "")</f>
        <v>888.88888888888573</v>
      </c>
      <c r="G102" s="30">
        <v>23.3</v>
      </c>
      <c r="H102" s="21">
        <f t="shared" si="47"/>
        <v>3.555555555555559E-2</v>
      </c>
      <c r="I102" s="105">
        <f>IF(ISNUMBER(G102), $B118 * H102, "")</f>
        <v>3555.5555555555588</v>
      </c>
      <c r="J102" s="20">
        <v>23.6</v>
      </c>
      <c r="K102" s="21">
        <f t="shared" si="48"/>
        <v>4.8888888888888954E-2</v>
      </c>
      <c r="L102" s="22">
        <f>IF(ISNUMBER(J102), $B118 * K102, "")</f>
        <v>4888.8888888888951</v>
      </c>
      <c r="M102" s="30">
        <v>22.9</v>
      </c>
      <c r="N102" s="21">
        <f t="shared" si="49"/>
        <v>1.7777777777777715E-2</v>
      </c>
      <c r="O102" s="22">
        <f>IF(ISNUMBER(M102), $B118 * N102, "")</f>
        <v>1777.7777777777715</v>
      </c>
      <c r="Q102" s="235"/>
      <c r="R102" s="235"/>
      <c r="S102" s="235"/>
    </row>
    <row r="103" spans="1:19" ht="17.25" thickBot="1">
      <c r="A103" s="162" t="s">
        <v>192</v>
      </c>
      <c r="B103" s="129">
        <v>1195</v>
      </c>
      <c r="C103" s="80">
        <v>6.2222222200000003E-2</v>
      </c>
      <c r="D103" s="106">
        <v>1205</v>
      </c>
      <c r="E103" s="107">
        <f>IF(ISNUMBER(D103), (D103 - $B103) / $B103, "")</f>
        <v>8.368200836820083E-3</v>
      </c>
      <c r="F103" s="108">
        <f>IF(ISNUMBER(D103), $B118 * E103, "")</f>
        <v>836.82008368200832</v>
      </c>
      <c r="G103" s="109">
        <v>1200</v>
      </c>
      <c r="H103" s="107">
        <f>IF(ISNUMBER(G103), (G103 - $B103) / $B103, "")</f>
        <v>4.1841004184100415E-3</v>
      </c>
      <c r="I103" s="110">
        <f>IF(ISNUMBER(G103), $B118 * H103, "")</f>
        <v>418.41004184100416</v>
      </c>
      <c r="J103" s="106">
        <v>1205</v>
      </c>
      <c r="K103" s="107">
        <f>IF(ISNUMBER(J103), (J103 - $B103) / $B103, "")</f>
        <v>8.368200836820083E-3</v>
      </c>
      <c r="L103" s="108">
        <f>IF(ISNUMBER(J103), $B118 * K103, "")</f>
        <v>836.82008368200832</v>
      </c>
      <c r="M103" s="109">
        <v>1190</v>
      </c>
      <c r="N103" s="107">
        <f>IF(ISNUMBER(M103), (M103 - $B103) / $B103, "")</f>
        <v>-4.1841004184100415E-3</v>
      </c>
      <c r="O103" s="108">
        <f>IF(ISNUMBER(M103), $B118 * N103, "")</f>
        <v>-418.41004184100416</v>
      </c>
      <c r="Q103" s="235"/>
      <c r="R103" s="235"/>
      <c r="S103" s="235"/>
    </row>
    <row r="104" spans="1:19" ht="17.25" thickBot="1">
      <c r="A104" s="162" t="s">
        <v>200</v>
      </c>
      <c r="B104" s="126">
        <v>224</v>
      </c>
      <c r="C104" s="77">
        <v>6.1611374400000002E-2</v>
      </c>
      <c r="D104" s="15">
        <v>229</v>
      </c>
      <c r="E104" s="32">
        <f t="shared" ref="E104:E107" si="50">IF(ISNUMBER(D104), (D104 - $B104) / $B104, "")</f>
        <v>2.2321428571428572E-2</v>
      </c>
      <c r="F104" s="18">
        <f>IF(ISNUMBER(D104), $B118 * E104, "")</f>
        <v>2232.1428571428573</v>
      </c>
      <c r="G104" s="31">
        <v>227</v>
      </c>
      <c r="H104" s="32">
        <f t="shared" ref="H104:H107" si="51">IF(ISNUMBER(G104), (G104 - $B104) / $B104, "")</f>
        <v>1.3392857142857142E-2</v>
      </c>
      <c r="I104" s="101">
        <f>IF(ISNUMBER(G104), $B118 * H104, "")</f>
        <v>1339.2857142857142</v>
      </c>
      <c r="J104" s="15">
        <v>228</v>
      </c>
      <c r="K104" s="32">
        <f t="shared" ref="K104:K107" si="52">IF(ISNUMBER(J104), (J104 - $B104) / $B104, "")</f>
        <v>1.7857142857142856E-2</v>
      </c>
      <c r="L104" s="18">
        <f>IF(ISNUMBER(J104), $B118 * K104, "")</f>
        <v>1785.7142857142856</v>
      </c>
      <c r="M104" s="31">
        <v>225</v>
      </c>
      <c r="N104" s="32">
        <f t="shared" ref="N104:N107" si="53">IF(ISNUMBER(M104), (M104 - $B104) / $B104, "")</f>
        <v>4.464285714285714E-3</v>
      </c>
      <c r="O104" s="18">
        <f>IF(ISNUMBER(M104), $B118 * N104, "")</f>
        <v>446.42857142857139</v>
      </c>
      <c r="Q104" s="235"/>
      <c r="R104" s="235"/>
      <c r="S104" s="235"/>
    </row>
    <row r="105" spans="1:19" ht="17.25" thickBot="1">
      <c r="A105" s="162" t="s">
        <v>166</v>
      </c>
      <c r="B105" s="126">
        <v>1320</v>
      </c>
      <c r="C105" s="77">
        <v>4.7619047599999999E-2</v>
      </c>
      <c r="D105" s="15">
        <v>1320</v>
      </c>
      <c r="E105" s="32">
        <f t="shared" si="50"/>
        <v>0</v>
      </c>
      <c r="F105" s="18">
        <f>IF(ISNUMBER(D105), $B118 * E105, "")</f>
        <v>0</v>
      </c>
      <c r="G105" s="31">
        <v>1315</v>
      </c>
      <c r="H105" s="32">
        <f t="shared" si="51"/>
        <v>-3.787878787878788E-3</v>
      </c>
      <c r="I105" s="101">
        <f>IF(ISNUMBER(G105), $B118 * H105, "")</f>
        <v>-378.78787878787881</v>
      </c>
      <c r="J105" s="15">
        <v>1315</v>
      </c>
      <c r="K105" s="32">
        <f t="shared" si="52"/>
        <v>-3.787878787878788E-3</v>
      </c>
      <c r="L105" s="18">
        <f>IF(ISNUMBER(J105), $B118 * K105, "")</f>
        <v>-378.78787878787881</v>
      </c>
      <c r="M105" s="31">
        <v>1315</v>
      </c>
      <c r="N105" s="32">
        <f t="shared" si="53"/>
        <v>-3.787878787878788E-3</v>
      </c>
      <c r="O105" s="18">
        <f>IF(ISNUMBER(M105), $B118 * N105, "")</f>
        <v>-378.78787878787881</v>
      </c>
      <c r="Q105" s="235"/>
      <c r="R105" s="235"/>
      <c r="S105" s="235"/>
    </row>
    <row r="106" spans="1:19" ht="17.25" thickBot="1">
      <c r="A106" s="162" t="s">
        <v>228</v>
      </c>
      <c r="B106" s="126">
        <v>11</v>
      </c>
      <c r="C106" s="77">
        <v>4.7619047599999999E-2</v>
      </c>
      <c r="D106" s="15">
        <v>11.2</v>
      </c>
      <c r="E106" s="32">
        <f t="shared" si="50"/>
        <v>1.8181818181818118E-2</v>
      </c>
      <c r="F106" s="18">
        <f>IF(ISNUMBER(D106), $B118 * E106, "")</f>
        <v>1818.1818181818119</v>
      </c>
      <c r="G106" s="31">
        <v>11.1</v>
      </c>
      <c r="H106" s="32">
        <f t="shared" si="51"/>
        <v>9.0909090909090592E-3</v>
      </c>
      <c r="I106" s="101">
        <f>IF(ISNUMBER(G106), $B118 * H106, "")</f>
        <v>909.09090909090594</v>
      </c>
      <c r="J106" s="15">
        <v>11.3</v>
      </c>
      <c r="K106" s="32">
        <f t="shared" si="52"/>
        <v>2.7272727272727337E-2</v>
      </c>
      <c r="L106" s="18">
        <f>IF(ISNUMBER(J106), $B118 * K106, "")</f>
        <v>2727.2727272727338</v>
      </c>
      <c r="M106" s="31">
        <v>11.4</v>
      </c>
      <c r="N106" s="32">
        <f t="shared" si="53"/>
        <v>3.6363636363636397E-2</v>
      </c>
      <c r="O106" s="18">
        <f>IF(ISNUMBER(M106), $B118 * N106, "")</f>
        <v>3636.3636363636397</v>
      </c>
      <c r="Q106" s="33"/>
      <c r="R106" s="33"/>
    </row>
    <row r="107" spans="1:19" ht="17.25" thickBot="1">
      <c r="A107" s="130" t="s">
        <v>136</v>
      </c>
      <c r="B107" s="131">
        <v>148</v>
      </c>
      <c r="C107" s="79">
        <v>4.2253521099999997E-2</v>
      </c>
      <c r="D107" s="24">
        <v>146</v>
      </c>
      <c r="E107" s="25">
        <f t="shared" si="50"/>
        <v>-1.3513513513513514E-2</v>
      </c>
      <c r="F107" s="104">
        <f>IF(ISNUMBER(D107), $B118 * E107, "")</f>
        <v>-1351.3513513513515</v>
      </c>
      <c r="G107" s="102">
        <v>146</v>
      </c>
      <c r="H107" s="25">
        <f t="shared" si="51"/>
        <v>-1.3513513513513514E-2</v>
      </c>
      <c r="I107" s="103">
        <f>IF(ISNUMBER(G107), $B118 * H107, "")</f>
        <v>-1351.3513513513515</v>
      </c>
      <c r="J107" s="24">
        <v>145</v>
      </c>
      <c r="K107" s="25">
        <f t="shared" si="52"/>
        <v>-2.0270270270270271E-2</v>
      </c>
      <c r="L107" s="104">
        <f>IF(ISNUMBER(J107), $B118 * K107, "")</f>
        <v>-2027.0270270270271</v>
      </c>
      <c r="M107" s="102">
        <v>146</v>
      </c>
      <c r="N107" s="25">
        <f t="shared" si="53"/>
        <v>-1.3513513513513514E-2</v>
      </c>
      <c r="O107" s="104">
        <f>IF(ISNUMBER(M107), $B118 * N107, "")</f>
        <v>-1351.3513513513515</v>
      </c>
      <c r="Q107" s="236"/>
      <c r="R107" s="237"/>
      <c r="S107" s="238"/>
    </row>
    <row r="108" spans="1:19">
      <c r="A108" s="161" t="s">
        <v>126</v>
      </c>
      <c r="B108" s="124">
        <v>29.6</v>
      </c>
      <c r="C108" s="76">
        <v>4.2253521099999997E-2</v>
      </c>
      <c r="D108" s="13">
        <v>30.6</v>
      </c>
      <c r="E108" s="14">
        <f>IF(ISNUMBER(D108), (D108 - $B108) / $B108, "")</f>
        <v>3.3783783783783779E-2</v>
      </c>
      <c r="F108" s="16">
        <f>IF(ISNUMBER(D108), $B118 * E108, "")</f>
        <v>3378.3783783783779</v>
      </c>
      <c r="G108" s="29">
        <v>31</v>
      </c>
      <c r="H108" s="14">
        <f>IF(ISNUMBER(G108), (G108 - $B108) / $B108, "")</f>
        <v>4.7297297297297244E-2</v>
      </c>
      <c r="I108" s="100">
        <f>IF(ISNUMBER(G108), $B118 * H108, "")</f>
        <v>4729.7297297297246</v>
      </c>
      <c r="J108" s="13">
        <v>31</v>
      </c>
      <c r="K108" s="14">
        <f>IF(ISNUMBER(J108), (J108 - $B108) / $B108, "")</f>
        <v>4.7297297297297244E-2</v>
      </c>
      <c r="L108" s="16">
        <f>IF(ISNUMBER(J108), $B118 * K108, "")</f>
        <v>4729.7297297297246</v>
      </c>
      <c r="M108" s="29">
        <v>30.4</v>
      </c>
      <c r="N108" s="14">
        <f>IF(ISNUMBER(M108), (M108 - $B108) / $B108, "")</f>
        <v>2.7027027027026931E-2</v>
      </c>
      <c r="O108" s="16">
        <f>IF(ISNUMBER(M108), $B118 * N108, "")</f>
        <v>2702.7027027026929</v>
      </c>
      <c r="Q108" s="239"/>
      <c r="R108" s="240"/>
      <c r="S108" s="241"/>
    </row>
    <row r="109" spans="1:19" ht="17.25" thickBot="1">
      <c r="A109" s="162" t="s">
        <v>150</v>
      </c>
      <c r="B109" s="126">
        <v>2475</v>
      </c>
      <c r="C109" s="77">
        <v>4.21052632E-2</v>
      </c>
      <c r="D109" s="15">
        <v>2520</v>
      </c>
      <c r="E109" s="32">
        <f t="shared" ref="E109:E112" si="54">IF(ISNUMBER(D109), (D109 - $B109) / $B109, "")</f>
        <v>1.8181818181818181E-2</v>
      </c>
      <c r="F109" s="18">
        <f>IF(ISNUMBER(D109), $B118 * E109, "")</f>
        <v>1818.181818181818</v>
      </c>
      <c r="G109" s="31">
        <v>2495</v>
      </c>
      <c r="H109" s="32">
        <f t="shared" ref="H109:H112" si="55">IF(ISNUMBER(G109), (G109 - $B109) / $B109, "")</f>
        <v>8.0808080808080808E-3</v>
      </c>
      <c r="I109" s="101">
        <f>IF(ISNUMBER(G109), $B118 * H109, "")</f>
        <v>808.08080808080808</v>
      </c>
      <c r="J109" s="15">
        <v>2550</v>
      </c>
      <c r="K109" s="32">
        <f t="shared" ref="K109:K112" si="56">IF(ISNUMBER(J109), (J109 - $B109) / $B109, "")</f>
        <v>3.0303030303030304E-2</v>
      </c>
      <c r="L109" s="18">
        <f>IF(ISNUMBER(J109), $B118 * K109, "")</f>
        <v>3030.3030303030305</v>
      </c>
      <c r="M109" s="31">
        <v>2520</v>
      </c>
      <c r="N109" s="32">
        <f t="shared" ref="N109:N112" si="57">IF(ISNUMBER(M109), (M109 - $B109) / $B109, "")</f>
        <v>1.8181818181818181E-2</v>
      </c>
      <c r="O109" s="18">
        <f>IF(ISNUMBER(M109), $B118 * N109, "")</f>
        <v>1818.181818181818</v>
      </c>
      <c r="Q109" s="242"/>
      <c r="R109" s="243"/>
      <c r="S109" s="244"/>
    </row>
    <row r="110" spans="1:19" ht="17.25" thickBot="1">
      <c r="A110" s="162" t="s">
        <v>202</v>
      </c>
      <c r="B110" s="126">
        <v>129</v>
      </c>
      <c r="C110" s="77">
        <v>4.0322580599999998E-2</v>
      </c>
      <c r="D110" s="15">
        <v>131</v>
      </c>
      <c r="E110" s="32">
        <f t="shared" si="54"/>
        <v>1.5503875968992248E-2</v>
      </c>
      <c r="F110" s="18">
        <f>IF(ISNUMBER(D110), $B118 * E110, "")</f>
        <v>1550.3875968992247</v>
      </c>
      <c r="G110" s="31">
        <v>130</v>
      </c>
      <c r="H110" s="32">
        <f t="shared" si="55"/>
        <v>7.7519379844961239E-3</v>
      </c>
      <c r="I110" s="101">
        <f>IF(ISNUMBER(G110), $B118 * H110, "")</f>
        <v>775.19379844961236</v>
      </c>
      <c r="J110" s="15">
        <v>130</v>
      </c>
      <c r="K110" s="32">
        <f t="shared" si="56"/>
        <v>7.7519379844961239E-3</v>
      </c>
      <c r="L110" s="18">
        <f>IF(ISNUMBER(J110), $B118 * K110, "")</f>
        <v>775.19379844961236</v>
      </c>
      <c r="M110" s="31">
        <v>129</v>
      </c>
      <c r="N110" s="32">
        <f t="shared" si="57"/>
        <v>0</v>
      </c>
      <c r="O110" s="18">
        <f>IF(ISNUMBER(M110), $B118 * N110, "")</f>
        <v>0</v>
      </c>
      <c r="Q110" s="235"/>
      <c r="R110" s="235"/>
      <c r="S110" s="235"/>
    </row>
    <row r="111" spans="1:19" ht="17.25" thickBot="1">
      <c r="A111" s="162" t="s">
        <v>194</v>
      </c>
      <c r="B111" s="126">
        <v>8700</v>
      </c>
      <c r="C111" s="77">
        <v>3.8805970100000003E-2</v>
      </c>
      <c r="D111" s="15">
        <v>9645</v>
      </c>
      <c r="E111" s="32">
        <f t="shared" si="54"/>
        <v>0.10862068965517241</v>
      </c>
      <c r="F111" s="18">
        <f>IF(ISNUMBER(D111), $B118 * E111, "")</f>
        <v>10862.068965517241</v>
      </c>
      <c r="G111" s="31">
        <v>9290</v>
      </c>
      <c r="H111" s="32">
        <f t="shared" si="55"/>
        <v>6.7816091954022995E-2</v>
      </c>
      <c r="I111" s="101">
        <f>IF(ISNUMBER(G111), $B118 * H111, "")</f>
        <v>6781.6091954022995</v>
      </c>
      <c r="J111" s="15">
        <v>10120</v>
      </c>
      <c r="K111" s="32">
        <f t="shared" si="56"/>
        <v>0.16321839080459771</v>
      </c>
      <c r="L111" s="18">
        <f>IF(ISNUMBER(J111), $B118 * K111, "")</f>
        <v>16321.839080459771</v>
      </c>
      <c r="M111" s="31">
        <v>9415</v>
      </c>
      <c r="N111" s="32">
        <f t="shared" si="57"/>
        <v>8.2183908045977014E-2</v>
      </c>
      <c r="O111" s="18">
        <f>IF(ISNUMBER(M111), $B118 * N111, "")</f>
        <v>8218.3908045977005</v>
      </c>
      <c r="Q111" s="245"/>
      <c r="R111" s="245"/>
      <c r="S111" s="245"/>
    </row>
    <row r="112" spans="1:19" ht="17.25" thickBot="1">
      <c r="A112" s="163" t="s">
        <v>220</v>
      </c>
      <c r="B112" s="128">
        <v>11.2</v>
      </c>
      <c r="C112" s="78">
        <v>3.7037037000000002E-2</v>
      </c>
      <c r="D112" s="20">
        <v>11.8</v>
      </c>
      <c r="E112" s="21">
        <f t="shared" si="54"/>
        <v>5.35714285714287E-2</v>
      </c>
      <c r="F112" s="22">
        <f>IF(ISNUMBER(D112), $B118 * E112, "")</f>
        <v>5357.1428571428696</v>
      </c>
      <c r="G112" s="30">
        <v>12.5</v>
      </c>
      <c r="H112" s="21">
        <f t="shared" si="55"/>
        <v>0.11607142857142864</v>
      </c>
      <c r="I112" s="105">
        <f>IF(ISNUMBER(G112), $B118 * H112, "")</f>
        <v>11607.142857142864</v>
      </c>
      <c r="J112" s="20">
        <v>12.7</v>
      </c>
      <c r="K112" s="21">
        <f t="shared" si="56"/>
        <v>0.13392857142857142</v>
      </c>
      <c r="L112" s="22">
        <f>IF(ISNUMBER(J112), $B118 * K112, "")</f>
        <v>13392.857142857143</v>
      </c>
      <c r="M112" s="30">
        <v>13</v>
      </c>
      <c r="N112" s="21">
        <f t="shared" si="57"/>
        <v>0.16071428571428578</v>
      </c>
      <c r="O112" s="22">
        <f>IF(ISNUMBER(M112), $B118 * N112, "")</f>
        <v>16071.428571428578</v>
      </c>
      <c r="Q112" s="245"/>
      <c r="R112" s="245"/>
      <c r="S112" s="245"/>
    </row>
    <row r="113" spans="1:19" ht="17.25" thickBot="1">
      <c r="A113" s="162" t="s">
        <v>280</v>
      </c>
      <c r="B113" s="129">
        <v>1060</v>
      </c>
      <c r="C113" s="80">
        <v>3.4146341500000003E-2</v>
      </c>
      <c r="D113" s="106">
        <v>1100</v>
      </c>
      <c r="E113" s="107">
        <f>IF(ISNUMBER(D113), (D113 - $B113) / $B113, "")</f>
        <v>3.7735849056603772E-2</v>
      </c>
      <c r="F113" s="108">
        <f>IF(ISNUMBER(D113), $B118 * E113, "")</f>
        <v>3773.584905660377</v>
      </c>
      <c r="G113" s="109">
        <v>1125</v>
      </c>
      <c r="H113" s="107">
        <f>IF(ISNUMBER(G113), (G113 - $B113) / $B113, "")</f>
        <v>6.1320754716981132E-2</v>
      </c>
      <c r="I113" s="110">
        <f>IF(ISNUMBER(G113), $B118 * H113, "")</f>
        <v>6132.0754716981137</v>
      </c>
      <c r="J113" s="106">
        <v>1105</v>
      </c>
      <c r="K113" s="107">
        <f>IF(ISNUMBER(J113), (J113 - $B113) / $B113, "")</f>
        <v>4.2452830188679243E-2</v>
      </c>
      <c r="L113" s="108">
        <f>IF(ISNUMBER(J113), $B118 * K113, "")</f>
        <v>4245.2830188679245</v>
      </c>
      <c r="M113" s="109">
        <v>1115</v>
      </c>
      <c r="N113" s="107">
        <f>IF(ISNUMBER(M113), (M113 - $B113) / $B113, "")</f>
        <v>5.1886792452830191E-2</v>
      </c>
      <c r="O113" s="108">
        <f>IF(ISNUMBER(M113), $B118 * N113, "")</f>
        <v>5188.6792452830196</v>
      </c>
      <c r="Q113" s="235"/>
      <c r="R113" s="235"/>
      <c r="S113" s="235"/>
    </row>
    <row r="114" spans="1:19" ht="17.25" thickBot="1">
      <c r="A114" s="162" t="s">
        <v>240</v>
      </c>
      <c r="B114" s="126">
        <v>131</v>
      </c>
      <c r="C114" s="77">
        <v>3.1496062999999998E-2</v>
      </c>
      <c r="D114" s="15">
        <v>131</v>
      </c>
      <c r="E114" s="32">
        <f t="shared" ref="E114:E117" si="58">IF(ISNUMBER(D114), (D114 - $B114) / $B114, "")</f>
        <v>0</v>
      </c>
      <c r="F114" s="18">
        <f>IF(ISNUMBER(D114), $B118 * E114, "")</f>
        <v>0</v>
      </c>
      <c r="G114" s="31">
        <v>133</v>
      </c>
      <c r="H114" s="32">
        <f t="shared" ref="H114:H117" si="59">IF(ISNUMBER(G114), (G114 - $B114) / $B114, "")</f>
        <v>1.5267175572519083E-2</v>
      </c>
      <c r="I114" s="101">
        <f>IF(ISNUMBER(G114), $B118 * H114, "")</f>
        <v>1526.7175572519084</v>
      </c>
      <c r="J114" s="15">
        <v>134</v>
      </c>
      <c r="K114" s="32">
        <f t="shared" ref="K114:K117" si="60">IF(ISNUMBER(J114), (J114 - $B114) / $B114, "")</f>
        <v>2.2900763358778626E-2</v>
      </c>
      <c r="L114" s="18">
        <f>IF(ISNUMBER(J114), $B118 * K114, "")</f>
        <v>2290.0763358778627</v>
      </c>
      <c r="M114" s="31">
        <v>133</v>
      </c>
      <c r="N114" s="32">
        <f t="shared" ref="N114:N117" si="61">IF(ISNUMBER(M114), (M114 - $B114) / $B114, "")</f>
        <v>1.5267175572519083E-2</v>
      </c>
      <c r="O114" s="18">
        <f>IF(ISNUMBER(M114), $B118 * N114, "")</f>
        <v>1526.7175572519084</v>
      </c>
      <c r="Q114" s="235"/>
      <c r="R114" s="235"/>
      <c r="S114" s="235"/>
    </row>
    <row r="115" spans="1:19" ht="17.25" thickBot="1">
      <c r="A115" s="162" t="s">
        <v>266</v>
      </c>
      <c r="B115" s="126">
        <v>59.7</v>
      </c>
      <c r="C115" s="77">
        <v>3.1088082900000001E-2</v>
      </c>
      <c r="D115" s="15">
        <v>59.5</v>
      </c>
      <c r="E115" s="32">
        <f t="shared" si="58"/>
        <v>-3.3500837520938497E-3</v>
      </c>
      <c r="F115" s="18">
        <f>IF(ISNUMBER(D115), $B118 * E115, "")</f>
        <v>-335.00837520938495</v>
      </c>
      <c r="G115" s="31">
        <v>59.7</v>
      </c>
      <c r="H115" s="32">
        <f t="shared" si="59"/>
        <v>0</v>
      </c>
      <c r="I115" s="101">
        <f>IF(ISNUMBER(G115), $B118 * H115, "")</f>
        <v>0</v>
      </c>
      <c r="J115" s="15">
        <v>60.7</v>
      </c>
      <c r="K115" s="32">
        <f t="shared" si="60"/>
        <v>1.675041876046901E-2</v>
      </c>
      <c r="L115" s="18">
        <f>IF(ISNUMBER(J115), $B118 * K115, "")</f>
        <v>1675.0418760469011</v>
      </c>
      <c r="M115" s="31">
        <v>59.9</v>
      </c>
      <c r="N115" s="32">
        <f t="shared" si="61"/>
        <v>3.3500837520937308E-3</v>
      </c>
      <c r="O115" s="18">
        <f>IF(ISNUMBER(M115), $B118 * N115, "")</f>
        <v>335.00837520937307</v>
      </c>
      <c r="Q115" s="235"/>
      <c r="R115" s="235"/>
      <c r="S115" s="235"/>
    </row>
    <row r="116" spans="1:19">
      <c r="A116" s="162" t="s">
        <v>94</v>
      </c>
      <c r="B116" s="126">
        <v>67230</v>
      </c>
      <c r="C116" s="77">
        <v>2.9398254499999998E-2</v>
      </c>
      <c r="D116" s="15">
        <v>66200</v>
      </c>
      <c r="E116" s="32">
        <f t="shared" si="58"/>
        <v>-1.5320541424959096E-2</v>
      </c>
      <c r="F116" s="18">
        <f>IF(ISNUMBER(D116), $B118 * E116, "")</f>
        <v>-1532.0541424959097</v>
      </c>
      <c r="G116" s="31">
        <v>65710</v>
      </c>
      <c r="H116" s="32">
        <f t="shared" si="59"/>
        <v>-2.2608954335861967E-2</v>
      </c>
      <c r="I116" s="101">
        <f>IF(ISNUMBER(G116), $B118 * H116, "")</f>
        <v>-2260.8954335861968</v>
      </c>
      <c r="J116" s="15">
        <v>65470</v>
      </c>
      <c r="K116" s="32">
        <f t="shared" si="60"/>
        <v>-2.6178789230998065E-2</v>
      </c>
      <c r="L116" s="18">
        <f>IF(ISNUMBER(J116), $B118 * K116, "")</f>
        <v>-2617.8789230998063</v>
      </c>
      <c r="M116" s="31">
        <v>65670</v>
      </c>
      <c r="N116" s="32">
        <f t="shared" si="61"/>
        <v>-2.3203926818384651E-2</v>
      </c>
      <c r="O116" s="18">
        <f>IF(ISNUMBER(M116), $B118 * N116, "")</f>
        <v>-2320.3926818384653</v>
      </c>
      <c r="Q116" s="224"/>
      <c r="R116" s="225"/>
      <c r="S116" s="226"/>
    </row>
    <row r="117" spans="1:19" ht="17.25" thickBot="1">
      <c r="A117" s="130" t="s">
        <v>272</v>
      </c>
      <c r="B117" s="131">
        <v>1405</v>
      </c>
      <c r="C117" s="79">
        <v>2.9304029299999999E-2</v>
      </c>
      <c r="D117" s="24">
        <v>1550</v>
      </c>
      <c r="E117" s="25">
        <f t="shared" si="58"/>
        <v>0.10320284697508897</v>
      </c>
      <c r="F117" s="104">
        <f>IF(ISNUMBER(D117), $B118 * E117, "")</f>
        <v>10320.284697508896</v>
      </c>
      <c r="G117" s="102">
        <v>1560</v>
      </c>
      <c r="H117" s="25">
        <f t="shared" si="59"/>
        <v>0.1103202846975089</v>
      </c>
      <c r="I117" s="103">
        <f>IF(ISNUMBER(G117), $B118 * H117, "")</f>
        <v>11032.028469750891</v>
      </c>
      <c r="J117" s="24">
        <v>1580</v>
      </c>
      <c r="K117" s="25">
        <f t="shared" si="60"/>
        <v>0.12455516014234876</v>
      </c>
      <c r="L117" s="104">
        <f>IF(ISNUMBER(J117), $B118 * K117, "")</f>
        <v>12455.516014234876</v>
      </c>
      <c r="M117" s="102">
        <v>1515</v>
      </c>
      <c r="N117" s="25">
        <f t="shared" si="61"/>
        <v>7.8291814946619215E-2</v>
      </c>
      <c r="O117" s="104">
        <f>IF(ISNUMBER(M117), $B118 * N117, "")</f>
        <v>7829.1814946619215</v>
      </c>
      <c r="Q117" s="227"/>
      <c r="R117" s="228"/>
      <c r="S117" s="229"/>
    </row>
    <row r="118" spans="1:19" ht="17.25" thickBot="1">
      <c r="A118" s="132" t="s">
        <v>300</v>
      </c>
      <c r="B118" s="288">
        <f>$B$37</f>
        <v>100000</v>
      </c>
      <c r="C118" s="289"/>
      <c r="D118" s="26" t="s">
        <v>301</v>
      </c>
      <c r="E118" s="27">
        <f>IF(COUNT(E98:E117), SUM(E98:E117) / COUNT(E98:E117), 0)</f>
        <v>3.9967280098695421E-2</v>
      </c>
      <c r="F118" s="28">
        <f>SUM(F98:F117)</f>
        <v>79934.56019739082</v>
      </c>
      <c r="G118" s="26" t="s">
        <v>301</v>
      </c>
      <c r="H118" s="27">
        <f>IF(COUNT(H98:H117), SUM(H98:H117) / COUNT(H98:H117), 0)</f>
        <v>4.4179523909745451E-2</v>
      </c>
      <c r="I118" s="28">
        <f>SUM(I98:I117)</f>
        <v>88359.047819490879</v>
      </c>
      <c r="J118" s="26" t="s">
        <v>301</v>
      </c>
      <c r="K118" s="27">
        <f>IF(COUNT(K98:K117), SUM(K98:K117) / COUNT(K98:K117), 0)</f>
        <v>5.2903313272729943E-2</v>
      </c>
      <c r="L118" s="28">
        <f>SUM(L98:L117)</f>
        <v>105806.62654545991</v>
      </c>
      <c r="M118" s="26" t="s">
        <v>301</v>
      </c>
      <c r="N118" s="27">
        <f>IF(COUNT(N98:N117), SUM(N98:N117) / COUNT(N98:N117), 0)</f>
        <v>3.7326267420911621E-2</v>
      </c>
      <c r="O118" s="28">
        <f>SUM(O98:O117)</f>
        <v>74652.534841823246</v>
      </c>
      <c r="Q118" s="230"/>
      <c r="R118" s="231"/>
      <c r="S118" s="232"/>
    </row>
    <row r="120" spans="1:19" ht="17.25" thickBot="1"/>
    <row r="121" spans="1:19" ht="17.25" thickBot="1">
      <c r="A121" s="246" t="s">
        <v>288</v>
      </c>
      <c r="B121" s="247"/>
      <c r="C121" s="247"/>
      <c r="D121" s="247"/>
      <c r="E121" s="247"/>
      <c r="F121" s="247"/>
      <c r="G121" s="247"/>
      <c r="H121" s="247"/>
      <c r="I121" s="247"/>
      <c r="J121" s="247"/>
      <c r="K121" s="247"/>
      <c r="L121" s="247"/>
      <c r="M121" s="247"/>
      <c r="N121" s="247"/>
      <c r="O121" s="248"/>
      <c r="Q121" s="245"/>
      <c r="R121" s="245"/>
      <c r="S121" s="245"/>
    </row>
    <row r="122" spans="1:19" ht="17.25" thickBot="1">
      <c r="A122" s="184" t="s">
        <v>297</v>
      </c>
      <c r="B122" s="246" t="s">
        <v>49</v>
      </c>
      <c r="C122" s="248"/>
      <c r="D122" s="246" t="s">
        <v>58</v>
      </c>
      <c r="E122" s="247"/>
      <c r="F122" s="248"/>
      <c r="G122" s="249">
        <f>_xlfn.IFNA(VLOOKUP(B122, 현재가테이블!$B$2:$D$200, 2, FALSE), "-")</f>
        <v>45335000</v>
      </c>
      <c r="H122" s="250"/>
      <c r="I122" s="251"/>
      <c r="J122" s="246" t="s">
        <v>59</v>
      </c>
      <c r="K122" s="247"/>
      <c r="L122" s="248"/>
      <c r="M122" s="252">
        <f>_xlfn.IFNA(VLOOKUP(B122, 현재가테이블!$B$2:$D$200, 3, FALSE), "-")</f>
        <v>-2.27209037E-2</v>
      </c>
      <c r="N122" s="253"/>
      <c r="O122" s="254"/>
      <c r="Q122" s="245"/>
      <c r="R122" s="245"/>
      <c r="S122" s="245"/>
    </row>
    <row r="123" spans="1:19" ht="17.25" thickBot="1">
      <c r="A123" s="290" t="s">
        <v>55</v>
      </c>
      <c r="B123" s="286" t="str">
        <f>TEXT($G$1, "[$-ko-KR]yyyy-mm-dd(ddd) ") &amp; "오전 00:00"</f>
        <v>2021-06-07(월) 오전 00:00</v>
      </c>
      <c r="C123" s="287"/>
      <c r="D123" s="259" t="str">
        <f>TEXT($G$1, "[$-ko-KR]yyyy-mm-dd(ddd) ") &amp; "오후 14:00"</f>
        <v>2021-06-07(월) 오후 14:00</v>
      </c>
      <c r="E123" s="260"/>
      <c r="F123" s="261"/>
      <c r="G123" s="259" t="str">
        <f>TEXT($G$1, "[$-ko-KR]yyyy-mm-dd(ddd) ") &amp; "오후 19:00"</f>
        <v>2021-06-07(월) 오후 19:00</v>
      </c>
      <c r="H123" s="260"/>
      <c r="I123" s="261"/>
      <c r="J123" s="259" t="str">
        <f>TEXT($G$1, "[$-ko-KR]yyyy-mm-dd(ddd) ") &amp; "오후 21:00"</f>
        <v>2021-06-07(월) 오후 21:00</v>
      </c>
      <c r="K123" s="260"/>
      <c r="L123" s="261"/>
      <c r="M123" s="259" t="str">
        <f>TEXT($G$1+1, "[$-ko-KR]yyyy-mm-dd(ddd) ") &amp; "오전 00:00"</f>
        <v>2021-06-08(화) 오전 00:00</v>
      </c>
      <c r="N123" s="260"/>
      <c r="O123" s="261"/>
      <c r="Q123" s="245"/>
      <c r="R123" s="245"/>
      <c r="S123" s="245"/>
    </row>
    <row r="124" spans="1:19" ht="17.25" thickBot="1">
      <c r="A124" s="291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85" t="s">
        <v>58</v>
      </c>
      <c r="H124" s="186" t="s">
        <v>298</v>
      </c>
      <c r="I124" s="187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5"/>
      <c r="R124" s="235"/>
      <c r="S124" s="235"/>
    </row>
    <row r="125" spans="1:19" ht="17.25" thickBot="1">
      <c r="A125" s="161" t="s">
        <v>154</v>
      </c>
      <c r="B125" s="124">
        <v>11.6</v>
      </c>
      <c r="C125" s="76">
        <v>2.65486726E-2</v>
      </c>
      <c r="D125" s="13">
        <v>11.6</v>
      </c>
      <c r="E125" s="14">
        <f>IF(ISNUMBER(D125), (D125 - $B125) / $B125, "")</f>
        <v>0</v>
      </c>
      <c r="F125" s="16">
        <f>IF(ISNUMBER(D125), $B145 * E125, "")</f>
        <v>0</v>
      </c>
      <c r="G125" s="29">
        <v>11.7</v>
      </c>
      <c r="H125" s="14">
        <f>IF(ISNUMBER(G125), (G125 - $B125) / $B125, "")</f>
        <v>8.6206896551723842E-3</v>
      </c>
      <c r="I125" s="100">
        <f>IF(ISNUMBER(G125), $B145 * H125, "")</f>
        <v>862.06896551723844</v>
      </c>
      <c r="J125" s="13">
        <v>11.7</v>
      </c>
      <c r="K125" s="14">
        <f>IF(ISNUMBER(J125), (J125 - $B125) / $B125, "")</f>
        <v>8.6206896551723842E-3</v>
      </c>
      <c r="L125" s="16">
        <f>IF(ISNUMBER(J125), $B145 * K125, "")</f>
        <v>862.06896551723844</v>
      </c>
      <c r="M125" s="29">
        <v>11.6</v>
      </c>
      <c r="N125" s="14">
        <f>IF(ISNUMBER(M125), (M125 - $B125) / $B125, "")</f>
        <v>0</v>
      </c>
      <c r="O125" s="16">
        <f>IF(ISNUMBER(M125), $B145 * N125, "")</f>
        <v>0</v>
      </c>
      <c r="Q125" s="245"/>
      <c r="R125" s="245"/>
      <c r="S125" s="245"/>
    </row>
    <row r="126" spans="1:19" ht="17.25" thickBot="1">
      <c r="A126" s="162" t="s">
        <v>278</v>
      </c>
      <c r="B126" s="126">
        <v>80.8</v>
      </c>
      <c r="C126" s="77">
        <v>1.76322418E-2</v>
      </c>
      <c r="D126" s="15">
        <v>81.7</v>
      </c>
      <c r="E126" s="32">
        <f t="shared" ref="E126:E129" si="62">IF(ISNUMBER(D126), (D126 - $B126) / $B126, "")</f>
        <v>1.1138613861386209E-2</v>
      </c>
      <c r="F126" s="18">
        <f>IF(ISNUMBER(D126), $B145 * E126, "")</f>
        <v>1113.8613861386209</v>
      </c>
      <c r="G126" s="31">
        <v>81.7</v>
      </c>
      <c r="H126" s="32">
        <f t="shared" ref="H126:H129" si="63">IF(ISNUMBER(G126), (G126 - $B126) / $B126, "")</f>
        <v>1.1138613861386209E-2</v>
      </c>
      <c r="I126" s="101">
        <f>IF(ISNUMBER(G126), $B145 * H126, "")</f>
        <v>1113.8613861386209</v>
      </c>
      <c r="J126" s="15">
        <v>81.7</v>
      </c>
      <c r="K126" s="32">
        <f t="shared" ref="K126:K129" si="64">IF(ISNUMBER(J126), (J126 - $B126) / $B126, "")</f>
        <v>1.1138613861386209E-2</v>
      </c>
      <c r="L126" s="18">
        <f>IF(ISNUMBER(J126), $B145 * K126, "")</f>
        <v>1113.8613861386209</v>
      </c>
      <c r="M126" s="31">
        <v>81.900000000000006</v>
      </c>
      <c r="N126" s="32">
        <f t="shared" ref="N126:N129" si="65">IF(ISNUMBER(M126), (M126 - $B126) / $B126, "")</f>
        <v>1.361386138613872E-2</v>
      </c>
      <c r="O126" s="18">
        <f>IF(ISNUMBER(M126), $B145 * N126, "")</f>
        <v>1361.3861386138719</v>
      </c>
      <c r="Q126" s="245"/>
      <c r="R126" s="245"/>
      <c r="S126" s="245"/>
    </row>
    <row r="127" spans="1:19" ht="17.25" thickBot="1">
      <c r="A127" s="162" t="s">
        <v>196</v>
      </c>
      <c r="B127" s="126">
        <v>12.1</v>
      </c>
      <c r="C127" s="77">
        <v>1.6806722699999999E-2</v>
      </c>
      <c r="D127" s="15">
        <v>12</v>
      </c>
      <c r="E127" s="32">
        <f t="shared" si="62"/>
        <v>-8.2644628099173261E-3</v>
      </c>
      <c r="F127" s="18">
        <f>IF(ISNUMBER(D127), $B145 * E127, "")</f>
        <v>-826.44628099173258</v>
      </c>
      <c r="G127" s="31">
        <v>12.3</v>
      </c>
      <c r="H127" s="32">
        <f t="shared" si="63"/>
        <v>1.6528925619834798E-2</v>
      </c>
      <c r="I127" s="101">
        <f>IF(ISNUMBER(G127), $B145 * H127, "")</f>
        <v>1652.8925619834797</v>
      </c>
      <c r="J127" s="15">
        <v>12.3</v>
      </c>
      <c r="K127" s="32">
        <f t="shared" si="64"/>
        <v>1.6528925619834798E-2</v>
      </c>
      <c r="L127" s="18">
        <f>IF(ISNUMBER(J127), $B145 * K127, "")</f>
        <v>1652.8925619834797</v>
      </c>
      <c r="M127" s="31">
        <v>12.3</v>
      </c>
      <c r="N127" s="32">
        <f t="shared" si="65"/>
        <v>1.6528925619834798E-2</v>
      </c>
      <c r="O127" s="18">
        <f>IF(ISNUMBER(M127), $B145 * N127, "")</f>
        <v>1652.8925619834797</v>
      </c>
      <c r="Q127" s="235"/>
      <c r="R127" s="235"/>
      <c r="S127" s="235"/>
    </row>
    <row r="128" spans="1:19" ht="17.25" thickBot="1">
      <c r="A128" s="162" t="s">
        <v>268</v>
      </c>
      <c r="B128" s="126">
        <v>53.3</v>
      </c>
      <c r="C128" s="77">
        <v>1.5238095199999999E-2</v>
      </c>
      <c r="D128" s="15">
        <v>53.8</v>
      </c>
      <c r="E128" s="32">
        <f t="shared" si="62"/>
        <v>9.3808630393996256E-3</v>
      </c>
      <c r="F128" s="18">
        <f>IF(ISNUMBER(D128), $B145 * E128, "")</f>
        <v>938.08630393996259</v>
      </c>
      <c r="G128" s="31">
        <v>54.3</v>
      </c>
      <c r="H128" s="32">
        <f t="shared" si="63"/>
        <v>1.8761726078799251E-2</v>
      </c>
      <c r="I128" s="101">
        <f>IF(ISNUMBER(G128), $B145 * H128, "")</f>
        <v>1876.1726078799252</v>
      </c>
      <c r="J128" s="15">
        <v>54.3</v>
      </c>
      <c r="K128" s="32">
        <f t="shared" si="64"/>
        <v>1.8761726078799251E-2</v>
      </c>
      <c r="L128" s="18">
        <f>IF(ISNUMBER(J128), $B145 * K128, "")</f>
        <v>1876.1726078799252</v>
      </c>
      <c r="M128" s="31">
        <v>54.3</v>
      </c>
      <c r="N128" s="32">
        <f t="shared" si="65"/>
        <v>1.8761726078799251E-2</v>
      </c>
      <c r="O128" s="18">
        <f>IF(ISNUMBER(M128), $B145 * N128, "")</f>
        <v>1876.1726078799252</v>
      </c>
      <c r="Q128" s="235"/>
      <c r="R128" s="235"/>
      <c r="S128" s="235"/>
    </row>
    <row r="129" spans="1:19" ht="17.25" thickBot="1">
      <c r="A129" s="163" t="s">
        <v>214</v>
      </c>
      <c r="B129" s="128">
        <v>14</v>
      </c>
      <c r="C129" s="78">
        <v>1.44927536E-2</v>
      </c>
      <c r="D129" s="20">
        <v>14.2</v>
      </c>
      <c r="E129" s="21">
        <f t="shared" si="62"/>
        <v>1.4285714285714235E-2</v>
      </c>
      <c r="F129" s="22">
        <f>IF(ISNUMBER(D129), $B145 * E129, "")</f>
        <v>1428.5714285714234</v>
      </c>
      <c r="G129" s="30">
        <v>14.6</v>
      </c>
      <c r="H129" s="21">
        <f t="shared" si="63"/>
        <v>4.285714285714283E-2</v>
      </c>
      <c r="I129" s="105">
        <f>IF(ISNUMBER(G129), $B145 * H129, "")</f>
        <v>4285.7142857142826</v>
      </c>
      <c r="J129" s="20">
        <v>14.4</v>
      </c>
      <c r="K129" s="21">
        <f t="shared" si="64"/>
        <v>2.8571428571428598E-2</v>
      </c>
      <c r="L129" s="22">
        <f>IF(ISNUMBER(J129), $B145 * K129, "")</f>
        <v>2857.1428571428596</v>
      </c>
      <c r="M129" s="30">
        <v>14.4</v>
      </c>
      <c r="N129" s="21">
        <f t="shared" si="65"/>
        <v>2.8571428571428598E-2</v>
      </c>
      <c r="O129" s="22">
        <f>IF(ISNUMBER(M129), $B145 * N129, "")</f>
        <v>2857.1428571428596</v>
      </c>
      <c r="Q129" s="235"/>
      <c r="R129" s="235"/>
      <c r="S129" s="235"/>
    </row>
    <row r="130" spans="1:19" ht="17.25" thickBot="1">
      <c r="A130" s="162" t="s">
        <v>186</v>
      </c>
      <c r="B130" s="129">
        <v>21.3</v>
      </c>
      <c r="C130" s="80">
        <v>1.42857143E-2</v>
      </c>
      <c r="D130" s="106">
        <v>19.899999999999999</v>
      </c>
      <c r="E130" s="107">
        <f>IF(ISNUMBER(D130), (D130 - $B130) / $B130, "")</f>
        <v>-6.5727699530516534E-2</v>
      </c>
      <c r="F130" s="108">
        <f>IF(ISNUMBER(D130), $B145 * E130, "")</f>
        <v>-6572.7699530516538</v>
      </c>
      <c r="G130" s="109">
        <v>19.600000000000001</v>
      </c>
      <c r="H130" s="107">
        <f>IF(ISNUMBER(G130), (G130 - $B130) / $B130, "")</f>
        <v>-7.9812206572769911E-2</v>
      </c>
      <c r="I130" s="110">
        <f>IF(ISNUMBER(G130), $B145 * H130, "")</f>
        <v>-7981.220657276991</v>
      </c>
      <c r="J130" s="106">
        <v>19.3</v>
      </c>
      <c r="K130" s="107">
        <f>IF(ISNUMBER(J130), (J130 - $B130) / $B130, "")</f>
        <v>-9.3896713615023469E-2</v>
      </c>
      <c r="L130" s="108">
        <f>IF(ISNUMBER(J130), $B145 * K130, "")</f>
        <v>-9389.6713615023473</v>
      </c>
      <c r="M130" s="109">
        <v>19.3</v>
      </c>
      <c r="N130" s="107">
        <f>IF(ISNUMBER(M130), (M130 - $B130) / $B130, "")</f>
        <v>-9.3896713615023469E-2</v>
      </c>
      <c r="O130" s="108">
        <f>IF(ISNUMBER(M130), $B145 * N130, "")</f>
        <v>-9389.6713615023473</v>
      </c>
      <c r="Q130" s="235"/>
      <c r="R130" s="235"/>
      <c r="S130" s="235"/>
    </row>
    <row r="131" spans="1:19" ht="17.25" thickBot="1">
      <c r="A131" s="162" t="s">
        <v>152</v>
      </c>
      <c r="B131" s="126">
        <v>21.8</v>
      </c>
      <c r="C131" s="77">
        <v>1.39534884E-2</v>
      </c>
      <c r="D131" s="15">
        <v>21.7</v>
      </c>
      <c r="E131" s="32">
        <f t="shared" ref="E131:E134" si="66">IF(ISNUMBER(D131), (D131 - $B131) / $B131, "")</f>
        <v>-4.5871559633028176E-3</v>
      </c>
      <c r="F131" s="18">
        <f>IF(ISNUMBER(D131), $B145 * E131, "")</f>
        <v>-458.71559633028176</v>
      </c>
      <c r="G131" s="31">
        <v>21.8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21.8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21.7</v>
      </c>
      <c r="N131" s="32">
        <f t="shared" ref="N131:N134" si="69">IF(ISNUMBER(M131), (M131 - $B131) / $B131, "")</f>
        <v>-4.5871559633028176E-3</v>
      </c>
      <c r="O131" s="18">
        <f>IF(ISNUMBER(M131), $B145 * N131, "")</f>
        <v>-458.71559633028176</v>
      </c>
      <c r="Q131" s="235"/>
      <c r="R131" s="235"/>
      <c r="S131" s="235"/>
    </row>
    <row r="132" spans="1:19" ht="17.25" thickBot="1">
      <c r="A132" s="162" t="s">
        <v>198</v>
      </c>
      <c r="B132" s="126">
        <v>16.899999999999999</v>
      </c>
      <c r="C132" s="77">
        <v>1.19760479E-2</v>
      </c>
      <c r="D132" s="15">
        <v>17</v>
      </c>
      <c r="E132" s="32">
        <f t="shared" si="66"/>
        <v>5.9171597633136943E-3</v>
      </c>
      <c r="F132" s="18">
        <f>IF(ISNUMBER(D132), $B145 * E132, "")</f>
        <v>591.71597633136946</v>
      </c>
      <c r="G132" s="31">
        <v>17.2</v>
      </c>
      <c r="H132" s="32">
        <f t="shared" si="67"/>
        <v>1.775147928994087E-2</v>
      </c>
      <c r="I132" s="101">
        <f>IF(ISNUMBER(G132), $B145 * H132, "")</f>
        <v>1775.1479289940871</v>
      </c>
      <c r="J132" s="15">
        <v>17.100000000000001</v>
      </c>
      <c r="K132" s="32">
        <f t="shared" si="68"/>
        <v>1.1834319526627389E-2</v>
      </c>
      <c r="L132" s="18">
        <f>IF(ISNUMBER(J132), $B145 * K132, "")</f>
        <v>1183.4319526627389</v>
      </c>
      <c r="M132" s="31">
        <v>17</v>
      </c>
      <c r="N132" s="32">
        <f t="shared" si="69"/>
        <v>5.9171597633136943E-3</v>
      </c>
      <c r="O132" s="18">
        <f>IF(ISNUMBER(M132), $B145 * N132, "")</f>
        <v>591.71597633136946</v>
      </c>
      <c r="Q132" s="235"/>
      <c r="R132" s="235"/>
      <c r="S132" s="235"/>
    </row>
    <row r="133" spans="1:19" ht="17.25" thickBot="1">
      <c r="A133" s="162" t="s">
        <v>218</v>
      </c>
      <c r="B133" s="126">
        <v>16.899999999999999</v>
      </c>
      <c r="C133" s="77">
        <v>1.19760479E-2</v>
      </c>
      <c r="D133" s="15">
        <v>17.100000000000001</v>
      </c>
      <c r="E133" s="32">
        <f t="shared" si="66"/>
        <v>1.1834319526627389E-2</v>
      </c>
      <c r="F133" s="18">
        <f>IF(ISNUMBER(D133), $B145 * E133, "")</f>
        <v>1183.4319526627389</v>
      </c>
      <c r="G133" s="31">
        <v>17.399999999999999</v>
      </c>
      <c r="H133" s="32">
        <f t="shared" si="67"/>
        <v>2.9585798816568049E-2</v>
      </c>
      <c r="I133" s="101">
        <f>IF(ISNUMBER(G133), $B145 * H133, "")</f>
        <v>2958.5798816568049</v>
      </c>
      <c r="J133" s="15">
        <v>17.3</v>
      </c>
      <c r="K133" s="32">
        <f t="shared" si="68"/>
        <v>2.3668639053254566E-2</v>
      </c>
      <c r="L133" s="18">
        <f>IF(ISNUMBER(J133), $B145 * K133, "")</f>
        <v>2366.8639053254565</v>
      </c>
      <c r="M133" s="31">
        <v>17</v>
      </c>
      <c r="N133" s="32">
        <f t="shared" si="69"/>
        <v>5.9171597633136943E-3</v>
      </c>
      <c r="O133" s="18">
        <f>IF(ISNUMBER(M133), $B145 * N133, "")</f>
        <v>591.71597633136946</v>
      </c>
      <c r="Q133" s="33"/>
      <c r="R133" s="33"/>
    </row>
    <row r="134" spans="1:19" ht="17.25" thickBot="1">
      <c r="A134" s="130" t="s">
        <v>254</v>
      </c>
      <c r="B134" s="131">
        <v>51.8</v>
      </c>
      <c r="C134" s="79">
        <v>1.171875E-2</v>
      </c>
      <c r="D134" s="24">
        <v>52.1</v>
      </c>
      <c r="E134" s="25">
        <f t="shared" si="66"/>
        <v>5.7915057915058745E-3</v>
      </c>
      <c r="F134" s="104">
        <f>IF(ISNUMBER(D134), $B145 * E134, "")</f>
        <v>579.15057915058742</v>
      </c>
      <c r="G134" s="102">
        <v>52.3</v>
      </c>
      <c r="H134" s="25">
        <f t="shared" si="67"/>
        <v>9.6525096525096523E-3</v>
      </c>
      <c r="I134" s="103">
        <f>IF(ISNUMBER(G134), $B145 * H134, "")</f>
        <v>965.25096525096524</v>
      </c>
      <c r="J134" s="24">
        <v>52.5</v>
      </c>
      <c r="K134" s="25">
        <f t="shared" si="68"/>
        <v>1.351351351351357E-2</v>
      </c>
      <c r="L134" s="104">
        <f>IF(ISNUMBER(J134), $B145 * K134, "")</f>
        <v>1351.3513513513569</v>
      </c>
      <c r="M134" s="102">
        <v>52.5</v>
      </c>
      <c r="N134" s="25">
        <f t="shared" si="69"/>
        <v>1.351351351351357E-2</v>
      </c>
      <c r="O134" s="104">
        <f>IF(ISNUMBER(M134), $B145 * N134, "")</f>
        <v>1351.3513513513569</v>
      </c>
      <c r="Q134" s="236"/>
      <c r="R134" s="237"/>
      <c r="S134" s="238"/>
    </row>
    <row r="135" spans="1:19">
      <c r="A135" s="161" t="s">
        <v>122</v>
      </c>
      <c r="B135" s="124">
        <v>66.599999999999994</v>
      </c>
      <c r="C135" s="76">
        <v>9.0909091000000008E-3</v>
      </c>
      <c r="D135" s="13">
        <v>67.5</v>
      </c>
      <c r="E135" s="14">
        <f>IF(ISNUMBER(D135), (D135 - $B135) / $B135, "")</f>
        <v>1.3513513513513599E-2</v>
      </c>
      <c r="F135" s="16">
        <f>IF(ISNUMBER(D135), $B145 * E135, "")</f>
        <v>1351.3513513513599</v>
      </c>
      <c r="G135" s="29">
        <v>67.599999999999994</v>
      </c>
      <c r="H135" s="14">
        <f>IF(ISNUMBER(G135), (G135 - $B135) / $B135, "")</f>
        <v>1.5015015015015017E-2</v>
      </c>
      <c r="I135" s="100">
        <f>IF(ISNUMBER(G135), $B145 * H135, "")</f>
        <v>1501.5015015015017</v>
      </c>
      <c r="J135" s="13">
        <v>67.8</v>
      </c>
      <c r="K135" s="14">
        <f>IF(ISNUMBER(J135), (J135 - $B135) / $B135, "")</f>
        <v>1.8018018018018063E-2</v>
      </c>
      <c r="L135" s="16">
        <f>IF(ISNUMBER(J135), $B145 * K135, "")</f>
        <v>1801.8018018018063</v>
      </c>
      <c r="M135" s="29">
        <v>66.900000000000006</v>
      </c>
      <c r="N135" s="14">
        <f>IF(ISNUMBER(M135), (M135 - $B135) / $B135, "")</f>
        <v>4.5045045045046753E-3</v>
      </c>
      <c r="O135" s="16">
        <f>IF(ISNUMBER(M135), $B145 * N135, "")</f>
        <v>450.45045045046754</v>
      </c>
      <c r="Q135" s="239"/>
      <c r="R135" s="240"/>
      <c r="S135" s="241"/>
    </row>
    <row r="136" spans="1:19" ht="17.25" thickBot="1">
      <c r="A136" s="162" t="s">
        <v>156</v>
      </c>
      <c r="B136" s="126">
        <v>89.8</v>
      </c>
      <c r="C136" s="77">
        <v>7.8563412000000003E-3</v>
      </c>
      <c r="D136" s="15">
        <v>89.9</v>
      </c>
      <c r="E136" s="32">
        <f t="shared" ref="E136:E139" si="70">IF(ISNUMBER(D136), (D136 - $B136) / $B136, "")</f>
        <v>1.1135857461025448E-3</v>
      </c>
      <c r="F136" s="18">
        <f>IF(ISNUMBER(D136), $B145 * E136, "")</f>
        <v>111.35857461025448</v>
      </c>
      <c r="G136" s="31">
        <v>89.5</v>
      </c>
      <c r="H136" s="32">
        <f t="shared" ref="H136:H139" si="71">IF(ISNUMBER(G136), (G136 - $B136) / $B136, "")</f>
        <v>-3.3407572383073181E-3</v>
      </c>
      <c r="I136" s="101">
        <f>IF(ISNUMBER(G136), $B145 * H136, "")</f>
        <v>-334.07572383073182</v>
      </c>
      <c r="J136" s="15">
        <v>89.5</v>
      </c>
      <c r="K136" s="32">
        <f t="shared" ref="K136:K139" si="72">IF(ISNUMBER(J136), (J136 - $B136) / $B136, "")</f>
        <v>-3.3407572383073181E-3</v>
      </c>
      <c r="L136" s="18">
        <f>IF(ISNUMBER(J136), $B145 * K136, "")</f>
        <v>-334.07572383073182</v>
      </c>
      <c r="M136" s="31">
        <v>89.9</v>
      </c>
      <c r="N136" s="32">
        <f t="shared" ref="N136:N139" si="73">IF(ISNUMBER(M136), (M136 - $B136) / $B136, "")</f>
        <v>1.1135857461025448E-3</v>
      </c>
      <c r="O136" s="18">
        <f>IF(ISNUMBER(M136), $B145 * N136, "")</f>
        <v>111.35857461025448</v>
      </c>
      <c r="Q136" s="242"/>
      <c r="R136" s="243"/>
      <c r="S136" s="244"/>
    </row>
    <row r="137" spans="1:19" ht="17.25" thickBot="1">
      <c r="A137" s="162" t="s">
        <v>264</v>
      </c>
      <c r="B137" s="126">
        <v>87.7</v>
      </c>
      <c r="C137" s="77">
        <v>6.8886338000000002E-3</v>
      </c>
      <c r="D137" s="15">
        <v>88.7</v>
      </c>
      <c r="E137" s="32">
        <f t="shared" si="70"/>
        <v>1.1402508551881414E-2</v>
      </c>
      <c r="F137" s="18">
        <f>IF(ISNUMBER(D137), $B145 * E137, "")</f>
        <v>1140.2508551881415</v>
      </c>
      <c r="G137" s="31">
        <v>89.7</v>
      </c>
      <c r="H137" s="32">
        <f t="shared" si="71"/>
        <v>2.2805017103762829E-2</v>
      </c>
      <c r="I137" s="101">
        <f>IF(ISNUMBER(G137), $B145 * H137, "")</f>
        <v>2280.501710376283</v>
      </c>
      <c r="J137" s="15">
        <v>90.6</v>
      </c>
      <c r="K137" s="32">
        <f t="shared" si="72"/>
        <v>3.3067274800456001E-2</v>
      </c>
      <c r="L137" s="18">
        <f>IF(ISNUMBER(J137), $B145 * K137, "")</f>
        <v>3306.7274800456003</v>
      </c>
      <c r="M137" s="31">
        <v>90.2</v>
      </c>
      <c r="N137" s="32">
        <f t="shared" si="73"/>
        <v>2.8506271379703532E-2</v>
      </c>
      <c r="O137" s="18">
        <f>IF(ISNUMBER(M137), $B145 * N137, "")</f>
        <v>2850.627137970353</v>
      </c>
      <c r="Q137" s="235"/>
      <c r="R137" s="235"/>
      <c r="S137" s="235"/>
    </row>
    <row r="138" spans="1:19" ht="17.25" thickBot="1">
      <c r="A138" s="162" t="s">
        <v>260</v>
      </c>
      <c r="B138" s="126">
        <v>76.7</v>
      </c>
      <c r="C138" s="77">
        <v>6.5616798000000002E-3</v>
      </c>
      <c r="D138" s="15">
        <v>76.900000000000006</v>
      </c>
      <c r="E138" s="32">
        <f t="shared" si="70"/>
        <v>2.6075619295958647E-3</v>
      </c>
      <c r="F138" s="18">
        <f>IF(ISNUMBER(D138), $B145 * E138, "")</f>
        <v>260.75619295958649</v>
      </c>
      <c r="G138" s="31">
        <v>76.8</v>
      </c>
      <c r="H138" s="32">
        <f t="shared" si="71"/>
        <v>1.3037809647978398E-3</v>
      </c>
      <c r="I138" s="101">
        <f>IF(ISNUMBER(G138), $B145 * H138, "")</f>
        <v>130.37809647978398</v>
      </c>
      <c r="J138" s="15">
        <v>77</v>
      </c>
      <c r="K138" s="32">
        <f t="shared" si="72"/>
        <v>3.9113428943937049E-3</v>
      </c>
      <c r="L138" s="18">
        <f>IF(ISNUMBER(J138), $B145 * K138, "")</f>
        <v>391.13428943937049</v>
      </c>
      <c r="M138" s="31">
        <v>76.599999999999994</v>
      </c>
      <c r="N138" s="32">
        <f t="shared" si="73"/>
        <v>-1.3037809647980252E-3</v>
      </c>
      <c r="O138" s="18">
        <f>IF(ISNUMBER(M138), $B145 * N138, "")</f>
        <v>-130.37809647980251</v>
      </c>
      <c r="Q138" s="245"/>
      <c r="R138" s="245"/>
      <c r="S138" s="245"/>
    </row>
    <row r="139" spans="1:19" ht="17.25" thickBot="1">
      <c r="A139" s="163" t="s">
        <v>65</v>
      </c>
      <c r="B139" s="128">
        <v>36.9</v>
      </c>
      <c r="C139" s="78">
        <v>5.4495912999999998E-3</v>
      </c>
      <c r="D139" s="20">
        <v>37.200000000000003</v>
      </c>
      <c r="E139" s="21">
        <f t="shared" si="70"/>
        <v>8.1300813008131235E-3</v>
      </c>
      <c r="F139" s="22">
        <f>IF(ISNUMBER(D139), $B145 * E139, "")</f>
        <v>813.0081300813124</v>
      </c>
      <c r="G139" s="30">
        <v>37.200000000000003</v>
      </c>
      <c r="H139" s="21">
        <f t="shared" si="71"/>
        <v>8.1300813008131235E-3</v>
      </c>
      <c r="I139" s="105">
        <f>IF(ISNUMBER(G139), $B145 * H139, "")</f>
        <v>813.0081300813124</v>
      </c>
      <c r="J139" s="20">
        <v>36.9</v>
      </c>
      <c r="K139" s="21">
        <f t="shared" si="72"/>
        <v>0</v>
      </c>
      <c r="L139" s="22">
        <f>IF(ISNUMBER(J139), $B145 * K139, "")</f>
        <v>0</v>
      </c>
      <c r="M139" s="30">
        <v>36.700000000000003</v>
      </c>
      <c r="N139" s="21">
        <f t="shared" si="73"/>
        <v>-5.4200542005418901E-3</v>
      </c>
      <c r="O139" s="22">
        <f>IF(ISNUMBER(M139), $B145 * N139, "")</f>
        <v>-542.00542005418902</v>
      </c>
      <c r="Q139" s="245"/>
      <c r="R139" s="245"/>
      <c r="S139" s="245"/>
    </row>
    <row r="140" spans="1:19" ht="17.25" thickBot="1">
      <c r="A140" s="162" t="s">
        <v>212</v>
      </c>
      <c r="B140" s="129">
        <v>79.599999999999994</v>
      </c>
      <c r="C140" s="80">
        <v>1.2578616000000001E-3</v>
      </c>
      <c r="D140" s="106">
        <v>79.7</v>
      </c>
      <c r="E140" s="107">
        <f>IF(ISNUMBER(D140), (D140 - $B140) / $B140, "")</f>
        <v>1.256281407035283E-3</v>
      </c>
      <c r="F140" s="108">
        <f>IF(ISNUMBER(D140), $B145 * E140, "")</f>
        <v>125.6281407035283</v>
      </c>
      <c r="G140" s="109">
        <v>79.7</v>
      </c>
      <c r="H140" s="107">
        <f>IF(ISNUMBER(G140), (G140 - $B140) / $B140, "")</f>
        <v>1.256281407035283E-3</v>
      </c>
      <c r="I140" s="110">
        <f>IF(ISNUMBER(G140), $B145 * H140, "")</f>
        <v>125.6281407035283</v>
      </c>
      <c r="J140" s="106">
        <v>79.5</v>
      </c>
      <c r="K140" s="107">
        <f>IF(ISNUMBER(J140), (J140 - $B140) / $B140, "")</f>
        <v>-1.2562814070351046E-3</v>
      </c>
      <c r="L140" s="108">
        <f>IF(ISNUMBER(J140), $B145 * K140, "")</f>
        <v>-125.62814070351045</v>
      </c>
      <c r="M140" s="109">
        <v>79.599999999999994</v>
      </c>
      <c r="N140" s="107">
        <f>IF(ISNUMBER(M140), (M140 - $B140) / $B140, "")</f>
        <v>0</v>
      </c>
      <c r="O140" s="108">
        <f>IF(ISNUMBER(M140), $B145 * N140, "")</f>
        <v>0</v>
      </c>
      <c r="Q140" s="235"/>
      <c r="R140" s="235"/>
      <c r="S140" s="235"/>
    </row>
    <row r="141" spans="1:19" ht="17.25" thickBot="1">
      <c r="A141" s="162" t="s">
        <v>236</v>
      </c>
      <c r="B141" s="126">
        <v>53.1</v>
      </c>
      <c r="C141" s="77">
        <v>0</v>
      </c>
      <c r="D141" s="15">
        <v>55.2</v>
      </c>
      <c r="E141" s="32">
        <f t="shared" ref="E141:E144" si="74">IF(ISNUMBER(D141), (D141 - $B141) / $B141, "")</f>
        <v>3.9548022598870081E-2</v>
      </c>
      <c r="F141" s="18">
        <f>IF(ISNUMBER(D141), $B145 * E141, "")</f>
        <v>3954.8022598870079</v>
      </c>
      <c r="G141" s="31">
        <v>55.3</v>
      </c>
      <c r="H141" s="32">
        <f t="shared" ref="H141:H144" si="75">IF(ISNUMBER(G141), (G141 - $B141) / $B141, "")</f>
        <v>4.143126177024474E-2</v>
      </c>
      <c r="I141" s="101">
        <f>IF(ISNUMBER(G141), $B145 * H141, "")</f>
        <v>4143.1261770244737</v>
      </c>
      <c r="J141" s="15">
        <v>56.5</v>
      </c>
      <c r="K141" s="32">
        <f t="shared" ref="K141:K144" si="76">IF(ISNUMBER(J141), (J141 - $B141) / $B141, "")</f>
        <v>6.4030131826741971E-2</v>
      </c>
      <c r="L141" s="18">
        <f>IF(ISNUMBER(J141), $B145 * K141, "")</f>
        <v>6403.0131826741972</v>
      </c>
      <c r="M141" s="31">
        <v>55.9</v>
      </c>
      <c r="N141" s="32">
        <f t="shared" ref="N141:N144" si="77">IF(ISNUMBER(M141), (M141 - $B141) / $B141, "")</f>
        <v>5.2730696798493355E-2</v>
      </c>
      <c r="O141" s="18">
        <f>IF(ISNUMBER(M141), $B145 * N141, "")</f>
        <v>5273.0696798493354</v>
      </c>
      <c r="Q141" s="235"/>
      <c r="R141" s="235"/>
      <c r="S141" s="235"/>
    </row>
    <row r="142" spans="1:19" ht="17.25" thickBot="1">
      <c r="A142" s="162" t="s">
        <v>172</v>
      </c>
      <c r="B142" s="126">
        <v>15.3</v>
      </c>
      <c r="C142" s="77">
        <v>0</v>
      </c>
      <c r="D142" s="15">
        <v>15.4</v>
      </c>
      <c r="E142" s="32">
        <f t="shared" si="74"/>
        <v>6.5359477124182774E-3</v>
      </c>
      <c r="F142" s="18">
        <f>IF(ISNUMBER(D142), $B145 * E142, "")</f>
        <v>653.59477124182774</v>
      </c>
      <c r="G142" s="31">
        <v>15.5</v>
      </c>
      <c r="H142" s="32">
        <f t="shared" si="75"/>
        <v>1.3071895424836555E-2</v>
      </c>
      <c r="I142" s="101">
        <f>IF(ISNUMBER(G142), $B145 * H142, "")</f>
        <v>1307.1895424836555</v>
      </c>
      <c r="J142" s="15">
        <v>15.6</v>
      </c>
      <c r="K142" s="32">
        <f t="shared" si="76"/>
        <v>1.9607843137254832E-2</v>
      </c>
      <c r="L142" s="18">
        <f>IF(ISNUMBER(J142), $B145 * K142, "")</f>
        <v>1960.7843137254831</v>
      </c>
      <c r="M142" s="31">
        <v>15.5</v>
      </c>
      <c r="N142" s="32">
        <f t="shared" si="77"/>
        <v>1.3071895424836555E-2</v>
      </c>
      <c r="O142" s="18">
        <f>IF(ISNUMBER(M142), $B145 * N142, "")</f>
        <v>1307.1895424836555</v>
      </c>
      <c r="Q142" s="235"/>
      <c r="R142" s="235"/>
      <c r="S142" s="235"/>
    </row>
    <row r="143" spans="1:19">
      <c r="A143" s="162" t="s">
        <v>222</v>
      </c>
      <c r="B143" s="126">
        <v>11.8</v>
      </c>
      <c r="C143" s="77">
        <v>-8.4033613000000004E-3</v>
      </c>
      <c r="D143" s="15">
        <v>12</v>
      </c>
      <c r="E143" s="32">
        <f t="shared" si="74"/>
        <v>1.6949152542372819E-2</v>
      </c>
      <c r="F143" s="18">
        <f>IF(ISNUMBER(D143), $B145 * E143, "")</f>
        <v>1694.9152542372819</v>
      </c>
      <c r="G143" s="31">
        <v>12</v>
      </c>
      <c r="H143" s="32">
        <f t="shared" si="75"/>
        <v>1.6949152542372819E-2</v>
      </c>
      <c r="I143" s="101">
        <f>IF(ISNUMBER(G143), $B145 * H143, "")</f>
        <v>1694.9152542372819</v>
      </c>
      <c r="J143" s="15">
        <v>12.1</v>
      </c>
      <c r="K143" s="32">
        <f t="shared" si="76"/>
        <v>2.542372881355923E-2</v>
      </c>
      <c r="L143" s="18">
        <f>IF(ISNUMBER(J143), $B145 * K143, "")</f>
        <v>2542.3728813559228</v>
      </c>
      <c r="M143" s="31">
        <v>12.1</v>
      </c>
      <c r="N143" s="32">
        <f t="shared" si="77"/>
        <v>2.542372881355923E-2</v>
      </c>
      <c r="O143" s="18">
        <f>IF(ISNUMBER(M143), $B145 * N143, "")</f>
        <v>2542.3728813559228</v>
      </c>
      <c r="Q143" s="224"/>
      <c r="R143" s="225"/>
      <c r="S143" s="226"/>
    </row>
    <row r="144" spans="1:19" ht="17.25" thickBot="1">
      <c r="A144" s="130" t="s">
        <v>100</v>
      </c>
      <c r="B144" s="131">
        <v>4.67</v>
      </c>
      <c r="C144" s="79">
        <v>-1.0593220299999999E-2</v>
      </c>
      <c r="D144" s="24">
        <v>4.67</v>
      </c>
      <c r="E144" s="25">
        <f t="shared" si="74"/>
        <v>0</v>
      </c>
      <c r="F144" s="104">
        <f>IF(ISNUMBER(D144), $B145 * E144, "")</f>
        <v>0</v>
      </c>
      <c r="G144" s="102">
        <v>4.6399999999999997</v>
      </c>
      <c r="H144" s="25">
        <f t="shared" si="75"/>
        <v>-6.4239828693790687E-3</v>
      </c>
      <c r="I144" s="103">
        <f>IF(ISNUMBER(G144), $B145 * H144, "")</f>
        <v>-642.39828693790685</v>
      </c>
      <c r="J144" s="24">
        <v>4.66</v>
      </c>
      <c r="K144" s="25">
        <f t="shared" si="76"/>
        <v>-2.1413276231262929E-3</v>
      </c>
      <c r="L144" s="104">
        <f>IF(ISNUMBER(J144), $B145 * K144, "")</f>
        <v>-214.1327623126293</v>
      </c>
      <c r="M144" s="102">
        <v>4.63</v>
      </c>
      <c r="N144" s="25">
        <f t="shared" si="77"/>
        <v>-8.5653104925053607E-3</v>
      </c>
      <c r="O144" s="104">
        <f>IF(ISNUMBER(M144), $B145 * N144, "")</f>
        <v>-856.53104925053606</v>
      </c>
      <c r="Q144" s="227"/>
      <c r="R144" s="228"/>
      <c r="S144" s="229"/>
    </row>
    <row r="145" spans="1:19" ht="17.25" thickBot="1">
      <c r="A145" s="132" t="s">
        <v>300</v>
      </c>
      <c r="B145" s="288">
        <f>$B$37</f>
        <v>100000</v>
      </c>
      <c r="C145" s="289"/>
      <c r="D145" s="26" t="s">
        <v>301</v>
      </c>
      <c r="E145" s="27">
        <f>IF(COUNT(E125:E144), SUM(E125:E144) / COUNT(E125:E144), 0)</f>
        <v>4.0412756633406684E-3</v>
      </c>
      <c r="F145" s="28">
        <f>SUM(F125:F144)</f>
        <v>8082.551326681335</v>
      </c>
      <c r="G145" s="26" t="s">
        <v>301</v>
      </c>
      <c r="H145" s="27">
        <f>IF(COUNT(H125:H144), SUM(H125:H144) / COUNT(H125:H144), 0)</f>
        <v>9.2641212339887972E-3</v>
      </c>
      <c r="I145" s="28">
        <f>SUM(I125:I144)</f>
        <v>18528.242467977594</v>
      </c>
      <c r="J145" s="26" t="s">
        <v>301</v>
      </c>
      <c r="K145" s="27">
        <f>IF(COUNT(K125:K144), SUM(K125:K144) / COUNT(K125:K144), 0)</f>
        <v>9.8030557743474193E-3</v>
      </c>
      <c r="L145" s="28">
        <f>SUM(L125:L144)</f>
        <v>19606.111548694837</v>
      </c>
      <c r="M145" s="26" t="s">
        <v>301</v>
      </c>
      <c r="N145" s="27">
        <f>IF(COUNT(N125:N144), SUM(N125:N144) / COUNT(N125:N144), 0)</f>
        <v>5.7200721063685326E-3</v>
      </c>
      <c r="O145" s="28">
        <f>SUM(O125:O144)</f>
        <v>11440.144212737065</v>
      </c>
      <c r="Q145" s="230"/>
      <c r="R145" s="231"/>
      <c r="S145" s="232"/>
    </row>
    <row r="147" spans="1:19" ht="17.25" thickBot="1"/>
    <row r="148" spans="1:19" ht="17.25" thickBot="1">
      <c r="A148" s="246" t="s">
        <v>289</v>
      </c>
      <c r="B148" s="247"/>
      <c r="C148" s="247"/>
      <c r="D148" s="247"/>
      <c r="E148" s="247"/>
      <c r="F148" s="247"/>
      <c r="G148" s="247"/>
      <c r="H148" s="247"/>
      <c r="I148" s="247"/>
      <c r="J148" s="247"/>
      <c r="K148" s="247"/>
      <c r="L148" s="247"/>
      <c r="M148" s="247"/>
      <c r="N148" s="247"/>
      <c r="O148" s="248"/>
      <c r="Q148" s="245"/>
      <c r="R148" s="245"/>
      <c r="S148" s="245"/>
    </row>
    <row r="149" spans="1:19" ht="17.25" thickBot="1">
      <c r="A149" s="184" t="s">
        <v>297</v>
      </c>
      <c r="B149" s="246" t="s">
        <v>49</v>
      </c>
      <c r="C149" s="248"/>
      <c r="D149" s="246" t="s">
        <v>58</v>
      </c>
      <c r="E149" s="247"/>
      <c r="F149" s="248"/>
      <c r="G149" s="249">
        <f>_xlfn.IFNA(VLOOKUP(B149, 현재가테이블!$B$2:$D$200, 2, FALSE), "-")</f>
        <v>45335000</v>
      </c>
      <c r="H149" s="250"/>
      <c r="I149" s="251"/>
      <c r="J149" s="246" t="s">
        <v>59</v>
      </c>
      <c r="K149" s="247"/>
      <c r="L149" s="248"/>
      <c r="M149" s="252">
        <f>_xlfn.IFNA(VLOOKUP(B149, 현재가테이블!$B$2:$D$200, 3, FALSE), "-")</f>
        <v>-2.27209037E-2</v>
      </c>
      <c r="N149" s="253"/>
      <c r="O149" s="254"/>
      <c r="Q149" s="245"/>
      <c r="R149" s="245"/>
      <c r="S149" s="245"/>
    </row>
    <row r="150" spans="1:19" ht="17.25" thickBot="1">
      <c r="A150" s="290" t="s">
        <v>55</v>
      </c>
      <c r="B150" s="286" t="str">
        <f>TEXT($G$1, "[$-ko-KR]yyyy-mm-dd(ddd) ") &amp; "오전 00:00"</f>
        <v>2021-06-07(월) 오전 00:00</v>
      </c>
      <c r="C150" s="287"/>
      <c r="D150" s="259" t="str">
        <f>TEXT($G$1, "[$-ko-KR]yyyy-mm-dd(ddd) ") &amp; "오후 14:00"</f>
        <v>2021-06-07(월) 오후 14:00</v>
      </c>
      <c r="E150" s="260"/>
      <c r="F150" s="261"/>
      <c r="G150" s="259" t="str">
        <f>TEXT($G$1, "[$-ko-KR]yyyy-mm-dd(ddd) ") &amp; "오후 19:00"</f>
        <v>2021-06-07(월) 오후 19:00</v>
      </c>
      <c r="H150" s="260"/>
      <c r="I150" s="261"/>
      <c r="J150" s="259" t="str">
        <f>TEXT($G$1, "[$-ko-KR]yyyy-mm-dd(ddd) ") &amp; "오후 21:00"</f>
        <v>2021-06-07(월) 오후 21:00</v>
      </c>
      <c r="K150" s="260"/>
      <c r="L150" s="261"/>
      <c r="M150" s="259" t="str">
        <f>TEXT($G$1+1, "[$-ko-KR]yyyy-mm-dd(ddd) ") &amp; "오전 00:00"</f>
        <v>2021-06-08(화) 오전 00:00</v>
      </c>
      <c r="N150" s="260"/>
      <c r="O150" s="261"/>
      <c r="Q150" s="245"/>
      <c r="R150" s="245"/>
      <c r="S150" s="245"/>
    </row>
    <row r="151" spans="1:19" ht="17.25" thickBot="1">
      <c r="A151" s="291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85" t="s">
        <v>58</v>
      </c>
      <c r="H151" s="186" t="s">
        <v>298</v>
      </c>
      <c r="I151" s="187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5"/>
      <c r="R151" s="235"/>
      <c r="S151" s="235"/>
    </row>
    <row r="152" spans="1:19" ht="17.25" thickBot="1">
      <c r="A152" s="161" t="s">
        <v>57</v>
      </c>
      <c r="B152" s="124">
        <v>216</v>
      </c>
      <c r="C152" s="76">
        <v>9.3457943999999994E-3</v>
      </c>
      <c r="D152" s="13">
        <v>218</v>
      </c>
      <c r="E152" s="14">
        <f>IF(ISNUMBER(D152), (D152 - $B152) / $B152, "")</f>
        <v>9.2592592592592587E-3</v>
      </c>
      <c r="F152" s="16">
        <f>IF(ISNUMBER(D152), $B172 * E152, "")</f>
        <v>925.92592592592587</v>
      </c>
      <c r="G152" s="29">
        <v>219</v>
      </c>
      <c r="H152" s="14">
        <f>IF(ISNUMBER(G152), (G152 - $B152) / $B152, "")</f>
        <v>1.3888888888888888E-2</v>
      </c>
      <c r="I152" s="100">
        <f>IF(ISNUMBER(G152), $B172 * H152, "")</f>
        <v>1388.8888888888889</v>
      </c>
      <c r="J152" s="13">
        <v>218</v>
      </c>
      <c r="K152" s="14">
        <f>IF(ISNUMBER(J152), (J152 - $B152) / $B152, "")</f>
        <v>9.2592592592592587E-3</v>
      </c>
      <c r="L152" s="16">
        <f>IF(ISNUMBER(J152), $B172 * K152, "")</f>
        <v>925.92592592592587</v>
      </c>
      <c r="M152" s="29">
        <v>217</v>
      </c>
      <c r="N152" s="14">
        <f>IF(ISNUMBER(M152), (M152 - $B152) / $B152, "")</f>
        <v>4.6296296296296294E-3</v>
      </c>
      <c r="O152" s="16">
        <f>IF(ISNUMBER(M152), $B172 * N152, "")</f>
        <v>462.96296296296293</v>
      </c>
      <c r="Q152" s="245"/>
      <c r="R152" s="245"/>
      <c r="S152" s="245"/>
    </row>
    <row r="153" spans="1:19" ht="17.25" thickBot="1">
      <c r="A153" s="162" t="s">
        <v>148</v>
      </c>
      <c r="B153" s="126">
        <v>120</v>
      </c>
      <c r="C153" s="77">
        <v>8.4033613000000004E-3</v>
      </c>
      <c r="D153" s="15">
        <v>120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121</v>
      </c>
      <c r="H153" s="32">
        <f t="shared" ref="H153:H156" si="79">IF(ISNUMBER(G153), (G153 - $B153) / $B153, "")</f>
        <v>8.3333333333333332E-3</v>
      </c>
      <c r="I153" s="101">
        <f>IF(ISNUMBER(G153), $B172 * H153, "")</f>
        <v>833.33333333333337</v>
      </c>
      <c r="J153" s="15">
        <v>120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120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45"/>
      <c r="R153" s="245"/>
      <c r="S153" s="245"/>
    </row>
    <row r="154" spans="1:19" ht="17.25" thickBot="1">
      <c r="A154" s="162" t="s">
        <v>128</v>
      </c>
      <c r="B154" s="126">
        <v>377</v>
      </c>
      <c r="C154" s="77">
        <v>8.0213903999999999E-3</v>
      </c>
      <c r="D154" s="15">
        <v>379</v>
      </c>
      <c r="E154" s="32">
        <f t="shared" si="78"/>
        <v>5.3050397877984082E-3</v>
      </c>
      <c r="F154" s="18">
        <f>IF(ISNUMBER(D154), $B172 * E154, "")</f>
        <v>530.50397877984085</v>
      </c>
      <c r="G154" s="31">
        <v>382</v>
      </c>
      <c r="H154" s="32">
        <f t="shared" si="79"/>
        <v>1.3262599469496022E-2</v>
      </c>
      <c r="I154" s="101">
        <f>IF(ISNUMBER(G154), $B172 * H154, "")</f>
        <v>1326.2599469496022</v>
      </c>
      <c r="J154" s="15">
        <v>381</v>
      </c>
      <c r="K154" s="32">
        <f t="shared" si="80"/>
        <v>1.0610079575596816E-2</v>
      </c>
      <c r="L154" s="18">
        <f>IF(ISNUMBER(J154), $B172 * K154, "")</f>
        <v>1061.0079575596817</v>
      </c>
      <c r="M154" s="31">
        <v>378</v>
      </c>
      <c r="N154" s="32">
        <f t="shared" si="81"/>
        <v>2.6525198938992041E-3</v>
      </c>
      <c r="O154" s="18">
        <f>IF(ISNUMBER(M154), $B172 * N154, "")</f>
        <v>265.25198938992042</v>
      </c>
      <c r="Q154" s="235"/>
      <c r="R154" s="235"/>
      <c r="S154" s="235"/>
    </row>
    <row r="155" spans="1:19" ht="17.25" thickBot="1">
      <c r="A155" s="162" t="s">
        <v>284</v>
      </c>
      <c r="B155" s="126">
        <v>255</v>
      </c>
      <c r="C155" s="77">
        <v>7.9051382999999996E-3</v>
      </c>
      <c r="D155" s="15">
        <v>264</v>
      </c>
      <c r="E155" s="32">
        <f t="shared" si="78"/>
        <v>3.5294117647058823E-2</v>
      </c>
      <c r="F155" s="18">
        <f>IF(ISNUMBER(D155), $B172 * E155, "")</f>
        <v>3529.4117647058824</v>
      </c>
      <c r="G155" s="31">
        <v>265</v>
      </c>
      <c r="H155" s="32">
        <f t="shared" si="79"/>
        <v>3.9215686274509803E-2</v>
      </c>
      <c r="I155" s="101">
        <f>IF(ISNUMBER(G155), $B172 * H155, "")</f>
        <v>3921.5686274509803</v>
      </c>
      <c r="J155" s="15">
        <v>265</v>
      </c>
      <c r="K155" s="32">
        <f t="shared" si="80"/>
        <v>3.9215686274509803E-2</v>
      </c>
      <c r="L155" s="18">
        <f>IF(ISNUMBER(J155), $B172 * K155, "")</f>
        <v>3921.5686274509803</v>
      </c>
      <c r="M155" s="31">
        <v>262</v>
      </c>
      <c r="N155" s="32">
        <f t="shared" si="81"/>
        <v>2.7450980392156862E-2</v>
      </c>
      <c r="O155" s="18">
        <f>IF(ISNUMBER(M155), $B172 * N155, "")</f>
        <v>2745.0980392156862</v>
      </c>
      <c r="Q155" s="235"/>
      <c r="R155" s="235"/>
      <c r="S155" s="235"/>
    </row>
    <row r="156" spans="1:19" ht="17.25" thickBot="1">
      <c r="A156" s="163" t="s">
        <v>216</v>
      </c>
      <c r="B156" s="128">
        <v>279</v>
      </c>
      <c r="C156" s="78">
        <v>7.2202166E-3</v>
      </c>
      <c r="D156" s="20">
        <v>284</v>
      </c>
      <c r="E156" s="21">
        <f t="shared" si="78"/>
        <v>1.7921146953405017E-2</v>
      </c>
      <c r="F156" s="22">
        <f>IF(ISNUMBER(D156), $B172 * E156, "")</f>
        <v>1792.1146953405016</v>
      </c>
      <c r="G156" s="30">
        <v>285</v>
      </c>
      <c r="H156" s="21">
        <f t="shared" si="79"/>
        <v>2.1505376344086023E-2</v>
      </c>
      <c r="I156" s="105">
        <f>IF(ISNUMBER(G156), $B172 * H156, "")</f>
        <v>2150.5376344086021</v>
      </c>
      <c r="J156" s="20">
        <v>285</v>
      </c>
      <c r="K156" s="21">
        <f t="shared" si="80"/>
        <v>2.1505376344086023E-2</v>
      </c>
      <c r="L156" s="22">
        <f>IF(ISNUMBER(J156), $B172 * K156, "")</f>
        <v>2150.5376344086021</v>
      </c>
      <c r="M156" s="30">
        <v>281</v>
      </c>
      <c r="N156" s="21">
        <f t="shared" si="81"/>
        <v>7.1684587813620072E-3</v>
      </c>
      <c r="O156" s="22">
        <f>IF(ISNUMBER(M156), $B172 * N156, "")</f>
        <v>716.84587813620067</v>
      </c>
      <c r="Q156" s="235"/>
      <c r="R156" s="235"/>
      <c r="S156" s="235"/>
    </row>
    <row r="157" spans="1:19" ht="17.25" thickBot="1">
      <c r="A157" s="162" t="s">
        <v>170</v>
      </c>
      <c r="B157" s="129">
        <v>297</v>
      </c>
      <c r="C157" s="80">
        <v>6.7796610000000002E-3</v>
      </c>
      <c r="D157" s="106">
        <v>300</v>
      </c>
      <c r="E157" s="107">
        <f>IF(ISNUMBER(D157), (D157 - $B157) / $B157, "")</f>
        <v>1.0101010101010102E-2</v>
      </c>
      <c r="F157" s="108">
        <f>IF(ISNUMBER(D157), $B172 * E157, "")</f>
        <v>1010.1010101010102</v>
      </c>
      <c r="G157" s="109">
        <v>301</v>
      </c>
      <c r="H157" s="107">
        <f>IF(ISNUMBER(G157), (G157 - $B157) / $B157, "")</f>
        <v>1.3468013468013467E-2</v>
      </c>
      <c r="I157" s="110">
        <f>IF(ISNUMBER(G157), $B172 * H157, "")</f>
        <v>1346.8013468013467</v>
      </c>
      <c r="J157" s="106">
        <v>302</v>
      </c>
      <c r="K157" s="107">
        <f>IF(ISNUMBER(J157), (J157 - $B157) / $B157, "")</f>
        <v>1.6835016835016835E-2</v>
      </c>
      <c r="L157" s="108">
        <f>IF(ISNUMBER(J157), $B172 * K157, "")</f>
        <v>1683.5016835016834</v>
      </c>
      <c r="M157" s="109">
        <v>300</v>
      </c>
      <c r="N157" s="107">
        <f>IF(ISNUMBER(M157), (M157 - $B157) / $B157, "")</f>
        <v>1.0101010101010102E-2</v>
      </c>
      <c r="O157" s="108">
        <f>IF(ISNUMBER(M157), $B172 * N157, "")</f>
        <v>1010.1010101010102</v>
      </c>
      <c r="Q157" s="235"/>
      <c r="R157" s="235"/>
      <c r="S157" s="235"/>
    </row>
    <row r="158" spans="1:19" ht="17.25" thickBot="1">
      <c r="A158" s="162" t="s">
        <v>234</v>
      </c>
      <c r="B158" s="126">
        <v>831</v>
      </c>
      <c r="C158" s="77">
        <v>3.6231884E-3</v>
      </c>
      <c r="D158" s="15">
        <v>871</v>
      </c>
      <c r="E158" s="32">
        <f t="shared" ref="E158:E161" si="82">IF(ISNUMBER(D158), (D158 - $B158) / $B158, "")</f>
        <v>4.8134777376654635E-2</v>
      </c>
      <c r="F158" s="18">
        <f>IF(ISNUMBER(D158), $B172 * E158, "")</f>
        <v>4813.4777376654638</v>
      </c>
      <c r="G158" s="31">
        <v>862</v>
      </c>
      <c r="H158" s="32">
        <f t="shared" ref="H158:H161" si="83">IF(ISNUMBER(G158), (G158 - $B158) / $B158, "")</f>
        <v>3.7304452466907341E-2</v>
      </c>
      <c r="I158" s="101">
        <f>IF(ISNUMBER(G158), $B172 * H158, "")</f>
        <v>3730.4452466907342</v>
      </c>
      <c r="J158" s="15">
        <v>882</v>
      </c>
      <c r="K158" s="32">
        <f t="shared" ref="K158:K161" si="84">IF(ISNUMBER(J158), (J158 - $B158) / $B158, "")</f>
        <v>6.1371841155234655E-2</v>
      </c>
      <c r="L158" s="18">
        <f>IF(ISNUMBER(J158), $B172 * K158, "")</f>
        <v>6137.1841155234652</v>
      </c>
      <c r="M158" s="31">
        <v>857</v>
      </c>
      <c r="N158" s="32">
        <f t="shared" ref="N158:N161" si="85">IF(ISNUMBER(M158), (M158 - $B158) / $B158, "")</f>
        <v>3.1287605294825514E-2</v>
      </c>
      <c r="O158" s="18">
        <f>IF(ISNUMBER(M158), $B172 * N158, "")</f>
        <v>3128.7605294825516</v>
      </c>
      <c r="Q158" s="235"/>
      <c r="R158" s="235"/>
      <c r="S158" s="235"/>
    </row>
    <row r="159" spans="1:19" ht="17.25" thickBot="1">
      <c r="A159" s="162" t="s">
        <v>226</v>
      </c>
      <c r="B159" s="126">
        <v>298</v>
      </c>
      <c r="C159" s="77">
        <v>3.3670034000000001E-3</v>
      </c>
      <c r="D159" s="15">
        <v>307</v>
      </c>
      <c r="E159" s="32">
        <f t="shared" si="82"/>
        <v>3.0201342281879196E-2</v>
      </c>
      <c r="F159" s="18">
        <f>IF(ISNUMBER(D159), $B172 * E159, "")</f>
        <v>3020.1342281879197</v>
      </c>
      <c r="G159" s="31">
        <v>310</v>
      </c>
      <c r="H159" s="32">
        <f t="shared" si="83"/>
        <v>4.0268456375838924E-2</v>
      </c>
      <c r="I159" s="101">
        <f>IF(ISNUMBER(G159), $B172 * H159, "")</f>
        <v>4026.8456375838923</v>
      </c>
      <c r="J159" s="15">
        <v>311</v>
      </c>
      <c r="K159" s="32">
        <f t="shared" si="84"/>
        <v>4.3624161073825503E-2</v>
      </c>
      <c r="L159" s="18">
        <f>IF(ISNUMBER(J159), $B172 * K159, "")</f>
        <v>4362.4161073825499</v>
      </c>
      <c r="M159" s="31">
        <v>307</v>
      </c>
      <c r="N159" s="32">
        <f t="shared" si="85"/>
        <v>3.0201342281879196E-2</v>
      </c>
      <c r="O159" s="18">
        <f>IF(ISNUMBER(M159), $B172 * N159, "")</f>
        <v>3020.1342281879197</v>
      </c>
      <c r="Q159" s="235"/>
      <c r="R159" s="235"/>
      <c r="S159" s="235"/>
    </row>
    <row r="160" spans="1:19" ht="17.25" thickBot="1">
      <c r="A160" s="162" t="s">
        <v>88</v>
      </c>
      <c r="B160" s="126">
        <v>310</v>
      </c>
      <c r="C160" s="77">
        <v>3.2362459999999999E-3</v>
      </c>
      <c r="D160" s="15">
        <v>312</v>
      </c>
      <c r="E160" s="32">
        <f t="shared" si="82"/>
        <v>6.4516129032258064E-3</v>
      </c>
      <c r="F160" s="18">
        <f>IF(ISNUMBER(D160), $B172 * E160, "")</f>
        <v>645.16129032258061</v>
      </c>
      <c r="G160" s="31">
        <v>310</v>
      </c>
      <c r="H160" s="32">
        <f t="shared" si="83"/>
        <v>0</v>
      </c>
      <c r="I160" s="101">
        <f>IF(ISNUMBER(G160), $B172 * H160, "")</f>
        <v>0</v>
      </c>
      <c r="J160" s="15">
        <v>311</v>
      </c>
      <c r="K160" s="32">
        <f t="shared" si="84"/>
        <v>3.2258064516129032E-3</v>
      </c>
      <c r="L160" s="18">
        <f>IF(ISNUMBER(J160), $B172 * K160, "")</f>
        <v>322.58064516129031</v>
      </c>
      <c r="M160" s="31">
        <v>309</v>
      </c>
      <c r="N160" s="32">
        <f t="shared" si="85"/>
        <v>-3.2258064516129032E-3</v>
      </c>
      <c r="O160" s="18">
        <f>IF(ISNUMBER(M160), $B172 * N160, "")</f>
        <v>-322.58064516129031</v>
      </c>
      <c r="Q160" s="33"/>
      <c r="R160" s="33"/>
    </row>
    <row r="161" spans="1:19" ht="17.25" thickBot="1">
      <c r="A161" s="130" t="s">
        <v>246</v>
      </c>
      <c r="B161" s="131">
        <v>311</v>
      </c>
      <c r="C161" s="79">
        <v>3.2258065000000001E-3</v>
      </c>
      <c r="D161" s="24">
        <v>314</v>
      </c>
      <c r="E161" s="25">
        <f t="shared" si="82"/>
        <v>9.6463022508038593E-3</v>
      </c>
      <c r="F161" s="104">
        <f>IF(ISNUMBER(D161), $B172 * E161, "")</f>
        <v>964.63022508038591</v>
      </c>
      <c r="G161" s="102">
        <v>314</v>
      </c>
      <c r="H161" s="25">
        <f t="shared" si="83"/>
        <v>9.6463022508038593E-3</v>
      </c>
      <c r="I161" s="103">
        <f>IF(ISNUMBER(G161), $B172 * H161, "")</f>
        <v>964.63022508038591</v>
      </c>
      <c r="J161" s="24">
        <v>316</v>
      </c>
      <c r="K161" s="25">
        <f t="shared" si="84"/>
        <v>1.607717041800643E-2</v>
      </c>
      <c r="L161" s="104">
        <f>IF(ISNUMBER(J161), $B172 * K161, "")</f>
        <v>1607.7170418006431</v>
      </c>
      <c r="M161" s="102">
        <v>315</v>
      </c>
      <c r="N161" s="25">
        <f t="shared" si="85"/>
        <v>1.2861736334405145E-2</v>
      </c>
      <c r="O161" s="104">
        <f>IF(ISNUMBER(M161), $B172 * N161, "")</f>
        <v>1286.1736334405145</v>
      </c>
      <c r="Q161" s="236"/>
      <c r="R161" s="237"/>
      <c r="S161" s="238"/>
    </row>
    <row r="162" spans="1:19">
      <c r="A162" s="161" t="s">
        <v>116</v>
      </c>
      <c r="B162" s="124">
        <v>376</v>
      </c>
      <c r="C162" s="76">
        <v>2.6666667000000001E-3</v>
      </c>
      <c r="D162" s="13">
        <v>377</v>
      </c>
      <c r="E162" s="14">
        <f>IF(ISNUMBER(D162), (D162 - $B162) / $B162, "")</f>
        <v>2.6595744680851063E-3</v>
      </c>
      <c r="F162" s="16">
        <f>IF(ISNUMBER(D162), $B172 * E162, "")</f>
        <v>265.95744680851061</v>
      </c>
      <c r="G162" s="29">
        <v>376</v>
      </c>
      <c r="H162" s="14">
        <f>IF(ISNUMBER(G162), (G162 - $B162) / $B162, "")</f>
        <v>0</v>
      </c>
      <c r="I162" s="100">
        <f>IF(ISNUMBER(G162), $B172 * H162, "")</f>
        <v>0</v>
      </c>
      <c r="J162" s="13">
        <v>377</v>
      </c>
      <c r="K162" s="14">
        <f>IF(ISNUMBER(J162), (J162 - $B162) / $B162, "")</f>
        <v>2.6595744680851063E-3</v>
      </c>
      <c r="L162" s="16">
        <f>IF(ISNUMBER(J162), $B172 * K162, "")</f>
        <v>265.95744680851061</v>
      </c>
      <c r="M162" s="29">
        <v>374</v>
      </c>
      <c r="N162" s="14">
        <f>IF(ISNUMBER(M162), (M162 - $B162) / $B162, "")</f>
        <v>-5.3191489361702126E-3</v>
      </c>
      <c r="O162" s="16">
        <f>IF(ISNUMBER(M162), $B172 * N162, "")</f>
        <v>-531.91489361702122</v>
      </c>
      <c r="Q162" s="239"/>
      <c r="R162" s="240"/>
      <c r="S162" s="241"/>
    </row>
    <row r="163" spans="1:19" ht="17.25" thickBot="1">
      <c r="A163" s="162" t="s">
        <v>51</v>
      </c>
      <c r="B163" s="126">
        <v>443</v>
      </c>
      <c r="C163" s="77">
        <v>0</v>
      </c>
      <c r="D163" s="15">
        <v>444</v>
      </c>
      <c r="E163" s="32">
        <f t="shared" ref="E163:E166" si="86">IF(ISNUMBER(D163), (D163 - $B163) / $B163, "")</f>
        <v>2.257336343115124E-3</v>
      </c>
      <c r="F163" s="18">
        <f>IF(ISNUMBER(D163), $B172 * E163, "")</f>
        <v>225.73363431151239</v>
      </c>
      <c r="G163" s="31">
        <v>444</v>
      </c>
      <c r="H163" s="32">
        <f t="shared" ref="H163:H166" si="87">IF(ISNUMBER(G163), (G163 - $B163) / $B163, "")</f>
        <v>2.257336343115124E-3</v>
      </c>
      <c r="I163" s="101">
        <f>IF(ISNUMBER(G163), $B172 * H163, "")</f>
        <v>225.73363431151239</v>
      </c>
      <c r="J163" s="15">
        <v>444</v>
      </c>
      <c r="K163" s="32">
        <f t="shared" ref="K163:K166" si="88">IF(ISNUMBER(J163), (J163 - $B163) / $B163, "")</f>
        <v>2.257336343115124E-3</v>
      </c>
      <c r="L163" s="18">
        <f>IF(ISNUMBER(J163), $B172 * K163, "")</f>
        <v>225.73363431151239</v>
      </c>
      <c r="M163" s="31">
        <v>441</v>
      </c>
      <c r="N163" s="32">
        <f t="shared" ref="N163:N166" si="89">IF(ISNUMBER(M163), (M163 - $B163) / $B163, "")</f>
        <v>-4.5146726862302479E-3</v>
      </c>
      <c r="O163" s="18">
        <f>IF(ISNUMBER(M163), $B172 * N163, "")</f>
        <v>-451.46726862302478</v>
      </c>
      <c r="Q163" s="242"/>
      <c r="R163" s="243"/>
      <c r="S163" s="244"/>
    </row>
    <row r="164" spans="1:19" ht="17.25" thickBot="1">
      <c r="A164" s="162" t="s">
        <v>270</v>
      </c>
      <c r="B164" s="126">
        <v>357</v>
      </c>
      <c r="C164" s="77">
        <v>0</v>
      </c>
      <c r="D164" s="15">
        <v>362</v>
      </c>
      <c r="E164" s="32">
        <f t="shared" si="86"/>
        <v>1.4005602240896359E-2</v>
      </c>
      <c r="F164" s="18">
        <f>IF(ISNUMBER(D164), $B172 * E164, "")</f>
        <v>1400.560224089636</v>
      </c>
      <c r="G164" s="31">
        <v>364</v>
      </c>
      <c r="H164" s="32">
        <f t="shared" si="87"/>
        <v>1.9607843137254902E-2</v>
      </c>
      <c r="I164" s="101">
        <f>IF(ISNUMBER(G164), $B172 * H164, "")</f>
        <v>1960.7843137254902</v>
      </c>
      <c r="J164" s="15">
        <v>364</v>
      </c>
      <c r="K164" s="32">
        <f t="shared" si="88"/>
        <v>1.9607843137254902E-2</v>
      </c>
      <c r="L164" s="18">
        <f>IF(ISNUMBER(J164), $B172 * K164, "")</f>
        <v>1960.7843137254902</v>
      </c>
      <c r="M164" s="31">
        <v>362</v>
      </c>
      <c r="N164" s="32">
        <f t="shared" si="89"/>
        <v>1.4005602240896359E-2</v>
      </c>
      <c r="O164" s="18">
        <f>IF(ISNUMBER(M164), $B172 * N164, "")</f>
        <v>1400.560224089636</v>
      </c>
      <c r="Q164" s="235"/>
      <c r="R164" s="235"/>
      <c r="S164" s="235"/>
    </row>
    <row r="165" spans="1:19" ht="17.25" thickBot="1">
      <c r="A165" s="162" t="s">
        <v>80</v>
      </c>
      <c r="B165" s="126">
        <v>883</v>
      </c>
      <c r="C165" s="77">
        <v>-4.5095828999999997E-3</v>
      </c>
      <c r="D165" s="15">
        <v>890</v>
      </c>
      <c r="E165" s="32">
        <f t="shared" si="86"/>
        <v>7.9275198187995465E-3</v>
      </c>
      <c r="F165" s="18">
        <f>IF(ISNUMBER(D165), $B172 * E165, "")</f>
        <v>792.75198187995466</v>
      </c>
      <c r="G165" s="31">
        <v>885</v>
      </c>
      <c r="H165" s="32">
        <f t="shared" si="87"/>
        <v>2.2650056625141564E-3</v>
      </c>
      <c r="I165" s="101">
        <f>IF(ISNUMBER(G165), $B172 * H165, "")</f>
        <v>226.50056625141565</v>
      </c>
      <c r="J165" s="15">
        <v>884</v>
      </c>
      <c r="K165" s="32">
        <f t="shared" si="88"/>
        <v>1.1325028312570782E-3</v>
      </c>
      <c r="L165" s="18">
        <f>IF(ISNUMBER(J165), $B172 * K165, "")</f>
        <v>113.25028312570782</v>
      </c>
      <c r="M165" s="31">
        <v>893</v>
      </c>
      <c r="N165" s="32">
        <f t="shared" si="89"/>
        <v>1.1325028312570781E-2</v>
      </c>
      <c r="O165" s="18">
        <f>IF(ISNUMBER(M165), $B172 * N165, "")</f>
        <v>1132.502831257078</v>
      </c>
      <c r="Q165" s="245"/>
      <c r="R165" s="245"/>
      <c r="S165" s="245"/>
    </row>
    <row r="166" spans="1:19" ht="17.25" thickBot="1">
      <c r="A166" s="163" t="s">
        <v>132</v>
      </c>
      <c r="B166" s="128">
        <v>154</v>
      </c>
      <c r="C166" s="78">
        <v>-6.4516128999999997E-3</v>
      </c>
      <c r="D166" s="20">
        <v>151</v>
      </c>
      <c r="E166" s="21">
        <f t="shared" si="86"/>
        <v>-1.948051948051948E-2</v>
      </c>
      <c r="F166" s="22">
        <f>IF(ISNUMBER(D166), $B172 * E166, "")</f>
        <v>-1948.0519480519481</v>
      </c>
      <c r="G166" s="30">
        <v>149</v>
      </c>
      <c r="H166" s="21">
        <f t="shared" si="87"/>
        <v>-3.2467532467532464E-2</v>
      </c>
      <c r="I166" s="105">
        <f>IF(ISNUMBER(G166), $B172 * H166, "")</f>
        <v>-3246.7532467532465</v>
      </c>
      <c r="J166" s="20">
        <v>151</v>
      </c>
      <c r="K166" s="21">
        <f t="shared" si="88"/>
        <v>-1.948051948051948E-2</v>
      </c>
      <c r="L166" s="22">
        <f>IF(ISNUMBER(J166), $B172 * K166, "")</f>
        <v>-1948.0519480519481</v>
      </c>
      <c r="M166" s="30">
        <v>151</v>
      </c>
      <c r="N166" s="21">
        <f t="shared" si="89"/>
        <v>-1.948051948051948E-2</v>
      </c>
      <c r="O166" s="22">
        <f>IF(ISNUMBER(M166), $B172 * N166, "")</f>
        <v>-1948.0519480519481</v>
      </c>
      <c r="Q166" s="245"/>
      <c r="R166" s="245"/>
      <c r="S166" s="245"/>
    </row>
    <row r="167" spans="1:19" ht="17.25" thickBot="1">
      <c r="A167" s="162" t="s">
        <v>61</v>
      </c>
      <c r="B167" s="129">
        <v>954</v>
      </c>
      <c r="C167" s="80">
        <v>-1.0373444000000001E-2</v>
      </c>
      <c r="D167" s="106">
        <v>948</v>
      </c>
      <c r="E167" s="107">
        <f>IF(ISNUMBER(D167), (D167 - $B167) / $B167, "")</f>
        <v>-6.2893081761006293E-3</v>
      </c>
      <c r="F167" s="108">
        <f>IF(ISNUMBER(D167), $B172 * E167, "")</f>
        <v>-628.93081761006295</v>
      </c>
      <c r="G167" s="109">
        <v>945</v>
      </c>
      <c r="H167" s="107">
        <f>IF(ISNUMBER(G167), (G167 - $B167) / $B167, "")</f>
        <v>-9.433962264150943E-3</v>
      </c>
      <c r="I167" s="110">
        <f>IF(ISNUMBER(G167), $B172 * H167, "")</f>
        <v>-943.39622641509425</v>
      </c>
      <c r="J167" s="106">
        <v>947</v>
      </c>
      <c r="K167" s="107">
        <f>IF(ISNUMBER(J167), (J167 - $B167) / $B167, "")</f>
        <v>-7.3375262054507341E-3</v>
      </c>
      <c r="L167" s="108">
        <f>IF(ISNUMBER(J167), $B172 * K167, "")</f>
        <v>-733.75262054507346</v>
      </c>
      <c r="M167" s="109">
        <v>941</v>
      </c>
      <c r="N167" s="107">
        <f>IF(ISNUMBER(M167), (M167 - $B167) / $B167, "")</f>
        <v>-1.3626834381551363E-2</v>
      </c>
      <c r="O167" s="108">
        <f>IF(ISNUMBER(M167), $B172 * N167, "")</f>
        <v>-1362.6834381551362</v>
      </c>
      <c r="Q167" s="235"/>
      <c r="R167" s="235"/>
      <c r="S167" s="235"/>
    </row>
    <row r="168" spans="1:19" ht="17.25" thickBot="1">
      <c r="A168" s="162" t="s">
        <v>296</v>
      </c>
      <c r="B168" s="126">
        <v>433</v>
      </c>
      <c r="C168" s="77">
        <v>-1.3667426E-2</v>
      </c>
      <c r="D168" s="15">
        <v>431</v>
      </c>
      <c r="E168" s="32">
        <f t="shared" ref="E168:E171" si="90">IF(ISNUMBER(D168), (D168 - $B168) / $B168, "")</f>
        <v>-4.6189376443418013E-3</v>
      </c>
      <c r="F168" s="18">
        <f>IF(ISNUMBER(D168), $B172 * E168, "")</f>
        <v>-461.89376443418013</v>
      </c>
      <c r="G168" s="31">
        <v>430</v>
      </c>
      <c r="H168" s="32">
        <f t="shared" ref="H168:H171" si="91">IF(ISNUMBER(G168), (G168 - $B168) / $B168, "")</f>
        <v>-6.9284064665127024E-3</v>
      </c>
      <c r="I168" s="101">
        <f>IF(ISNUMBER(G168), $B172 * H168, "")</f>
        <v>-692.84064665127028</v>
      </c>
      <c r="J168" s="15">
        <v>428</v>
      </c>
      <c r="K168" s="32">
        <f t="shared" ref="K168:K171" si="92">IF(ISNUMBER(J168), (J168 - $B168) / $B168, "")</f>
        <v>-1.1547344110854504E-2</v>
      </c>
      <c r="L168" s="18">
        <f>IF(ISNUMBER(J168), $B172 * K168, "")</f>
        <v>-1154.7344110854503</v>
      </c>
      <c r="M168" s="31">
        <v>421</v>
      </c>
      <c r="N168" s="32">
        <f t="shared" ref="N168:N171" si="93">IF(ISNUMBER(M168), (M168 - $B168) / $B168, "")</f>
        <v>-2.771362586605081E-2</v>
      </c>
      <c r="O168" s="18">
        <f>IF(ISNUMBER(M168), $B172 * N168, "")</f>
        <v>-2771.3625866050811</v>
      </c>
      <c r="Q168" s="235"/>
      <c r="R168" s="235"/>
      <c r="S168" s="235"/>
    </row>
    <row r="169" spans="1:19" ht="17.25" thickBot="1">
      <c r="A169" s="162" t="s">
        <v>134</v>
      </c>
      <c r="B169" s="126">
        <v>101</v>
      </c>
      <c r="C169" s="77">
        <v>-1.9417475699999999E-2</v>
      </c>
      <c r="D169" s="15">
        <v>100</v>
      </c>
      <c r="E169" s="32">
        <f t="shared" si="90"/>
        <v>-9.9009900990099011E-3</v>
      </c>
      <c r="F169" s="18">
        <f>IF(ISNUMBER(D169), $B172 * E169, "")</f>
        <v>-990.09900990099015</v>
      </c>
      <c r="G169" s="31">
        <v>99.6</v>
      </c>
      <c r="H169" s="32">
        <f t="shared" si="91"/>
        <v>-1.3861386138613917E-2</v>
      </c>
      <c r="I169" s="101">
        <f>IF(ISNUMBER(G169), $B172 * H169, "")</f>
        <v>-1386.1386138613916</v>
      </c>
      <c r="J169" s="15">
        <v>99.9</v>
      </c>
      <c r="K169" s="32">
        <f t="shared" si="92"/>
        <v>-1.0891089108910835E-2</v>
      </c>
      <c r="L169" s="18">
        <f>IF(ISNUMBER(J169), $B172 * K169, "")</f>
        <v>-1089.1089108910835</v>
      </c>
      <c r="M169" s="31">
        <v>99.7</v>
      </c>
      <c r="N169" s="32">
        <f t="shared" si="93"/>
        <v>-1.2871287128712843E-2</v>
      </c>
      <c r="O169" s="18">
        <f>IF(ISNUMBER(M169), $B172 * N169, "")</f>
        <v>-1287.1287128712843</v>
      </c>
      <c r="Q169" s="235"/>
      <c r="R169" s="235"/>
      <c r="S169" s="235"/>
    </row>
    <row r="170" spans="1:19">
      <c r="A170" s="162" t="s">
        <v>112</v>
      </c>
      <c r="B170" s="126">
        <v>191</v>
      </c>
      <c r="C170" s="77">
        <v>-4.9751243799999997E-2</v>
      </c>
      <c r="D170" s="15">
        <v>202</v>
      </c>
      <c r="E170" s="32">
        <f t="shared" si="90"/>
        <v>5.7591623036649213E-2</v>
      </c>
      <c r="F170" s="18">
        <f>IF(ISNUMBER(D170), $B172 * E170, "")</f>
        <v>5759.1623036649216</v>
      </c>
      <c r="G170" s="31">
        <v>200</v>
      </c>
      <c r="H170" s="32">
        <f t="shared" si="91"/>
        <v>4.712041884816754E-2</v>
      </c>
      <c r="I170" s="101">
        <f>IF(ISNUMBER(G170), $B172 * H170, "")</f>
        <v>4712.0418848167537</v>
      </c>
      <c r="J170" s="15">
        <v>201</v>
      </c>
      <c r="K170" s="32">
        <f t="shared" si="92"/>
        <v>5.2356020942408377E-2</v>
      </c>
      <c r="L170" s="18">
        <f>IF(ISNUMBER(J170), $B172 * K170, "")</f>
        <v>5235.6020942408377</v>
      </c>
      <c r="M170" s="31">
        <v>202</v>
      </c>
      <c r="N170" s="32">
        <f t="shared" si="93"/>
        <v>5.7591623036649213E-2</v>
      </c>
      <c r="O170" s="18">
        <f>IF(ISNUMBER(M170), $B172 * N170, "")</f>
        <v>5759.1623036649216</v>
      </c>
      <c r="Q170" s="224"/>
      <c r="R170" s="225"/>
      <c r="S170" s="226"/>
    </row>
    <row r="171" spans="1:19" ht="17.25" thickBot="1">
      <c r="A171" s="130" t="s">
        <v>142</v>
      </c>
      <c r="B171" s="131">
        <v>491</v>
      </c>
      <c r="C171" s="79">
        <v>-5.0290135399999998E-2</v>
      </c>
      <c r="D171" s="24">
        <v>511</v>
      </c>
      <c r="E171" s="25">
        <f t="shared" si="90"/>
        <v>4.0733197556008148E-2</v>
      </c>
      <c r="F171" s="104">
        <f>IF(ISNUMBER(D171), $B172 * E171, "")</f>
        <v>4073.3197556008149</v>
      </c>
      <c r="G171" s="102">
        <v>532</v>
      </c>
      <c r="H171" s="25">
        <f t="shared" si="91"/>
        <v>8.3503054989816694E-2</v>
      </c>
      <c r="I171" s="103">
        <f>IF(ISNUMBER(G171), $B172 * H171, "")</f>
        <v>8350.3054989816701</v>
      </c>
      <c r="J171" s="24">
        <v>528</v>
      </c>
      <c r="K171" s="25">
        <f t="shared" si="92"/>
        <v>7.5356415478615074E-2</v>
      </c>
      <c r="L171" s="104">
        <f>IF(ISNUMBER(J171), $B172 * K171, "")</f>
        <v>7535.6415478615072</v>
      </c>
      <c r="M171" s="102">
        <v>567</v>
      </c>
      <c r="N171" s="25">
        <f t="shared" si="93"/>
        <v>0.15478615071283094</v>
      </c>
      <c r="O171" s="104">
        <f>IF(ISNUMBER(M171), $B172 * N171, "")</f>
        <v>15478.615071283095</v>
      </c>
      <c r="Q171" s="227"/>
      <c r="R171" s="228"/>
      <c r="S171" s="229"/>
    </row>
    <row r="172" spans="1:19" ht="17.25" thickBot="1">
      <c r="A172" s="132" t="s">
        <v>300</v>
      </c>
      <c r="B172" s="288">
        <f>$B$37</f>
        <v>100000</v>
      </c>
      <c r="C172" s="289"/>
      <c r="D172" s="26" t="s">
        <v>301</v>
      </c>
      <c r="E172" s="27">
        <f>IF(COUNT(E152:E171), SUM(E152:E171) / COUNT(E152:E171), 0)</f>
        <v>1.285998533123384E-2</v>
      </c>
      <c r="F172" s="28">
        <f>SUM(F152:F171)</f>
        <v>25719.970662467687</v>
      </c>
      <c r="G172" s="26" t="s">
        <v>301</v>
      </c>
      <c r="H172" s="27">
        <f>IF(COUNT(H152:H171), SUM(H152:H171) / COUNT(H152:H171), 0)</f>
        <v>1.4447774025796802E-2</v>
      </c>
      <c r="I172" s="28">
        <f>SUM(I152:I171)</f>
        <v>28895.5480515936</v>
      </c>
      <c r="J172" s="26" t="s">
        <v>301</v>
      </c>
      <c r="K172" s="27">
        <f>IF(COUNT(K152:K171), SUM(K152:K171) / COUNT(K152:K171), 0)</f>
        <v>1.6291880584107417E-2</v>
      </c>
      <c r="L172" s="28">
        <f>SUM(L152:L171)</f>
        <v>32583.761168214842</v>
      </c>
      <c r="M172" s="26" t="s">
        <v>301</v>
      </c>
      <c r="N172" s="27">
        <f>IF(COUNT(N152:N171), SUM(N152:N171) / COUNT(N152:N171), 0)</f>
        <v>1.3865489604063355E-2</v>
      </c>
      <c r="O172" s="28">
        <f>SUM(O152:O171)</f>
        <v>27730.979208126711</v>
      </c>
      <c r="Q172" s="230"/>
      <c r="R172" s="231"/>
      <c r="S172" s="232"/>
    </row>
    <row r="174" spans="1:19" ht="17.25" thickBot="1"/>
    <row r="175" spans="1:19" ht="17.25" thickBot="1">
      <c r="A175" s="246" t="s">
        <v>285</v>
      </c>
      <c r="B175" s="247"/>
      <c r="C175" s="247"/>
      <c r="D175" s="247"/>
      <c r="E175" s="247"/>
      <c r="F175" s="247"/>
      <c r="G175" s="247"/>
      <c r="H175" s="247"/>
      <c r="I175" s="247"/>
      <c r="J175" s="247"/>
      <c r="K175" s="247"/>
      <c r="L175" s="247"/>
      <c r="M175" s="247"/>
      <c r="N175" s="247"/>
      <c r="O175" s="248"/>
      <c r="Q175" s="245"/>
      <c r="R175" s="245"/>
      <c r="S175" s="245"/>
    </row>
    <row r="176" spans="1:19" ht="17.25" thickBot="1">
      <c r="A176" s="184" t="s">
        <v>297</v>
      </c>
      <c r="B176" s="246" t="s">
        <v>49</v>
      </c>
      <c r="C176" s="248"/>
      <c r="D176" s="246" t="s">
        <v>58</v>
      </c>
      <c r="E176" s="247"/>
      <c r="F176" s="248"/>
      <c r="G176" s="249">
        <f>_xlfn.IFNA(VLOOKUP(B176, 현재가테이블!$B$2:$D$200, 2, FALSE), "-")</f>
        <v>45335000</v>
      </c>
      <c r="H176" s="250"/>
      <c r="I176" s="251"/>
      <c r="J176" s="246" t="s">
        <v>59</v>
      </c>
      <c r="K176" s="247"/>
      <c r="L176" s="248"/>
      <c r="M176" s="252">
        <f>_xlfn.IFNA(VLOOKUP(B176, 현재가테이블!$B$2:$D$200, 3, FALSE), "-")</f>
        <v>-2.27209037E-2</v>
      </c>
      <c r="N176" s="253"/>
      <c r="O176" s="254"/>
      <c r="Q176" s="245"/>
      <c r="R176" s="245"/>
      <c r="S176" s="245"/>
    </row>
    <row r="177" spans="1:19" ht="17.25" thickBot="1">
      <c r="A177" s="290" t="s">
        <v>55</v>
      </c>
      <c r="B177" s="286" t="str">
        <f>TEXT($G$1, "[$-ko-KR]yyyy-mm-dd(ddd) ") &amp; "오전 00:00"</f>
        <v>2021-06-07(월) 오전 00:00</v>
      </c>
      <c r="C177" s="287"/>
      <c r="D177" s="259" t="str">
        <f>TEXT($G$1, "[$-ko-KR]yyyy-mm-dd(ddd) ") &amp; "오후 14:00"</f>
        <v>2021-06-07(월) 오후 14:00</v>
      </c>
      <c r="E177" s="260"/>
      <c r="F177" s="261"/>
      <c r="G177" s="259" t="str">
        <f>TEXT($G$1, "[$-ko-KR]yyyy-mm-dd(ddd) ") &amp; "오후 19:00"</f>
        <v>2021-06-07(월) 오후 19:00</v>
      </c>
      <c r="H177" s="260"/>
      <c r="I177" s="261"/>
      <c r="J177" s="259" t="str">
        <f>TEXT($G$1, "[$-ko-KR]yyyy-mm-dd(ddd) ") &amp; "오후 21:00"</f>
        <v>2021-06-07(월) 오후 21:00</v>
      </c>
      <c r="K177" s="260"/>
      <c r="L177" s="261"/>
      <c r="M177" s="259" t="str">
        <f>TEXT($G$1+1, "[$-ko-KR]yyyy-mm-dd(ddd) ") &amp; "오전 00:00"</f>
        <v>2021-06-08(화) 오전 00:00</v>
      </c>
      <c r="N177" s="260"/>
      <c r="O177" s="261"/>
      <c r="Q177" s="245"/>
      <c r="R177" s="245"/>
      <c r="S177" s="245"/>
    </row>
    <row r="178" spans="1:19" ht="17.25" thickBot="1">
      <c r="A178" s="291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85" t="s">
        <v>58</v>
      </c>
      <c r="H178" s="186" t="s">
        <v>298</v>
      </c>
      <c r="I178" s="187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5"/>
      <c r="R178" s="235"/>
      <c r="S178" s="235"/>
    </row>
    <row r="179" spans="1:19" ht="17.25" thickBot="1">
      <c r="A179" s="161" t="s">
        <v>138</v>
      </c>
      <c r="B179" s="124">
        <v>28050</v>
      </c>
      <c r="C179" s="76">
        <v>-1.4239942999999999E-3</v>
      </c>
      <c r="D179" s="13">
        <v>28630</v>
      </c>
      <c r="E179" s="14">
        <f>IF(ISNUMBER(D179), (D179 - $B179) / $B179, "")</f>
        <v>2.0677361853832441E-2</v>
      </c>
      <c r="F179" s="16">
        <f>IF(ISNUMBER(D179), $B199 * E179, "")</f>
        <v>2067.736185383244</v>
      </c>
      <c r="G179" s="29">
        <v>28380</v>
      </c>
      <c r="H179" s="14">
        <f>IF(ISNUMBER(G179), (G179 - $B179) / $B179, "")</f>
        <v>1.1764705882352941E-2</v>
      </c>
      <c r="I179" s="100">
        <f>IF(ISNUMBER(G179), $B199 * H179, "")</f>
        <v>1176.4705882352941</v>
      </c>
      <c r="J179" s="13">
        <v>28580</v>
      </c>
      <c r="K179" s="14">
        <f>IF(ISNUMBER(J179), (J179 - $B179) / $B179, "")</f>
        <v>1.8894830659536541E-2</v>
      </c>
      <c r="L179" s="16">
        <f>IF(ISNUMBER(J179), $B199 * K179, "")</f>
        <v>1889.4830659536542</v>
      </c>
      <c r="M179" s="29">
        <v>28500</v>
      </c>
      <c r="N179" s="14">
        <f>IF(ISNUMBER(M179), (M179 - $B179) / $B179, "")</f>
        <v>1.6042780748663103E-2</v>
      </c>
      <c r="O179" s="16">
        <f>IF(ISNUMBER(M179), $B199 * N179, "")</f>
        <v>1604.2780748663104</v>
      </c>
      <c r="Q179" s="245"/>
      <c r="R179" s="245"/>
      <c r="S179" s="245"/>
    </row>
    <row r="180" spans="1:19" ht="17.25" thickBot="1">
      <c r="A180" s="162" t="s">
        <v>86</v>
      </c>
      <c r="B180" s="126">
        <v>6810</v>
      </c>
      <c r="C180" s="77">
        <v>-1.4662757E-3</v>
      </c>
      <c r="D180" s="15">
        <v>6800</v>
      </c>
      <c r="E180" s="32">
        <f t="shared" ref="E180:E183" si="94">IF(ISNUMBER(D180), (D180 - $B180) / $B180, "")</f>
        <v>-1.4684287812041115E-3</v>
      </c>
      <c r="F180" s="18">
        <f>IF(ISNUMBER(D180), $B199 * E180, "")</f>
        <v>-146.84287812041114</v>
      </c>
      <c r="G180" s="31">
        <v>6765</v>
      </c>
      <c r="H180" s="32">
        <f t="shared" ref="H180:H183" si="95">IF(ISNUMBER(G180), (G180 - $B180) / $B180, "")</f>
        <v>-6.6079295154185024E-3</v>
      </c>
      <c r="I180" s="101">
        <f>IF(ISNUMBER(G180), $B199 * H180, "")</f>
        <v>-660.79295154185024</v>
      </c>
      <c r="J180" s="15">
        <v>6770</v>
      </c>
      <c r="K180" s="32">
        <f t="shared" ref="K180:K183" si="96">IF(ISNUMBER(J180), (J180 - $B180) / $B180, "")</f>
        <v>-5.8737151248164461E-3</v>
      </c>
      <c r="L180" s="18">
        <f>IF(ISNUMBER(J180), $B199 * K180, "")</f>
        <v>-587.37151248164457</v>
      </c>
      <c r="M180" s="31">
        <v>6740</v>
      </c>
      <c r="N180" s="32">
        <f t="shared" ref="N180:N183" si="97">IF(ISNUMBER(M180), (M180 - $B180) / $B180, "")</f>
        <v>-1.0279001468428781E-2</v>
      </c>
      <c r="O180" s="18">
        <f>IF(ISNUMBER(M180), $B199 * N180, "")</f>
        <v>-1027.900146842878</v>
      </c>
      <c r="Q180" s="245"/>
      <c r="R180" s="245"/>
      <c r="S180" s="245"/>
    </row>
    <row r="181" spans="1:19" ht="17.25" thickBot="1">
      <c r="A181" s="162" t="s">
        <v>76</v>
      </c>
      <c r="B181" s="126">
        <v>32040</v>
      </c>
      <c r="C181" s="77">
        <v>-1.5581178E-3</v>
      </c>
      <c r="D181" s="15">
        <v>32470</v>
      </c>
      <c r="E181" s="32">
        <f t="shared" si="94"/>
        <v>1.3420724094881398E-2</v>
      </c>
      <c r="F181" s="18">
        <f>IF(ISNUMBER(D181), $B199 * E181, "")</f>
        <v>1342.0724094881398</v>
      </c>
      <c r="G181" s="31">
        <v>32230</v>
      </c>
      <c r="H181" s="32">
        <f t="shared" si="95"/>
        <v>5.9300873907615478E-3</v>
      </c>
      <c r="I181" s="101">
        <f>IF(ISNUMBER(G181), $B199 * H181, "")</f>
        <v>593.00873907615482</v>
      </c>
      <c r="J181" s="15">
        <v>32530</v>
      </c>
      <c r="K181" s="32">
        <f t="shared" si="96"/>
        <v>1.529338327091136E-2</v>
      </c>
      <c r="L181" s="18">
        <f>IF(ISNUMBER(J181), $B199 * K181, "")</f>
        <v>1529.3383270911361</v>
      </c>
      <c r="M181" s="31">
        <v>32250</v>
      </c>
      <c r="N181" s="32">
        <f t="shared" si="97"/>
        <v>6.5543071161048693E-3</v>
      </c>
      <c r="O181" s="18">
        <f>IF(ISNUMBER(M181), $B199 * N181, "")</f>
        <v>655.43071161048692</v>
      </c>
      <c r="Q181" s="235"/>
      <c r="R181" s="235"/>
      <c r="S181" s="235"/>
    </row>
    <row r="182" spans="1:19" ht="17.25" thickBot="1">
      <c r="A182" s="162" t="s">
        <v>160</v>
      </c>
      <c r="B182" s="126">
        <v>1710</v>
      </c>
      <c r="C182" s="77">
        <v>-2.9154519000000002E-3</v>
      </c>
      <c r="D182" s="15">
        <v>1720</v>
      </c>
      <c r="E182" s="32">
        <f t="shared" si="94"/>
        <v>5.8479532163742687E-3</v>
      </c>
      <c r="F182" s="18">
        <f>IF(ISNUMBER(D182), $B199 * E182, "")</f>
        <v>584.79532163742692</v>
      </c>
      <c r="G182" s="31">
        <v>1710</v>
      </c>
      <c r="H182" s="32">
        <f t="shared" si="95"/>
        <v>0</v>
      </c>
      <c r="I182" s="101">
        <f>IF(ISNUMBER(G182), $B199 * H182, "")</f>
        <v>0</v>
      </c>
      <c r="J182" s="15">
        <v>1715</v>
      </c>
      <c r="K182" s="32">
        <f t="shared" si="96"/>
        <v>2.9239766081871343E-3</v>
      </c>
      <c r="L182" s="18">
        <f>IF(ISNUMBER(J182), $B199 * K182, "")</f>
        <v>292.39766081871346</v>
      </c>
      <c r="M182" s="31">
        <v>1715</v>
      </c>
      <c r="N182" s="32">
        <f t="shared" si="97"/>
        <v>2.9239766081871343E-3</v>
      </c>
      <c r="O182" s="18">
        <f>IF(ISNUMBER(M182), $B199 * N182, "")</f>
        <v>292.39766081871346</v>
      </c>
      <c r="Q182" s="235"/>
      <c r="R182" s="235"/>
      <c r="S182" s="235"/>
    </row>
    <row r="183" spans="1:19" ht="17.25" thickBot="1">
      <c r="A183" s="163" t="s">
        <v>188</v>
      </c>
      <c r="B183" s="128">
        <v>12840</v>
      </c>
      <c r="C183" s="78">
        <v>-3.8789760000000001E-3</v>
      </c>
      <c r="D183" s="20">
        <v>12830</v>
      </c>
      <c r="E183" s="21">
        <f t="shared" si="94"/>
        <v>-7.7881619937694702E-4</v>
      </c>
      <c r="F183" s="22">
        <f>IF(ISNUMBER(D183), $B199 * E183, "")</f>
        <v>-77.881619937694708</v>
      </c>
      <c r="G183" s="30">
        <v>12730</v>
      </c>
      <c r="H183" s="21">
        <f t="shared" si="95"/>
        <v>-8.5669781931464167E-3</v>
      </c>
      <c r="I183" s="105">
        <f>IF(ISNUMBER(G183), $B199 * H183, "")</f>
        <v>-856.69781931464172</v>
      </c>
      <c r="J183" s="20">
        <v>12740</v>
      </c>
      <c r="K183" s="21">
        <f t="shared" si="96"/>
        <v>-7.7881619937694704E-3</v>
      </c>
      <c r="L183" s="22">
        <f>IF(ISNUMBER(J183), $B199 * K183, "")</f>
        <v>-778.816199376947</v>
      </c>
      <c r="M183" s="30">
        <v>12660</v>
      </c>
      <c r="N183" s="21">
        <f t="shared" si="97"/>
        <v>-1.4018691588785047E-2</v>
      </c>
      <c r="O183" s="22">
        <f>IF(ISNUMBER(M183), $B199 * N183, "")</f>
        <v>-1401.8691588785045</v>
      </c>
      <c r="Q183" s="235"/>
      <c r="R183" s="235"/>
      <c r="S183" s="235"/>
    </row>
    <row r="184" spans="1:19" ht="17.25" thickBot="1">
      <c r="A184" s="162" t="s">
        <v>80</v>
      </c>
      <c r="B184" s="129">
        <v>883</v>
      </c>
      <c r="C184" s="80">
        <v>-4.5095828999999997E-3</v>
      </c>
      <c r="D184" s="106">
        <v>890</v>
      </c>
      <c r="E184" s="107">
        <f>IF(ISNUMBER(D184), (D184 - $B184) / $B184, "")</f>
        <v>7.9275198187995465E-3</v>
      </c>
      <c r="F184" s="108">
        <f>IF(ISNUMBER(D184), $B199 * E184, "")</f>
        <v>792.75198187995466</v>
      </c>
      <c r="G184" s="109">
        <v>885</v>
      </c>
      <c r="H184" s="107">
        <f>IF(ISNUMBER(G184), (G184 - $B184) / $B184, "")</f>
        <v>2.2650056625141564E-3</v>
      </c>
      <c r="I184" s="110">
        <f>IF(ISNUMBER(G184), $B199 * H184, "")</f>
        <v>226.50056625141565</v>
      </c>
      <c r="J184" s="106">
        <v>884</v>
      </c>
      <c r="K184" s="107">
        <f>IF(ISNUMBER(J184), (J184 - $B184) / $B184, "")</f>
        <v>1.1325028312570782E-3</v>
      </c>
      <c r="L184" s="108">
        <f>IF(ISNUMBER(J184), $B199 * K184, "")</f>
        <v>113.25028312570782</v>
      </c>
      <c r="M184" s="109">
        <v>893</v>
      </c>
      <c r="N184" s="107">
        <f>IF(ISNUMBER(M184), (M184 - $B184) / $B184, "")</f>
        <v>1.1325028312570781E-2</v>
      </c>
      <c r="O184" s="108">
        <f>IF(ISNUMBER(M184), $B199 * N184, "")</f>
        <v>1132.502831257078</v>
      </c>
      <c r="Q184" s="235"/>
      <c r="R184" s="235"/>
      <c r="S184" s="235"/>
    </row>
    <row r="185" spans="1:19" ht="17.25" thickBot="1">
      <c r="A185" s="162" t="s">
        <v>274</v>
      </c>
      <c r="B185" s="126">
        <v>9295</v>
      </c>
      <c r="C185" s="77">
        <v>-4.8179872000000002E-3</v>
      </c>
      <c r="D185" s="15">
        <v>9995</v>
      </c>
      <c r="E185" s="32">
        <f t="shared" ref="E185:E188" si="98">IF(ISNUMBER(D185), (D185 - $B185) / $B185, "")</f>
        <v>7.530930607853685E-2</v>
      </c>
      <c r="F185" s="18">
        <f>IF(ISNUMBER(D185), $B199 * E185, "")</f>
        <v>7530.9306078536847</v>
      </c>
      <c r="G185" s="31">
        <v>9635</v>
      </c>
      <c r="H185" s="32">
        <f t="shared" ref="H185:H188" si="99">IF(ISNUMBER(G185), (G185 - $B185) / $B185, "")</f>
        <v>3.6578805809575038E-2</v>
      </c>
      <c r="I185" s="101">
        <f>IF(ISNUMBER(G185), $B199 * H185, "")</f>
        <v>3657.8805809575038</v>
      </c>
      <c r="J185" s="15">
        <v>9810</v>
      </c>
      <c r="K185" s="32">
        <f t="shared" ref="K185:K188" si="100">IF(ISNUMBER(J185), (J185 - $B185) / $B185, "")</f>
        <v>5.5406132329209254E-2</v>
      </c>
      <c r="L185" s="18">
        <f>IF(ISNUMBER(J185), $B199 * K185, "")</f>
        <v>5540.6132329209258</v>
      </c>
      <c r="M185" s="31">
        <v>9615</v>
      </c>
      <c r="N185" s="32">
        <f t="shared" ref="N185:N188" si="101">IF(ISNUMBER(M185), (M185 - $B185) / $B185, "")</f>
        <v>3.4427111350188271E-2</v>
      </c>
      <c r="O185" s="18">
        <f>IF(ISNUMBER(M185), $B199 * N185, "")</f>
        <v>3442.711135018827</v>
      </c>
      <c r="Q185" s="235"/>
      <c r="R185" s="235"/>
      <c r="S185" s="235"/>
    </row>
    <row r="186" spans="1:19" ht="17.25" thickBot="1">
      <c r="A186" s="162" t="s">
        <v>132</v>
      </c>
      <c r="B186" s="126">
        <v>154</v>
      </c>
      <c r="C186" s="77">
        <v>-6.4516128999999997E-3</v>
      </c>
      <c r="D186" s="15">
        <v>151</v>
      </c>
      <c r="E186" s="32">
        <f t="shared" si="98"/>
        <v>-1.948051948051948E-2</v>
      </c>
      <c r="F186" s="18">
        <f>IF(ISNUMBER(D186), $B199 * E186, "")</f>
        <v>-1948.0519480519481</v>
      </c>
      <c r="G186" s="31">
        <v>149</v>
      </c>
      <c r="H186" s="32">
        <f t="shared" si="99"/>
        <v>-3.2467532467532464E-2</v>
      </c>
      <c r="I186" s="101">
        <f>IF(ISNUMBER(G186), $B199 * H186, "")</f>
        <v>-3246.7532467532465</v>
      </c>
      <c r="J186" s="15">
        <v>151</v>
      </c>
      <c r="K186" s="32">
        <f t="shared" si="100"/>
        <v>-1.948051948051948E-2</v>
      </c>
      <c r="L186" s="18">
        <f>IF(ISNUMBER(J186), $B199 * K186, "")</f>
        <v>-1948.0519480519481</v>
      </c>
      <c r="M186" s="31">
        <v>151</v>
      </c>
      <c r="N186" s="32">
        <f t="shared" si="101"/>
        <v>-1.948051948051948E-2</v>
      </c>
      <c r="O186" s="18">
        <f>IF(ISNUMBER(M186), $B199 * N186, "")</f>
        <v>-1948.0519480519481</v>
      </c>
      <c r="Q186" s="235"/>
      <c r="R186" s="235"/>
      <c r="S186" s="235"/>
    </row>
    <row r="187" spans="1:19" ht="17.25" thickBot="1">
      <c r="A187" s="162" t="s">
        <v>184</v>
      </c>
      <c r="B187" s="126">
        <v>1500</v>
      </c>
      <c r="C187" s="77">
        <v>-6.6225166000000004E-3</v>
      </c>
      <c r="D187" s="15">
        <v>1550</v>
      </c>
      <c r="E187" s="32">
        <f t="shared" si="98"/>
        <v>3.3333333333333333E-2</v>
      </c>
      <c r="F187" s="18">
        <f>IF(ISNUMBER(D187), $B199 * E187, "")</f>
        <v>3333.3333333333335</v>
      </c>
      <c r="G187" s="31">
        <v>1560</v>
      </c>
      <c r="H187" s="32">
        <f t="shared" si="99"/>
        <v>0.04</v>
      </c>
      <c r="I187" s="101">
        <f>IF(ISNUMBER(G187), $B199 * H187, "")</f>
        <v>4000</v>
      </c>
      <c r="J187" s="15">
        <v>1560</v>
      </c>
      <c r="K187" s="32">
        <f t="shared" si="100"/>
        <v>0.04</v>
      </c>
      <c r="L187" s="18">
        <f>IF(ISNUMBER(J187), $B199 * K187, "")</f>
        <v>4000</v>
      </c>
      <c r="M187" s="31">
        <v>1540</v>
      </c>
      <c r="N187" s="32">
        <f t="shared" si="101"/>
        <v>2.6666666666666668E-2</v>
      </c>
      <c r="O187" s="18">
        <f>IF(ISNUMBER(M187), $B199 * N187, "")</f>
        <v>2666.666666666667</v>
      </c>
      <c r="Q187" s="33"/>
      <c r="R187" s="33"/>
    </row>
    <row r="188" spans="1:19" ht="17.25" thickBot="1">
      <c r="A188" s="130" t="s">
        <v>222</v>
      </c>
      <c r="B188" s="131">
        <v>11.8</v>
      </c>
      <c r="C188" s="79">
        <v>-8.4033613000000004E-3</v>
      </c>
      <c r="D188" s="24">
        <v>12</v>
      </c>
      <c r="E188" s="25">
        <f t="shared" si="98"/>
        <v>1.6949152542372819E-2</v>
      </c>
      <c r="F188" s="104">
        <f>IF(ISNUMBER(D188), $B199 * E188, "")</f>
        <v>1694.9152542372819</v>
      </c>
      <c r="G188" s="102">
        <v>12</v>
      </c>
      <c r="H188" s="25">
        <f t="shared" si="99"/>
        <v>1.6949152542372819E-2</v>
      </c>
      <c r="I188" s="103">
        <f>IF(ISNUMBER(G188), $B199 * H188, "")</f>
        <v>1694.9152542372819</v>
      </c>
      <c r="J188" s="24">
        <v>12.1</v>
      </c>
      <c r="K188" s="25">
        <f t="shared" si="100"/>
        <v>2.542372881355923E-2</v>
      </c>
      <c r="L188" s="104">
        <f>IF(ISNUMBER(J188), $B199 * K188, "")</f>
        <v>2542.3728813559228</v>
      </c>
      <c r="M188" s="102">
        <v>12.1</v>
      </c>
      <c r="N188" s="25">
        <f t="shared" si="101"/>
        <v>2.542372881355923E-2</v>
      </c>
      <c r="O188" s="104">
        <f>IF(ISNUMBER(M188), $B199 * N188, "")</f>
        <v>2542.3728813559228</v>
      </c>
      <c r="Q188" s="236"/>
      <c r="R188" s="237"/>
      <c r="S188" s="238"/>
    </row>
    <row r="189" spans="1:19">
      <c r="A189" s="161" t="s">
        <v>61</v>
      </c>
      <c r="B189" s="124">
        <v>954</v>
      </c>
      <c r="C189" s="76">
        <v>-1.0373444000000001E-2</v>
      </c>
      <c r="D189" s="13">
        <v>948</v>
      </c>
      <c r="E189" s="14">
        <f>IF(ISNUMBER(D189), (D189 - $B189) / $B189, "")</f>
        <v>-6.2893081761006293E-3</v>
      </c>
      <c r="F189" s="16">
        <f>IF(ISNUMBER(D189), $B199 * E189, "")</f>
        <v>-628.93081761006295</v>
      </c>
      <c r="G189" s="29">
        <v>945</v>
      </c>
      <c r="H189" s="14">
        <f>IF(ISNUMBER(G189), (G189 - $B189) / $B189, "")</f>
        <v>-9.433962264150943E-3</v>
      </c>
      <c r="I189" s="100">
        <f>IF(ISNUMBER(G189), $B199 * H189, "")</f>
        <v>-943.39622641509425</v>
      </c>
      <c r="J189" s="13">
        <v>947</v>
      </c>
      <c r="K189" s="14">
        <f>IF(ISNUMBER(J189), (J189 - $B189) / $B189, "")</f>
        <v>-7.3375262054507341E-3</v>
      </c>
      <c r="L189" s="16">
        <f>IF(ISNUMBER(J189), $B199 * K189, "")</f>
        <v>-733.75262054507346</v>
      </c>
      <c r="M189" s="29">
        <v>941</v>
      </c>
      <c r="N189" s="14">
        <f>IF(ISNUMBER(M189), (M189 - $B189) / $B189, "")</f>
        <v>-1.3626834381551363E-2</v>
      </c>
      <c r="O189" s="16">
        <f>IF(ISNUMBER(M189), $B199 * N189, "")</f>
        <v>-1362.6834381551362</v>
      </c>
      <c r="Q189" s="239"/>
      <c r="R189" s="240"/>
      <c r="S189" s="241"/>
    </row>
    <row r="190" spans="1:19" ht="17.25" thickBot="1">
      <c r="A190" s="162" t="s">
        <v>100</v>
      </c>
      <c r="B190" s="126">
        <v>4.67</v>
      </c>
      <c r="C190" s="77">
        <v>-1.0593220299999999E-2</v>
      </c>
      <c r="D190" s="15">
        <v>4.67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4.6399999999999997</v>
      </c>
      <c r="H190" s="32">
        <f t="shared" ref="H190:H193" si="103">IF(ISNUMBER(G190), (G190 - $B190) / $B190, "")</f>
        <v>-6.4239828693790687E-3</v>
      </c>
      <c r="I190" s="101">
        <f>IF(ISNUMBER(G190), $B199 * H190, "")</f>
        <v>-642.39828693790685</v>
      </c>
      <c r="J190" s="15">
        <v>4.66</v>
      </c>
      <c r="K190" s="32">
        <f t="shared" ref="K190:K193" si="104">IF(ISNUMBER(J190), (J190 - $B190) / $B190, "")</f>
        <v>-2.1413276231262929E-3</v>
      </c>
      <c r="L190" s="18">
        <f>IF(ISNUMBER(J190), $B199 * K190, "")</f>
        <v>-214.1327623126293</v>
      </c>
      <c r="M190" s="31">
        <v>4.63</v>
      </c>
      <c r="N190" s="32">
        <f t="shared" ref="N190:N193" si="105">IF(ISNUMBER(M190), (M190 - $B190) / $B190, "")</f>
        <v>-8.5653104925053607E-3</v>
      </c>
      <c r="O190" s="18">
        <f>IF(ISNUMBER(M190), $B199 * N190, "")</f>
        <v>-856.53104925053606</v>
      </c>
      <c r="Q190" s="242"/>
      <c r="R190" s="243"/>
      <c r="S190" s="244"/>
    </row>
    <row r="191" spans="1:19" ht="17.25" thickBot="1">
      <c r="A191" s="162" t="s">
        <v>296</v>
      </c>
      <c r="B191" s="126">
        <v>433</v>
      </c>
      <c r="C191" s="77">
        <v>-1.3667426E-2</v>
      </c>
      <c r="D191" s="15">
        <v>431</v>
      </c>
      <c r="E191" s="32">
        <f t="shared" si="102"/>
        <v>-4.6189376443418013E-3</v>
      </c>
      <c r="F191" s="18">
        <f>IF(ISNUMBER(D191), $B199 * E191, "")</f>
        <v>-461.89376443418013</v>
      </c>
      <c r="G191" s="31">
        <v>430</v>
      </c>
      <c r="H191" s="32">
        <f t="shared" si="103"/>
        <v>-6.9284064665127024E-3</v>
      </c>
      <c r="I191" s="101">
        <f>IF(ISNUMBER(G191), $B199 * H191, "")</f>
        <v>-692.84064665127028</v>
      </c>
      <c r="J191" s="15">
        <v>428</v>
      </c>
      <c r="K191" s="32">
        <f t="shared" si="104"/>
        <v>-1.1547344110854504E-2</v>
      </c>
      <c r="L191" s="18">
        <f>IF(ISNUMBER(J191), $B199 * K191, "")</f>
        <v>-1154.7344110854503</v>
      </c>
      <c r="M191" s="31">
        <v>421</v>
      </c>
      <c r="N191" s="32">
        <f t="shared" si="105"/>
        <v>-2.771362586605081E-2</v>
      </c>
      <c r="O191" s="18">
        <f>IF(ISNUMBER(M191), $B199 * N191, "")</f>
        <v>-2771.3625866050811</v>
      </c>
      <c r="Q191" s="235"/>
      <c r="R191" s="235"/>
      <c r="S191" s="235"/>
    </row>
    <row r="192" spans="1:19" ht="17.25" thickBot="1">
      <c r="A192" s="162" t="s">
        <v>74</v>
      </c>
      <c r="B192" s="126">
        <v>17270</v>
      </c>
      <c r="C192" s="77">
        <v>-1.53933865E-2</v>
      </c>
      <c r="D192" s="15">
        <v>17800</v>
      </c>
      <c r="E192" s="32">
        <f t="shared" si="102"/>
        <v>3.0689056166763172E-2</v>
      </c>
      <c r="F192" s="18">
        <f>IF(ISNUMBER(D192), $B199 * E192, "")</f>
        <v>3068.9056166763171</v>
      </c>
      <c r="G192" s="31">
        <v>17960</v>
      </c>
      <c r="H192" s="32">
        <f t="shared" si="103"/>
        <v>3.9953676896352056E-2</v>
      </c>
      <c r="I192" s="101">
        <f>IF(ISNUMBER(G192), $B199 * H192, "")</f>
        <v>3995.3676896352054</v>
      </c>
      <c r="J192" s="15">
        <v>17850</v>
      </c>
      <c r="K192" s="32">
        <f t="shared" si="104"/>
        <v>3.35842501447597E-2</v>
      </c>
      <c r="L192" s="18">
        <f>IF(ISNUMBER(J192), $B199 * K192, "")</f>
        <v>3358.4250144759699</v>
      </c>
      <c r="M192" s="31">
        <v>17650</v>
      </c>
      <c r="N192" s="32">
        <f t="shared" si="105"/>
        <v>2.2003474232773594E-2</v>
      </c>
      <c r="O192" s="18">
        <f>IF(ISNUMBER(M192), $B199 * N192, "")</f>
        <v>2200.3474232773592</v>
      </c>
      <c r="Q192" s="245"/>
      <c r="R192" s="245"/>
      <c r="S192" s="245"/>
    </row>
    <row r="193" spans="1:19" ht="17.25" thickBot="1">
      <c r="A193" s="163" t="s">
        <v>114</v>
      </c>
      <c r="B193" s="128">
        <v>10410</v>
      </c>
      <c r="C193" s="78">
        <v>-1.7924528299999999E-2</v>
      </c>
      <c r="D193" s="20">
        <v>10480</v>
      </c>
      <c r="E193" s="21">
        <f t="shared" si="102"/>
        <v>6.7243035542747355E-3</v>
      </c>
      <c r="F193" s="22">
        <f>IF(ISNUMBER(D193), $B199 * E193, "")</f>
        <v>672.4303554274735</v>
      </c>
      <c r="G193" s="30">
        <v>10850</v>
      </c>
      <c r="H193" s="21">
        <f t="shared" si="103"/>
        <v>4.226705091258405E-2</v>
      </c>
      <c r="I193" s="105">
        <f>IF(ISNUMBER(G193), $B199 * H193, "")</f>
        <v>4226.7050912584054</v>
      </c>
      <c r="J193" s="20">
        <v>10930</v>
      </c>
      <c r="K193" s="21">
        <f t="shared" si="104"/>
        <v>4.9951969260326606E-2</v>
      </c>
      <c r="L193" s="22">
        <f>IF(ISNUMBER(J193), $B199 * K193, "")</f>
        <v>4995.1969260326605</v>
      </c>
      <c r="M193" s="30">
        <v>11090</v>
      </c>
      <c r="N193" s="21">
        <f t="shared" si="105"/>
        <v>6.5321805955811718E-2</v>
      </c>
      <c r="O193" s="22">
        <f>IF(ISNUMBER(M193), $B199 * N193, "")</f>
        <v>6532.1805955811715</v>
      </c>
      <c r="Q193" s="245"/>
      <c r="R193" s="245"/>
      <c r="S193" s="245"/>
    </row>
    <row r="194" spans="1:19" ht="17.25" thickBot="1">
      <c r="A194" s="162" t="s">
        <v>134</v>
      </c>
      <c r="B194" s="129">
        <v>101</v>
      </c>
      <c r="C194" s="80">
        <v>-1.9417475699999999E-2</v>
      </c>
      <c r="D194" s="106">
        <v>100</v>
      </c>
      <c r="E194" s="107">
        <f>IF(ISNUMBER(D194), (D194 - $B194) / $B194, "")</f>
        <v>-9.9009900990099011E-3</v>
      </c>
      <c r="F194" s="108">
        <f>IF(ISNUMBER(D194), $B199 * E194, "")</f>
        <v>-990.09900990099015</v>
      </c>
      <c r="G194" s="109">
        <v>99.6</v>
      </c>
      <c r="H194" s="107">
        <f>IF(ISNUMBER(G194), (G194 - $B194) / $B194, "")</f>
        <v>-1.3861386138613917E-2</v>
      </c>
      <c r="I194" s="110">
        <f>IF(ISNUMBER(G194), $B199 * H194, "")</f>
        <v>-1386.1386138613916</v>
      </c>
      <c r="J194" s="106">
        <v>99.9</v>
      </c>
      <c r="K194" s="107">
        <f>IF(ISNUMBER(J194), (J194 - $B194) / $B194, "")</f>
        <v>-1.0891089108910835E-2</v>
      </c>
      <c r="L194" s="108">
        <f>IF(ISNUMBER(J194), $B199 * K194, "")</f>
        <v>-1089.1089108910835</v>
      </c>
      <c r="M194" s="109">
        <v>99.7</v>
      </c>
      <c r="N194" s="107">
        <f>IF(ISNUMBER(M194), (M194 - $B194) / $B194, "")</f>
        <v>-1.2871287128712843E-2</v>
      </c>
      <c r="O194" s="108">
        <f>IF(ISNUMBER(M194), $B199 * N194, "")</f>
        <v>-1287.1287128712843</v>
      </c>
      <c r="Q194" s="235"/>
      <c r="R194" s="235"/>
      <c r="S194" s="235"/>
    </row>
    <row r="195" spans="1:19" ht="17.25" thickBot="1">
      <c r="A195" s="162" t="s">
        <v>90</v>
      </c>
      <c r="B195" s="126">
        <v>205900</v>
      </c>
      <c r="C195" s="77">
        <v>-1.9757200700000001E-2</v>
      </c>
      <c r="D195" s="15">
        <v>205350</v>
      </c>
      <c r="E195" s="32">
        <f t="shared" ref="E195:E198" si="106">IF(ISNUMBER(D195), (D195 - $B195) / $B195, "")</f>
        <v>-2.6711996114618746E-3</v>
      </c>
      <c r="F195" s="18">
        <f>IF(ISNUMBER(D195), $B199 * E195, "")</f>
        <v>-267.11996114618745</v>
      </c>
      <c r="G195" s="31">
        <v>204300</v>
      </c>
      <c r="H195" s="32">
        <f t="shared" ref="H195:H198" si="107">IF(ISNUMBER(G195), (G195 - $B195) / $B195, "")</f>
        <v>-7.7707625060709079E-3</v>
      </c>
      <c r="I195" s="101">
        <f>IF(ISNUMBER(G195), $B199 * H195, "")</f>
        <v>-777.07625060709074</v>
      </c>
      <c r="J195" s="15">
        <v>204600</v>
      </c>
      <c r="K195" s="32">
        <f t="shared" ref="K195:K198" si="108">IF(ISNUMBER(J195), (J195 - $B195) / $B195, "")</f>
        <v>-6.3137445361826127E-3</v>
      </c>
      <c r="L195" s="18">
        <f>IF(ISNUMBER(J195), $B199 * K195, "")</f>
        <v>-631.37445361826121</v>
      </c>
      <c r="M195" s="31">
        <v>204200</v>
      </c>
      <c r="N195" s="32">
        <f t="shared" ref="N195:N198" si="109">IF(ISNUMBER(M195), (M195 - $B195) / $B195, "")</f>
        <v>-8.2564351627003405E-3</v>
      </c>
      <c r="O195" s="18">
        <f>IF(ISNUMBER(M195), $B199 * N195, "")</f>
        <v>-825.64351627003407</v>
      </c>
      <c r="Q195" s="235"/>
      <c r="R195" s="235"/>
      <c r="S195" s="235"/>
    </row>
    <row r="196" spans="1:19" ht="17.25" thickBot="1">
      <c r="A196" s="162" t="s">
        <v>118</v>
      </c>
      <c r="B196" s="126">
        <v>5390</v>
      </c>
      <c r="C196" s="77">
        <v>-4.0071237799999999E-2</v>
      </c>
      <c r="D196" s="15">
        <v>5340</v>
      </c>
      <c r="E196" s="32">
        <f t="shared" si="106"/>
        <v>-9.2764378478664197E-3</v>
      </c>
      <c r="F196" s="18">
        <f>IF(ISNUMBER(D196), $B199 * E196, "")</f>
        <v>-927.64378478664196</v>
      </c>
      <c r="G196" s="31">
        <v>5415</v>
      </c>
      <c r="H196" s="32">
        <f t="shared" si="107"/>
        <v>4.6382189239332098E-3</v>
      </c>
      <c r="I196" s="101">
        <f>IF(ISNUMBER(G196), $B199 * H196, "")</f>
        <v>463.82189239332098</v>
      </c>
      <c r="J196" s="15">
        <v>5475</v>
      </c>
      <c r="K196" s="32">
        <f t="shared" si="108"/>
        <v>1.5769944341372914E-2</v>
      </c>
      <c r="L196" s="18">
        <f>IF(ISNUMBER(J196), $B199 * K196, "")</f>
        <v>1576.9944341372914</v>
      </c>
      <c r="M196" s="31">
        <v>5475</v>
      </c>
      <c r="N196" s="32">
        <f t="shared" si="109"/>
        <v>1.5769944341372914E-2</v>
      </c>
      <c r="O196" s="18">
        <f>IF(ISNUMBER(M196), $B199 * N196, "")</f>
        <v>1576.9944341372914</v>
      </c>
      <c r="Q196" s="235"/>
      <c r="R196" s="235"/>
      <c r="S196" s="235"/>
    </row>
    <row r="197" spans="1:19">
      <c r="A197" s="162" t="s">
        <v>112</v>
      </c>
      <c r="B197" s="126">
        <v>191</v>
      </c>
      <c r="C197" s="77">
        <v>-4.9751243799999997E-2</v>
      </c>
      <c r="D197" s="15">
        <v>202</v>
      </c>
      <c r="E197" s="32">
        <f t="shared" si="106"/>
        <v>5.7591623036649213E-2</v>
      </c>
      <c r="F197" s="18">
        <f>IF(ISNUMBER(D197), $B199 * E197, "")</f>
        <v>5759.1623036649216</v>
      </c>
      <c r="G197" s="31">
        <v>200</v>
      </c>
      <c r="H197" s="32">
        <f t="shared" si="107"/>
        <v>4.712041884816754E-2</v>
      </c>
      <c r="I197" s="101">
        <f>IF(ISNUMBER(G197), $B199 * H197, "")</f>
        <v>4712.0418848167537</v>
      </c>
      <c r="J197" s="15">
        <v>201</v>
      </c>
      <c r="K197" s="32">
        <f t="shared" si="108"/>
        <v>5.2356020942408377E-2</v>
      </c>
      <c r="L197" s="18">
        <f>IF(ISNUMBER(J197), $B199 * K197, "")</f>
        <v>5235.6020942408377</v>
      </c>
      <c r="M197" s="31">
        <v>202</v>
      </c>
      <c r="N197" s="32">
        <f t="shared" si="109"/>
        <v>5.7591623036649213E-2</v>
      </c>
      <c r="O197" s="18">
        <f>IF(ISNUMBER(M197), $B199 * N197, "")</f>
        <v>5759.1623036649216</v>
      </c>
      <c r="Q197" s="224"/>
      <c r="R197" s="225"/>
      <c r="S197" s="226"/>
    </row>
    <row r="198" spans="1:19" ht="17.25" thickBot="1">
      <c r="A198" s="130" t="s">
        <v>142</v>
      </c>
      <c r="B198" s="131">
        <v>491</v>
      </c>
      <c r="C198" s="79">
        <v>-5.0290135399999998E-2</v>
      </c>
      <c r="D198" s="24">
        <v>511</v>
      </c>
      <c r="E198" s="25">
        <f t="shared" si="106"/>
        <v>4.0733197556008148E-2</v>
      </c>
      <c r="F198" s="104">
        <f>IF(ISNUMBER(D198), $B199 * E198, "")</f>
        <v>4073.3197556008149</v>
      </c>
      <c r="G198" s="102">
        <v>532</v>
      </c>
      <c r="H198" s="25">
        <f t="shared" si="107"/>
        <v>8.3503054989816694E-2</v>
      </c>
      <c r="I198" s="103">
        <f>IF(ISNUMBER(G198), $B199 * H198, "")</f>
        <v>8350.3054989816701</v>
      </c>
      <c r="J198" s="24">
        <v>528</v>
      </c>
      <c r="K198" s="25">
        <f t="shared" si="108"/>
        <v>7.5356415478615074E-2</v>
      </c>
      <c r="L198" s="104">
        <f>IF(ISNUMBER(J198), $B199 * K198, "")</f>
        <v>7535.6415478615072</v>
      </c>
      <c r="M198" s="102">
        <v>567</v>
      </c>
      <c r="N198" s="25">
        <f t="shared" si="109"/>
        <v>0.15478615071283094</v>
      </c>
      <c r="O198" s="104">
        <f>IF(ISNUMBER(M198), $B199 * N198, "")</f>
        <v>15478.615071283095</v>
      </c>
      <c r="Q198" s="227"/>
      <c r="R198" s="228"/>
      <c r="S198" s="229"/>
    </row>
    <row r="199" spans="1:19" ht="17.25" thickBot="1">
      <c r="A199" s="132" t="s">
        <v>300</v>
      </c>
      <c r="B199" s="288">
        <f>$B$37</f>
        <v>100000</v>
      </c>
      <c r="C199" s="289"/>
      <c r="D199" s="26" t="s">
        <v>301</v>
      </c>
      <c r="E199" s="27">
        <f>IF(COUNT(E179:E198), SUM(E179:E198) / COUNT(E179:E198), 0)</f>
        <v>1.2735944670597238E-2</v>
      </c>
      <c r="F199" s="28">
        <f>SUM(F179:F198)</f>
        <v>25471.889341194474</v>
      </c>
      <c r="G199" s="26" t="s">
        <v>301</v>
      </c>
      <c r="H199" s="27">
        <f>IF(COUNT(H179:H198), SUM(H179:H198) / COUNT(H179:H198), 0)</f>
        <v>1.1945461871880256E-2</v>
      </c>
      <c r="I199" s="28">
        <f>SUM(I179:I198)</f>
        <v>23890.923743760515</v>
      </c>
      <c r="J199" s="26" t="s">
        <v>301</v>
      </c>
      <c r="K199" s="27">
        <f>IF(COUNT(K179:K198), SUM(K179:K198) / COUNT(K179:K198), 0)</f>
        <v>1.5735986324825642E-2</v>
      </c>
      <c r="L199" s="28">
        <f>SUM(L179:L198)</f>
        <v>31471.972649651296</v>
      </c>
      <c r="M199" s="26" t="s">
        <v>301</v>
      </c>
      <c r="N199" s="27">
        <f>IF(COUNT(N179:N198), SUM(N179:N198) / COUNT(N179:N198), 0)</f>
        <v>1.6201244616306221E-2</v>
      </c>
      <c r="O199" s="28">
        <f>SUM(O179:O198)</f>
        <v>32402.489232612439</v>
      </c>
      <c r="Q199" s="230"/>
      <c r="R199" s="231"/>
      <c r="S199" s="232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19805-CCFB-4BE1-845A-72801A43BDB8}">
  <sheetPr codeName="Sheet14"/>
  <dimension ref="A1:S199"/>
  <sheetViews>
    <sheetView topLeftCell="A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6" t="s">
        <v>0</v>
      </c>
      <c r="B1" s="247"/>
      <c r="C1" s="247"/>
      <c r="D1" s="247"/>
      <c r="E1" s="247"/>
      <c r="F1" s="248"/>
      <c r="G1" s="277">
        <v>44355</v>
      </c>
      <c r="H1" s="278"/>
      <c r="I1" s="279"/>
      <c r="J1" s="246" t="s">
        <v>1</v>
      </c>
      <c r="K1" s="247"/>
      <c r="L1" s="247"/>
      <c r="M1" s="247"/>
      <c r="N1" s="247"/>
      <c r="O1" s="248"/>
      <c r="Q1" s="246" t="s">
        <v>2</v>
      </c>
      <c r="R1" s="248"/>
    </row>
    <row r="2" spans="1:19" ht="17.25" customHeight="1">
      <c r="A2" s="117" t="s">
        <v>3</v>
      </c>
      <c r="B2" s="280" t="s">
        <v>8</v>
      </c>
      <c r="C2" s="281"/>
      <c r="D2" s="281"/>
      <c r="E2" s="281"/>
      <c r="F2" s="282"/>
      <c r="G2" s="274" t="s">
        <v>46</v>
      </c>
      <c r="H2" s="275"/>
      <c r="I2" s="276"/>
      <c r="J2" s="1" t="s">
        <v>3</v>
      </c>
      <c r="K2" s="280" t="s">
        <v>350</v>
      </c>
      <c r="L2" s="281"/>
      <c r="M2" s="281"/>
      <c r="N2" s="281"/>
      <c r="O2" s="282"/>
      <c r="Q2" s="2" t="s">
        <v>6</v>
      </c>
      <c r="R2" s="3">
        <v>0.375</v>
      </c>
    </row>
    <row r="3" spans="1:19" ht="17.25" customHeight="1" thickBot="1">
      <c r="A3" s="118" t="s">
        <v>7</v>
      </c>
      <c r="B3" s="271" t="s">
        <v>358</v>
      </c>
      <c r="C3" s="272"/>
      <c r="D3" s="272"/>
      <c r="E3" s="272"/>
      <c r="F3" s="273"/>
      <c r="G3" s="26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-347,551 KRW (-17.38%)</v>
      </c>
      <c r="H3" s="268"/>
      <c r="I3" s="269"/>
      <c r="J3" s="4" t="s">
        <v>7</v>
      </c>
      <c r="K3" s="271" t="s">
        <v>351</v>
      </c>
      <c r="L3" s="272"/>
      <c r="M3" s="272"/>
      <c r="N3" s="272"/>
      <c r="O3" s="27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1" t="s">
        <v>16</v>
      </c>
      <c r="C4" s="272"/>
      <c r="D4" s="272"/>
      <c r="E4" s="272"/>
      <c r="F4" s="273"/>
      <c r="G4" s="274" t="s">
        <v>44</v>
      </c>
      <c r="H4" s="275"/>
      <c r="I4" s="276"/>
      <c r="J4" s="4" t="s">
        <v>11</v>
      </c>
      <c r="K4" s="271" t="s">
        <v>352</v>
      </c>
      <c r="L4" s="272"/>
      <c r="M4" s="272"/>
      <c r="N4" s="272"/>
      <c r="O4" s="27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1" t="s">
        <v>349</v>
      </c>
      <c r="C5" s="272"/>
      <c r="D5" s="272"/>
      <c r="E5" s="272"/>
      <c r="F5" s="273"/>
      <c r="G5" s="26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-362,991 KRW (-18.15%)</v>
      </c>
      <c r="H5" s="268"/>
      <c r="I5" s="269"/>
      <c r="J5" s="4" t="s">
        <v>15</v>
      </c>
      <c r="K5" s="271" t="s">
        <v>353</v>
      </c>
      <c r="L5" s="272"/>
      <c r="M5" s="272"/>
      <c r="N5" s="272"/>
      <c r="O5" s="273"/>
    </row>
    <row r="6" spans="1:19">
      <c r="A6" s="118" t="s">
        <v>18</v>
      </c>
      <c r="B6" s="271"/>
      <c r="C6" s="272"/>
      <c r="D6" s="272"/>
      <c r="E6" s="272"/>
      <c r="F6" s="273"/>
      <c r="G6" s="274" t="s">
        <v>45</v>
      </c>
      <c r="H6" s="275"/>
      <c r="I6" s="276"/>
      <c r="J6" s="4" t="s">
        <v>18</v>
      </c>
      <c r="K6" s="271" t="s">
        <v>354</v>
      </c>
      <c r="L6" s="272"/>
      <c r="M6" s="272"/>
      <c r="N6" s="272"/>
      <c r="O6" s="273"/>
    </row>
    <row r="7" spans="1:19" ht="17.25" thickBot="1">
      <c r="A7" s="118" t="s">
        <v>21</v>
      </c>
      <c r="B7" s="271"/>
      <c r="C7" s="272"/>
      <c r="D7" s="272"/>
      <c r="E7" s="272"/>
      <c r="F7" s="273"/>
      <c r="G7" s="26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-336,383 KRW (-16.82%)</v>
      </c>
      <c r="H7" s="268"/>
      <c r="I7" s="269"/>
      <c r="J7" s="4" t="s">
        <v>21</v>
      </c>
      <c r="K7" s="271" t="s">
        <v>355</v>
      </c>
      <c r="L7" s="272"/>
      <c r="M7" s="272"/>
      <c r="N7" s="272"/>
      <c r="O7" s="273"/>
    </row>
    <row r="8" spans="1:19" ht="17.25" thickBot="1">
      <c r="A8" s="118" t="s">
        <v>24</v>
      </c>
      <c r="B8" s="271"/>
      <c r="C8" s="272"/>
      <c r="D8" s="272"/>
      <c r="E8" s="272"/>
      <c r="F8" s="273"/>
      <c r="G8" s="274" t="s">
        <v>285</v>
      </c>
      <c r="H8" s="275"/>
      <c r="I8" s="276"/>
      <c r="J8" s="4" t="s">
        <v>24</v>
      </c>
      <c r="K8" s="271"/>
      <c r="L8" s="272"/>
      <c r="M8" s="272"/>
      <c r="N8" s="272"/>
      <c r="O8" s="273"/>
      <c r="Q8" s="246" t="s">
        <v>27</v>
      </c>
      <c r="R8" s="248"/>
    </row>
    <row r="9" spans="1:19" ht="17.25" thickBot="1">
      <c r="A9" s="118" t="s">
        <v>28</v>
      </c>
      <c r="B9" s="271"/>
      <c r="C9" s="272"/>
      <c r="D9" s="272"/>
      <c r="E9" s="272"/>
      <c r="F9" s="273"/>
      <c r="G9" s="26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-355,698 KRW (-17.78%)</v>
      </c>
      <c r="H9" s="268"/>
      <c r="I9" s="269"/>
      <c r="J9" s="4" t="s">
        <v>28</v>
      </c>
      <c r="K9" s="271"/>
      <c r="L9" s="272"/>
      <c r="M9" s="272"/>
      <c r="N9" s="272"/>
      <c r="O9" s="273"/>
      <c r="Q9" s="2" t="s">
        <v>29</v>
      </c>
      <c r="R9" s="6">
        <v>10</v>
      </c>
    </row>
    <row r="10" spans="1:19">
      <c r="A10" s="118" t="s">
        <v>30</v>
      </c>
      <c r="B10" s="271"/>
      <c r="C10" s="272"/>
      <c r="D10" s="272"/>
      <c r="E10" s="272"/>
      <c r="F10" s="273"/>
      <c r="G10" s="274" t="s">
        <v>47</v>
      </c>
      <c r="H10" s="275"/>
      <c r="I10" s="276"/>
      <c r="J10" s="4" t="s">
        <v>30</v>
      </c>
      <c r="K10" s="271" t="s">
        <v>356</v>
      </c>
      <c r="L10" s="272"/>
      <c r="M10" s="272"/>
      <c r="N10" s="272"/>
      <c r="O10" s="273"/>
      <c r="Q10" s="2" t="s">
        <v>31</v>
      </c>
      <c r="R10" s="6">
        <v>100</v>
      </c>
    </row>
    <row r="11" spans="1:19" ht="17.25" thickBot="1">
      <c r="A11" s="119" t="s">
        <v>32</v>
      </c>
      <c r="B11" s="264" t="s">
        <v>357</v>
      </c>
      <c r="C11" s="265"/>
      <c r="D11" s="265"/>
      <c r="E11" s="265"/>
      <c r="F11" s="266"/>
      <c r="G11" s="26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-92,745 KRW (-18.55%)</v>
      </c>
      <c r="H11" s="268"/>
      <c r="I11" s="269"/>
      <c r="J11" s="7" t="s">
        <v>32</v>
      </c>
      <c r="K11" s="264" t="s">
        <v>348</v>
      </c>
      <c r="L11" s="265"/>
      <c r="M11" s="265"/>
      <c r="N11" s="265"/>
      <c r="O11" s="266"/>
      <c r="Q11" s="65" t="s">
        <v>33</v>
      </c>
      <c r="R11" s="8">
        <v>1000</v>
      </c>
    </row>
    <row r="12" spans="1:19" ht="17.25" thickBot="1"/>
    <row r="13" spans="1:19" ht="17.25" customHeight="1" thickBot="1">
      <c r="A13" s="246" t="s">
        <v>34</v>
      </c>
      <c r="B13" s="247"/>
      <c r="C13" s="247"/>
      <c r="D13" s="247"/>
      <c r="E13" s="247"/>
      <c r="F13" s="247"/>
      <c r="G13" s="247"/>
      <c r="H13" s="247"/>
      <c r="I13" s="247"/>
      <c r="J13" s="247"/>
      <c r="K13" s="247"/>
      <c r="L13" s="247"/>
      <c r="M13" s="247"/>
      <c r="N13" s="247"/>
      <c r="O13" s="248"/>
      <c r="Q13" s="245"/>
      <c r="R13" s="245"/>
      <c r="S13" s="245"/>
    </row>
    <row r="14" spans="1:19" ht="17.25" customHeight="1" thickBot="1">
      <c r="A14" s="188" t="s">
        <v>35</v>
      </c>
      <c r="B14" s="246" t="s">
        <v>36</v>
      </c>
      <c r="C14" s="248"/>
      <c r="D14" s="246" t="s">
        <v>37</v>
      </c>
      <c r="E14" s="247"/>
      <c r="F14" s="248"/>
      <c r="G14" s="249">
        <f>_xlfn.IFNA(VLOOKUP(B14, 현재가테이블!$B$2:$D$200, 2, FALSE), "-")</f>
        <v>45335000</v>
      </c>
      <c r="H14" s="250"/>
      <c r="I14" s="251"/>
      <c r="J14" s="246" t="s">
        <v>38</v>
      </c>
      <c r="K14" s="247"/>
      <c r="L14" s="248"/>
      <c r="M14" s="252">
        <f>_xlfn.IFNA(VLOOKUP(B14, 현재가테이블!$B$2:$D$200, 3, FALSE), "-")</f>
        <v>-2.27209037E-2</v>
      </c>
      <c r="N14" s="253"/>
      <c r="O14" s="254"/>
      <c r="Q14" s="245"/>
      <c r="R14" s="245"/>
      <c r="S14" s="245"/>
    </row>
    <row r="15" spans="1:19" ht="17.25" customHeight="1" thickBot="1">
      <c r="A15" s="283" t="s">
        <v>39</v>
      </c>
      <c r="B15" s="284" t="str">
        <f>TEXT($G$1, "[$-ko-KR]yyyy-mm-dd(ddd) ") &amp; "오전 00:00"</f>
        <v>2021-06-08(화) 오전 00:00</v>
      </c>
      <c r="C15" s="285"/>
      <c r="D15" s="259" t="str">
        <f>TEXT($G$1, "[$-ko-KR]yyyy-mm-dd(ddd) ") &amp; "오후 14:00"</f>
        <v>2021-06-08(화) 오후 14:00</v>
      </c>
      <c r="E15" s="260"/>
      <c r="F15" s="261"/>
      <c r="G15" s="259" t="str">
        <f>TEXT($G$1, "[$-ko-KR]yyyy-mm-dd(ddd) ") &amp; "오후 19:00"</f>
        <v>2021-06-08(화) 오후 19:00</v>
      </c>
      <c r="H15" s="260"/>
      <c r="I15" s="261"/>
      <c r="J15" s="259" t="str">
        <f>TEXT($G$1, "[$-ko-KR]yyyy-mm-dd(ddd) ") &amp; "오후 21:00"</f>
        <v>2021-06-08(화) 오후 21:00</v>
      </c>
      <c r="K15" s="260"/>
      <c r="L15" s="261"/>
      <c r="M15" s="259" t="str">
        <f>TEXT($G$1+1, "[$-ko-KR]yyyy-mm-dd(ddd) ") &amp; "오전 00:00"</f>
        <v>2021-06-09(수) 오전 00:00</v>
      </c>
      <c r="N15" s="260"/>
      <c r="O15" s="261"/>
      <c r="Q15" s="245"/>
      <c r="R15" s="245"/>
      <c r="S15" s="245"/>
    </row>
    <row r="16" spans="1:19" ht="17.25" customHeight="1" thickBot="1">
      <c r="A16" s="28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9" t="s">
        <v>37</v>
      </c>
      <c r="H16" s="190" t="s">
        <v>40</v>
      </c>
      <c r="I16" s="19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5"/>
      <c r="R16" s="235"/>
      <c r="S16" s="235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99.7</v>
      </c>
      <c r="C17" s="76">
        <f>IF(NOT(ISBLANK(_xlfn.IFNA(VLOOKUP($A17, $A$40:$O$199, 3, FALSE), ))), _xlfn.IFNA(VLOOKUP($A17, $A$40:$O$199, 3, FALSE), ), "")</f>
        <v>-3.2038835000000002E-2</v>
      </c>
      <c r="D17" s="13">
        <f>IF(NOT(ISBLANK(_xlfn.IFNA(VLOOKUP($A17, $A$40:$O$199, 4, FALSE), ))), _xlfn.IFNA(VLOOKUP($A17, $A$40:$O$199, 4, FALSE), ), "")</f>
        <v>85.8</v>
      </c>
      <c r="E17" s="14">
        <f>IF(NOT(ISBLANK(_xlfn.IFNA(VLOOKUP($A17, $A$40:$O$199, 5, FALSE), ))), _xlfn.IFNA(VLOOKUP($A17, $A$40:$O$199, 5, FALSE), ), "")</f>
        <v>-0.13941825476429293</v>
      </c>
      <c r="F17" s="16">
        <f>IF(NOT(ISBLANK(_xlfn.IFNA(VLOOKUP($A17, $A$40:$O$199, 6, FALSE), ))), _xlfn.IFNA(VLOOKUP($A17, $A$40:$O$199, 6, FALSE), ), "")</f>
        <v>-13941.825476429292</v>
      </c>
      <c r="G17" s="29">
        <f>IF(NOT(ISBLANK(_xlfn.IFNA(VLOOKUP($A17, $A$40:$O$199, 7, FALSE), ))), _xlfn.IFNA(VLOOKUP($A17, $A$40:$O$199, 7, FALSE), ), "")</f>
        <v>87</v>
      </c>
      <c r="H17" s="14">
        <f>IF(NOT(ISBLANK(_xlfn.IFNA(VLOOKUP($A17, $A$40:$O$199, 8, FALSE), ))), _xlfn.IFNA(VLOOKUP($A17, $A$40:$O$199, 8, FALSE), ), "")</f>
        <v>-0.12738214643931797</v>
      </c>
      <c r="I17" s="100">
        <f>IF(NOT(ISBLANK(_xlfn.IFNA(VLOOKUP($A17, $A$40:$O$199, 9, FALSE), ))), _xlfn.IFNA(VLOOKUP($A17, $A$40:$O$199, 9, FALSE), ), "")</f>
        <v>-12738.214643931797</v>
      </c>
      <c r="J17" s="13">
        <f>IF(NOT(ISBLANK(_xlfn.IFNA(VLOOKUP($A17, $A$40:$O$199, 10, FALSE), ))), _xlfn.IFNA(VLOOKUP($A17, $A$40:$O$199, 10, FALSE), ), "")</f>
        <v>86.5</v>
      </c>
      <c r="K17" s="14">
        <f>IF(NOT(ISBLANK(_xlfn.IFNA(VLOOKUP($A17, $A$40:$O$199, 11, FALSE), ))), _xlfn.IFNA(VLOOKUP($A17, $A$40:$O$199, 11, FALSE), ), "")</f>
        <v>-0.13239719157472421</v>
      </c>
      <c r="L17" s="16">
        <f>IF(NOT(ISBLANK(_xlfn.IFNA(VLOOKUP($A17, $A$40:$O$199, 12, FALSE), ))), _xlfn.IFNA(VLOOKUP($A17, $A$40:$O$199, 12, FALSE), ), "")</f>
        <v>-13239.71915747242</v>
      </c>
      <c r="M17" s="29">
        <f>IF(NOT(ISBLANK(_xlfn.IFNA(VLOOKUP($A17, $A$40:$O$199, 13, FALSE), ))), _xlfn.IFNA(VLOOKUP($A17, $A$40:$O$199, 13, FALSE), ), "")</f>
        <v>82.2</v>
      </c>
      <c r="N17" s="14">
        <f>IF(NOT(ISBLANK(_xlfn.IFNA(VLOOKUP($A17, $A$40:$O$199, 14, FALSE), ))), _xlfn.IFNA(VLOOKUP($A17, $A$40:$O$199, 14, FALSE), ), "")</f>
        <v>-0.17552657973921765</v>
      </c>
      <c r="O17" s="16">
        <f>IF(NOT(ISBLANK(_xlfn.IFNA(VLOOKUP($A17, $A$40:$O$199, 15, FALSE), ))), _xlfn.IFNA(VLOOKUP($A17, $A$40:$O$199, 15, FALSE), ), "")</f>
        <v>-17552.657973921763</v>
      </c>
      <c r="Q17" s="245"/>
      <c r="R17" s="245"/>
      <c r="S17" s="245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79.599999999999994</v>
      </c>
      <c r="C18" s="77">
        <f t="shared" ref="C18:C36" si="1">IF(NOT(ISBLANK(_xlfn.IFNA(VLOOKUP($A18, $A$40:$O$199, 3, FALSE), ))), _xlfn.IFNA(VLOOKUP($A18, $A$40:$O$199, 3, FALSE), ), "")</f>
        <v>-5.0000000000000001E-3</v>
      </c>
      <c r="D18" s="15">
        <f t="shared" ref="D18:D36" si="2">IF(NOT(ISBLANK(_xlfn.IFNA(VLOOKUP($A18, $A$40:$O$199, 4, FALSE), ))), _xlfn.IFNA(VLOOKUP($A18, $A$40:$O$199, 4, FALSE), ), "")</f>
        <v>67</v>
      </c>
      <c r="E18" s="32">
        <f t="shared" ref="E18:E36" si="3">IF(NOT(ISBLANK(_xlfn.IFNA(VLOOKUP($A18, $A$40:$O$199, 5, FALSE), ))), _xlfn.IFNA(VLOOKUP($A18, $A$40:$O$199, 5, FALSE), ), "")</f>
        <v>-0.1582914572864321</v>
      </c>
      <c r="F18" s="18">
        <f t="shared" ref="F18:F36" si="4">IF(NOT(ISBLANK(_xlfn.IFNA(VLOOKUP($A18, $A$40:$O$199, 6, FALSE), ))), _xlfn.IFNA(VLOOKUP($A18, $A$40:$O$199, 6, FALSE), ), "")</f>
        <v>-15829.145728643211</v>
      </c>
      <c r="G18" s="31">
        <f t="shared" ref="G18:G36" si="5">IF(NOT(ISBLANK(_xlfn.IFNA(VLOOKUP($A18, $A$40:$O$199, 7, FALSE), ))), _xlfn.IFNA(VLOOKUP($A18, $A$40:$O$199, 7, FALSE), ), "")</f>
        <v>67.099999999999994</v>
      </c>
      <c r="H18" s="32">
        <f t="shared" ref="H18:H36" si="6">IF(NOT(ISBLANK(_xlfn.IFNA(VLOOKUP($A18, $A$40:$O$199, 8, FALSE), ))), _xlfn.IFNA(VLOOKUP($A18, $A$40:$O$199, 8, FALSE), ), "")</f>
        <v>-0.157035175879397</v>
      </c>
      <c r="I18" s="101">
        <f t="shared" ref="I18:I36" si="7">IF(NOT(ISBLANK(_xlfn.IFNA(VLOOKUP($A18, $A$40:$O$199, 9, FALSE), ))), _xlfn.IFNA(VLOOKUP($A18, $A$40:$O$199, 9, FALSE), ), "")</f>
        <v>-15703.517587939699</v>
      </c>
      <c r="J18" s="15">
        <f t="shared" ref="J18:J36" si="8">IF(NOT(ISBLANK(_xlfn.IFNA(VLOOKUP($A18, $A$40:$O$199, 10, FALSE), ))), _xlfn.IFNA(VLOOKUP($A18, $A$40:$O$199, 10, FALSE), ), "")</f>
        <v>67.2</v>
      </c>
      <c r="K18" s="32">
        <f t="shared" ref="K18:K36" si="9">IF(NOT(ISBLANK(_xlfn.IFNA(VLOOKUP($A18, $A$40:$O$199, 11, FALSE), ))), _xlfn.IFNA(VLOOKUP($A18, $A$40:$O$199, 11, FALSE), ), "")</f>
        <v>-0.15577889447236171</v>
      </c>
      <c r="L18" s="18">
        <f t="shared" ref="L18:L36" si="10">IF(NOT(ISBLANK(_xlfn.IFNA(VLOOKUP($A18, $A$40:$O$199, 12, FALSE), ))), _xlfn.IFNA(VLOOKUP($A18, $A$40:$O$199, 12, FALSE), ), "")</f>
        <v>-15577.88944723617</v>
      </c>
      <c r="M18" s="31">
        <f t="shared" ref="M18:M36" si="11">IF(NOT(ISBLANK(_xlfn.IFNA(VLOOKUP($A18, $A$40:$O$199, 13, FALSE), ))), _xlfn.IFNA(VLOOKUP($A18, $A$40:$O$199, 13, FALSE), ), "")</f>
        <v>62</v>
      </c>
      <c r="N18" s="32">
        <f t="shared" ref="N18:N36" si="12">IF(NOT(ISBLANK(_xlfn.IFNA(VLOOKUP($A18, $A$40:$O$199, 14, FALSE), ))), _xlfn.IFNA(VLOOKUP($A18, $A$40:$O$199, 14, FALSE), ), "")</f>
        <v>-0.22110552763819091</v>
      </c>
      <c r="O18" s="18">
        <f t="shared" ref="O18:O36" si="13">IF(NOT(ISBLANK(_xlfn.IFNA(VLOOKUP($A18, $A$40:$O$199, 15, FALSE), ))), _xlfn.IFNA(VLOOKUP($A18, $A$40:$O$199, 15, FALSE), ), "")</f>
        <v>-22110.552763819091</v>
      </c>
      <c r="Q18" s="245"/>
      <c r="R18" s="245"/>
      <c r="S18" s="245"/>
    </row>
    <row r="19" spans="1:19" ht="17.25" customHeight="1" thickBot="1">
      <c r="A19" s="162" t="s">
        <v>202</v>
      </c>
      <c r="B19" s="126">
        <f t="shared" si="0"/>
        <v>129</v>
      </c>
      <c r="C19" s="77">
        <f t="shared" si="1"/>
        <v>7.8125E-3</v>
      </c>
      <c r="D19" s="15">
        <f t="shared" si="2"/>
        <v>111</v>
      </c>
      <c r="E19" s="32">
        <f t="shared" si="3"/>
        <v>-0.13953488372093023</v>
      </c>
      <c r="F19" s="18">
        <f t="shared" si="4"/>
        <v>-13953.488372093023</v>
      </c>
      <c r="G19" s="31">
        <f t="shared" si="5"/>
        <v>108</v>
      </c>
      <c r="H19" s="32">
        <f t="shared" si="6"/>
        <v>-0.16279069767441862</v>
      </c>
      <c r="I19" s="101">
        <f t="shared" si="7"/>
        <v>-16279.069767441862</v>
      </c>
      <c r="J19" s="15">
        <f t="shared" si="8"/>
        <v>108</v>
      </c>
      <c r="K19" s="32">
        <f t="shared" si="9"/>
        <v>-0.16279069767441862</v>
      </c>
      <c r="L19" s="18">
        <f t="shared" si="10"/>
        <v>-16279.069767441862</v>
      </c>
      <c r="M19" s="31">
        <f t="shared" si="11"/>
        <v>102</v>
      </c>
      <c r="N19" s="32">
        <f t="shared" si="12"/>
        <v>-0.20930232558139536</v>
      </c>
      <c r="O19" s="18">
        <f t="shared" si="13"/>
        <v>-20930.232558139534</v>
      </c>
      <c r="Q19" s="235"/>
      <c r="R19" s="235"/>
      <c r="S19" s="235"/>
    </row>
    <row r="20" spans="1:19" ht="17.25" customHeight="1" thickBot="1">
      <c r="A20" s="162" t="s">
        <v>120</v>
      </c>
      <c r="B20" s="126">
        <f t="shared" si="0"/>
        <v>145</v>
      </c>
      <c r="C20" s="77">
        <f t="shared" si="1"/>
        <v>6.9444444000000003E-3</v>
      </c>
      <c r="D20" s="15">
        <f t="shared" si="2"/>
        <v>130</v>
      </c>
      <c r="E20" s="32">
        <f t="shared" si="3"/>
        <v>-0.10344827586206896</v>
      </c>
      <c r="F20" s="18">
        <f t="shared" si="4"/>
        <v>-10344.827586206897</v>
      </c>
      <c r="G20" s="31">
        <f t="shared" si="5"/>
        <v>131</v>
      </c>
      <c r="H20" s="32">
        <f t="shared" si="6"/>
        <v>-9.6551724137931033E-2</v>
      </c>
      <c r="I20" s="101">
        <f t="shared" si="7"/>
        <v>-9655.1724137931033</v>
      </c>
      <c r="J20" s="15">
        <f t="shared" si="8"/>
        <v>133</v>
      </c>
      <c r="K20" s="32">
        <f t="shared" si="9"/>
        <v>-8.2758620689655171E-2</v>
      </c>
      <c r="L20" s="18">
        <f t="shared" si="10"/>
        <v>-8275.8620689655163</v>
      </c>
      <c r="M20" s="31">
        <f t="shared" si="11"/>
        <v>126</v>
      </c>
      <c r="N20" s="32">
        <f t="shared" si="12"/>
        <v>-0.1310344827586207</v>
      </c>
      <c r="O20" s="18">
        <f t="shared" si="13"/>
        <v>-13103.448275862071</v>
      </c>
      <c r="Q20" s="235"/>
      <c r="R20" s="235"/>
      <c r="S20" s="235"/>
    </row>
    <row r="21" spans="1:19" ht="17.25" customHeight="1" thickBot="1">
      <c r="A21" s="163" t="s">
        <v>246</v>
      </c>
      <c r="B21" s="128">
        <f t="shared" si="0"/>
        <v>315</v>
      </c>
      <c r="C21" s="78">
        <f t="shared" si="1"/>
        <v>-3.1645570000000001E-3</v>
      </c>
      <c r="D21" s="20">
        <f t="shared" si="2"/>
        <v>270</v>
      </c>
      <c r="E21" s="21">
        <f t="shared" si="3"/>
        <v>-0.14285714285714285</v>
      </c>
      <c r="F21" s="22">
        <f t="shared" si="4"/>
        <v>-14285.714285714284</v>
      </c>
      <c r="G21" s="30">
        <f t="shared" si="5"/>
        <v>272</v>
      </c>
      <c r="H21" s="21">
        <f t="shared" si="6"/>
        <v>-0.13650793650793649</v>
      </c>
      <c r="I21" s="105">
        <f t="shared" si="7"/>
        <v>-13650.79365079365</v>
      </c>
      <c r="J21" s="20">
        <f t="shared" si="8"/>
        <v>274</v>
      </c>
      <c r="K21" s="21">
        <f t="shared" si="9"/>
        <v>-0.13015873015873017</v>
      </c>
      <c r="L21" s="22">
        <f t="shared" si="10"/>
        <v>-13015.873015873018</v>
      </c>
      <c r="M21" s="30">
        <f t="shared" si="11"/>
        <v>255</v>
      </c>
      <c r="N21" s="21">
        <f t="shared" si="12"/>
        <v>-0.19047619047619047</v>
      </c>
      <c r="O21" s="22">
        <f t="shared" si="13"/>
        <v>-19047.619047619046</v>
      </c>
      <c r="Q21" s="235"/>
      <c r="R21" s="235"/>
      <c r="S21" s="235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5"/>
      <c r="R22" s="235"/>
      <c r="S22" s="235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5"/>
      <c r="R23" s="235"/>
      <c r="S23" s="235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5"/>
      <c r="R24" s="235"/>
      <c r="S24" s="235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6"/>
      <c r="R26" s="237"/>
      <c r="S26" s="238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9"/>
      <c r="R27" s="240"/>
      <c r="S27" s="241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2"/>
      <c r="R28" s="243"/>
      <c r="S28" s="244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5"/>
      <c r="R29" s="235"/>
      <c r="S29" s="235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5"/>
      <c r="R30" s="245"/>
      <c r="S30" s="245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5"/>
      <c r="R31" s="245"/>
      <c r="S31" s="24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5"/>
      <c r="R32" s="235"/>
      <c r="S32" s="235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5"/>
      <c r="R33" s="235"/>
      <c r="S33" s="235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5"/>
      <c r="R34" s="235"/>
      <c r="S34" s="235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4"/>
      <c r="R35" s="225"/>
      <c r="S35" s="22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7"/>
      <c r="R36" s="228"/>
      <c r="S36" s="229"/>
    </row>
    <row r="37" spans="1:19" ht="17.25" customHeight="1" thickBot="1">
      <c r="A37" s="132" t="s">
        <v>42</v>
      </c>
      <c r="B37" s="288">
        <v>100000</v>
      </c>
      <c r="C37" s="289"/>
      <c r="D37" s="26" t="s">
        <v>43</v>
      </c>
      <c r="E37" s="27">
        <f>IF(COUNT(E17:E36), SUM(E17:E36) / COUNT(E17:E36), 0)</f>
        <v>-0.13671000289817342</v>
      </c>
      <c r="F37" s="28">
        <f>SUM(F17:F36)</f>
        <v>-68355.001449086718</v>
      </c>
      <c r="G37" s="26" t="s">
        <v>43</v>
      </c>
      <c r="H37" s="27">
        <f>IF(COUNT(H17:H36), SUM(H17:H36) / COUNT(H17:H36), 0)</f>
        <v>-0.13605353612780022</v>
      </c>
      <c r="I37" s="28">
        <f>SUM(I17:I36)</f>
        <v>-68026.768063900105</v>
      </c>
      <c r="J37" s="26" t="s">
        <v>43</v>
      </c>
      <c r="K37" s="27">
        <f>IF(COUNT(K17:K36), SUM(K17:K36) / COUNT(K17:K36), 0)</f>
        <v>-0.13277682691397796</v>
      </c>
      <c r="L37" s="28">
        <f>SUM(L17:L36)</f>
        <v>-66388.413456988987</v>
      </c>
      <c r="M37" s="26" t="s">
        <v>43</v>
      </c>
      <c r="N37" s="27">
        <f>IF(COUNT(N17:N36), SUM(N17:N36) / COUNT(N17:N36), 0)</f>
        <v>-0.18548902123872302</v>
      </c>
      <c r="O37" s="28">
        <f>SUM(O17:O36)</f>
        <v>-92744.510619361507</v>
      </c>
      <c r="Q37" s="230"/>
      <c r="R37" s="231"/>
      <c r="S37" s="232"/>
    </row>
    <row r="38" spans="1:19" ht="17.25" customHeight="1"/>
    <row r="39" spans="1:19" ht="17.25" customHeight="1" thickBot="1"/>
    <row r="40" spans="1:19" ht="17.25" customHeight="1" thickBot="1">
      <c r="A40" s="246" t="s">
        <v>44</v>
      </c>
      <c r="B40" s="247"/>
      <c r="C40" s="247"/>
      <c r="D40" s="247"/>
      <c r="E40" s="247"/>
      <c r="F40" s="247"/>
      <c r="G40" s="247"/>
      <c r="H40" s="247"/>
      <c r="I40" s="247"/>
      <c r="J40" s="247"/>
      <c r="K40" s="247"/>
      <c r="L40" s="247"/>
      <c r="M40" s="247"/>
      <c r="N40" s="247"/>
      <c r="O40" s="248"/>
      <c r="Q40" s="245"/>
      <c r="R40" s="245"/>
      <c r="S40" s="245"/>
    </row>
    <row r="41" spans="1:19" ht="17.25" customHeight="1" thickBot="1">
      <c r="A41" s="188" t="s">
        <v>297</v>
      </c>
      <c r="B41" s="246" t="s">
        <v>49</v>
      </c>
      <c r="C41" s="248"/>
      <c r="D41" s="246" t="s">
        <v>58</v>
      </c>
      <c r="E41" s="247"/>
      <c r="F41" s="248"/>
      <c r="G41" s="249">
        <f>_xlfn.IFNA(VLOOKUP(B41, 현재가테이블!$B$2:$D$200, 2, FALSE), "-")</f>
        <v>45335000</v>
      </c>
      <c r="H41" s="250"/>
      <c r="I41" s="251"/>
      <c r="J41" s="246" t="s">
        <v>59</v>
      </c>
      <c r="K41" s="247"/>
      <c r="L41" s="248"/>
      <c r="M41" s="252">
        <f>_xlfn.IFNA(VLOOKUP(B41, 현재가테이블!$B$2:$D$200, 3, FALSE), "-")</f>
        <v>-2.27209037E-2</v>
      </c>
      <c r="N41" s="253"/>
      <c r="O41" s="254"/>
      <c r="Q41" s="245"/>
      <c r="R41" s="245"/>
      <c r="S41" s="245"/>
    </row>
    <row r="42" spans="1:19" ht="17.25" customHeight="1" thickBot="1">
      <c r="A42" s="290" t="s">
        <v>55</v>
      </c>
      <c r="B42" s="286" t="str">
        <f>TEXT($G$1, "[$-ko-KR]yyyy-mm-dd(ddd) ") &amp; "오전 00:00"</f>
        <v>2021-06-08(화) 오전 00:00</v>
      </c>
      <c r="C42" s="287"/>
      <c r="D42" s="259" t="str">
        <f>TEXT($G$1, "[$-ko-KR]yyyy-mm-dd(ddd) ") &amp; "오후 14:00"</f>
        <v>2021-06-08(화) 오후 14:00</v>
      </c>
      <c r="E42" s="260"/>
      <c r="F42" s="261"/>
      <c r="G42" s="259" t="str">
        <f>TEXT($G$1, "[$-ko-KR]yyyy-mm-dd(ddd) ") &amp; "오후 19:00"</f>
        <v>2021-06-08(화) 오후 19:00</v>
      </c>
      <c r="H42" s="260"/>
      <c r="I42" s="261"/>
      <c r="J42" s="259" t="str">
        <f>TEXT($G$1, "[$-ko-KR]yyyy-mm-dd(ddd) ") &amp; "오후 21:00"</f>
        <v>2021-06-08(화) 오후 21:00</v>
      </c>
      <c r="K42" s="260"/>
      <c r="L42" s="261"/>
      <c r="M42" s="259" t="str">
        <f>TEXT($G$1+1, "[$-ko-KR]yyyy-mm-dd(ddd) ") &amp; "오전 00:00"</f>
        <v>2021-06-09(수) 오전 00:00</v>
      </c>
      <c r="N42" s="260"/>
      <c r="O42" s="261"/>
      <c r="Q42" s="245"/>
      <c r="R42" s="245"/>
      <c r="S42" s="245"/>
    </row>
    <row r="43" spans="1:19" ht="17.25" customHeight="1" thickBot="1">
      <c r="A43" s="291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89" t="s">
        <v>58</v>
      </c>
      <c r="H43" s="190" t="s">
        <v>298</v>
      </c>
      <c r="I43" s="191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5"/>
      <c r="R43" s="235"/>
      <c r="S43" s="235"/>
    </row>
    <row r="44" spans="1:19" ht="17.25" customHeight="1" thickBot="1">
      <c r="A44" s="161" t="s">
        <v>220</v>
      </c>
      <c r="B44" s="124">
        <v>13</v>
      </c>
      <c r="C44" s="76">
        <v>8.3333333300000006E-2</v>
      </c>
      <c r="D44" s="13">
        <v>10.9</v>
      </c>
      <c r="E44" s="14">
        <f>IF(ISNUMBER(D44), (D44 - $B44) / $B44, "")</f>
        <v>-0.16153846153846152</v>
      </c>
      <c r="F44" s="16">
        <f>IF(ISNUMBER(D44), $B64 * E44, "")</f>
        <v>-16153.846153846152</v>
      </c>
      <c r="G44" s="29">
        <v>11.1</v>
      </c>
      <c r="H44" s="14">
        <f>IF(ISNUMBER(G44), (G44 - $B44) / $B44, "")</f>
        <v>-0.14615384615384619</v>
      </c>
      <c r="I44" s="100">
        <f>IF(ISNUMBER(G44), $B64 * H44, "")</f>
        <v>-14615.384615384619</v>
      </c>
      <c r="J44" s="13">
        <v>11</v>
      </c>
      <c r="K44" s="14">
        <f>IF(ISNUMBER(J44), (J44 - $B44) / $B44, "")</f>
        <v>-0.15384615384615385</v>
      </c>
      <c r="L44" s="16">
        <f>IF(ISNUMBER(J44), $B64 * K44, "")</f>
        <v>-15384.615384615385</v>
      </c>
      <c r="M44" s="29">
        <v>10.3</v>
      </c>
      <c r="N44" s="14">
        <f>IF(ISNUMBER(M44), (M44 - $B44) / $B44, "")</f>
        <v>-0.20769230769230765</v>
      </c>
      <c r="O44" s="16">
        <f>IF(ISNUMBER(M44), $B64 * N44, "")</f>
        <v>-20769.230769230766</v>
      </c>
      <c r="Q44" s="245"/>
      <c r="R44" s="245"/>
      <c r="S44" s="245"/>
    </row>
    <row r="45" spans="1:19" ht="17.25" customHeight="1" thickBot="1">
      <c r="A45" s="162" t="s">
        <v>236</v>
      </c>
      <c r="B45" s="126">
        <v>55.9</v>
      </c>
      <c r="C45" s="77">
        <v>3.3271718999999998E-2</v>
      </c>
      <c r="D45" s="15">
        <v>52.2</v>
      </c>
      <c r="E45" s="32">
        <f t="shared" ref="E45:E48" si="14">IF(ISNUMBER(D45), (D45 - $B45) / $B45, "")</f>
        <v>-6.6189624329159133E-2</v>
      </c>
      <c r="F45" s="18">
        <f>IF(ISNUMBER(D45), $B64 * E45, "")</f>
        <v>-6618.9624329159133</v>
      </c>
      <c r="G45" s="31">
        <v>54.2</v>
      </c>
      <c r="H45" s="32">
        <f t="shared" ref="H45:H48" si="15">IF(ISNUMBER(G45), (G45 - $B45) / $B45, "")</f>
        <v>-3.0411449016100104E-2</v>
      </c>
      <c r="I45" s="101">
        <f>IF(ISNUMBER(G45), $B64 * H45, "")</f>
        <v>-3041.1449016100105</v>
      </c>
      <c r="J45" s="15">
        <v>54.5</v>
      </c>
      <c r="K45" s="32">
        <f t="shared" ref="K45:K48" si="16">IF(ISNUMBER(J45), (J45 - $B45) / $B45, "")</f>
        <v>-2.50447227191413E-2</v>
      </c>
      <c r="L45" s="18">
        <f>IF(ISNUMBER(J45), $B64 * K45, "")</f>
        <v>-2504.47227191413</v>
      </c>
      <c r="M45" s="31">
        <v>50.6</v>
      </c>
      <c r="N45" s="32">
        <f t="shared" ref="N45:N48" si="17">IF(ISNUMBER(M45), (M45 - $B45) / $B45, "")</f>
        <v>-9.4812164579606395E-2</v>
      </c>
      <c r="O45" s="18">
        <f>IF(ISNUMBER(M45), $B64 * N45, "")</f>
        <v>-9481.2164579606397</v>
      </c>
      <c r="Q45" s="245"/>
      <c r="R45" s="245"/>
      <c r="S45" s="245"/>
    </row>
    <row r="46" spans="1:19" ht="17.25" customHeight="1" thickBot="1">
      <c r="A46" s="162" t="s">
        <v>72</v>
      </c>
      <c r="B46" s="126">
        <v>22.9</v>
      </c>
      <c r="C46" s="77">
        <v>2.2321428599999998E-2</v>
      </c>
      <c r="D46" s="15">
        <v>19.3</v>
      </c>
      <c r="E46" s="32">
        <f t="shared" si="14"/>
        <v>-0.15720524017467241</v>
      </c>
      <c r="F46" s="18">
        <f>IF(ISNUMBER(D46), $B64 * E46, "")</f>
        <v>-15720.524017467242</v>
      </c>
      <c r="G46" s="31">
        <v>19</v>
      </c>
      <c r="H46" s="32">
        <f t="shared" si="15"/>
        <v>-0.17030567685589515</v>
      </c>
      <c r="I46" s="101">
        <f>IF(ISNUMBER(G46), $B64 * H46, "")</f>
        <v>-17030.567685589514</v>
      </c>
      <c r="J46" s="15">
        <v>18.899999999999999</v>
      </c>
      <c r="K46" s="32">
        <f t="shared" si="16"/>
        <v>-0.17467248908296945</v>
      </c>
      <c r="L46" s="18">
        <f>IF(ISNUMBER(J46), $B64 * K46, "")</f>
        <v>-17467.248908296944</v>
      </c>
      <c r="M46" s="31">
        <v>17.5</v>
      </c>
      <c r="N46" s="32">
        <f t="shared" si="17"/>
        <v>-0.23580786026200867</v>
      </c>
      <c r="O46" s="18">
        <f>IF(ISNUMBER(M46), $B64 * N46, "")</f>
        <v>-23580.786026200869</v>
      </c>
      <c r="Q46" s="235"/>
      <c r="R46" s="235"/>
      <c r="S46" s="235"/>
    </row>
    <row r="47" spans="1:19" ht="17.25" customHeight="1" thickBot="1">
      <c r="A47" s="162" t="s">
        <v>228</v>
      </c>
      <c r="B47" s="126">
        <v>11.4</v>
      </c>
      <c r="C47" s="77">
        <v>1.7857142900000001E-2</v>
      </c>
      <c r="D47" s="15">
        <v>9.99</v>
      </c>
      <c r="E47" s="32">
        <f t="shared" si="14"/>
        <v>-0.1236842105263158</v>
      </c>
      <c r="F47" s="18">
        <f>IF(ISNUMBER(D47), $B64 * E47, "")</f>
        <v>-12368.42105263158</v>
      </c>
      <c r="G47" s="31">
        <v>9.7100000000000009</v>
      </c>
      <c r="H47" s="32">
        <f t="shared" si="15"/>
        <v>-0.14824561403508768</v>
      </c>
      <c r="I47" s="101">
        <f>IF(ISNUMBER(G47), $B64 * H47, "")</f>
        <v>-14824.561403508767</v>
      </c>
      <c r="J47" s="15">
        <v>9.84</v>
      </c>
      <c r="K47" s="32">
        <f t="shared" si="16"/>
        <v>-0.13684210526315793</v>
      </c>
      <c r="L47" s="18">
        <f>IF(ISNUMBER(J47), $B64 * K47, "")</f>
        <v>-13684.210526315794</v>
      </c>
      <c r="M47" s="31">
        <v>8.98</v>
      </c>
      <c r="N47" s="32">
        <f t="shared" si="17"/>
        <v>-0.21228070175438596</v>
      </c>
      <c r="O47" s="18">
        <f>IF(ISNUMBER(M47), $B64 * N47, "")</f>
        <v>-21228.070175438595</v>
      </c>
      <c r="Q47" s="235"/>
      <c r="R47" s="235"/>
      <c r="S47" s="235"/>
    </row>
    <row r="48" spans="1:19" ht="17.25" customHeight="1" thickBot="1">
      <c r="A48" s="163" t="s">
        <v>196</v>
      </c>
      <c r="B48" s="128">
        <v>12.3</v>
      </c>
      <c r="C48" s="78">
        <v>1.6528925600000001E-2</v>
      </c>
      <c r="D48" s="20">
        <v>10.9</v>
      </c>
      <c r="E48" s="21">
        <f t="shared" si="14"/>
        <v>-0.11382113821138214</v>
      </c>
      <c r="F48" s="22">
        <f>IF(ISNUMBER(D48), $B64 * E48, "")</f>
        <v>-11382.113821138213</v>
      </c>
      <c r="G48" s="30">
        <v>11.3</v>
      </c>
      <c r="H48" s="21">
        <f t="shared" si="15"/>
        <v>-8.1300813008130079E-2</v>
      </c>
      <c r="I48" s="105">
        <f>IF(ISNUMBER(G48), $B64 * H48, "")</f>
        <v>-8130.0813008130081</v>
      </c>
      <c r="J48" s="20">
        <v>11.6</v>
      </c>
      <c r="K48" s="21">
        <f t="shared" si="16"/>
        <v>-5.6910569105691138E-2</v>
      </c>
      <c r="L48" s="22">
        <f>IF(ISNUMBER(J48), $B64 * K48, "")</f>
        <v>-5691.0569105691138</v>
      </c>
      <c r="M48" s="30">
        <v>10.7</v>
      </c>
      <c r="N48" s="21">
        <f t="shared" si="17"/>
        <v>-0.13008130081300823</v>
      </c>
      <c r="O48" s="22">
        <f>IF(ISNUMBER(M48), $B64 * N48, "")</f>
        <v>-13008.130081300822</v>
      </c>
      <c r="Q48" s="235"/>
      <c r="R48" s="235"/>
      <c r="S48" s="235"/>
    </row>
    <row r="49" spans="1:19" ht="17.25" customHeight="1" thickBot="1">
      <c r="A49" s="162" t="s">
        <v>266</v>
      </c>
      <c r="B49" s="129">
        <v>59.9</v>
      </c>
      <c r="C49" s="80">
        <v>1.5254237299999999E-2</v>
      </c>
      <c r="D49" s="106">
        <v>52.2</v>
      </c>
      <c r="E49" s="107">
        <f>IF(ISNUMBER(D49), (D49 - $B49) / $B49, "")</f>
        <v>-0.12854757929883132</v>
      </c>
      <c r="F49" s="108">
        <f>IF(ISNUMBER(D49), $B64 * E49, "")</f>
        <v>-12854.757929883132</v>
      </c>
      <c r="G49" s="109">
        <v>51.2</v>
      </c>
      <c r="H49" s="107">
        <f>IF(ISNUMBER(G49), (G49 - $B49) / $B49, "")</f>
        <v>-0.14524207011686135</v>
      </c>
      <c r="I49" s="110">
        <f>IF(ISNUMBER(G49), $B64 * H49, "")</f>
        <v>-14524.207011686136</v>
      </c>
      <c r="J49" s="106">
        <v>51.9</v>
      </c>
      <c r="K49" s="107">
        <f>IF(ISNUMBER(J49), (J49 - $B49) / $B49, "")</f>
        <v>-0.13355592654424039</v>
      </c>
      <c r="L49" s="108">
        <f>IF(ISNUMBER(J49), $B64 * K49, "")</f>
        <v>-13355.592654424039</v>
      </c>
      <c r="M49" s="109">
        <v>48.3</v>
      </c>
      <c r="N49" s="107">
        <f>IF(ISNUMBER(M49), (M49 - $B49) / $B49, "")</f>
        <v>-0.19365609348914861</v>
      </c>
      <c r="O49" s="108">
        <f>IF(ISNUMBER(M49), $B64 * N49, "")</f>
        <v>-19365.609348914862</v>
      </c>
      <c r="Q49" s="235"/>
      <c r="R49" s="235"/>
      <c r="S49" s="235"/>
    </row>
    <row r="50" spans="1:19" ht="17.25" customHeight="1" thickBot="1">
      <c r="A50" s="162" t="s">
        <v>264</v>
      </c>
      <c r="B50" s="126">
        <v>90.2</v>
      </c>
      <c r="C50" s="77">
        <v>1.2345679E-2</v>
      </c>
      <c r="D50" s="15">
        <v>76.900000000000006</v>
      </c>
      <c r="E50" s="32">
        <f t="shared" ref="E50:E53" si="18">IF(ISNUMBER(D50), (D50 - $B50) / $B50, "")</f>
        <v>-0.14745011086474497</v>
      </c>
      <c r="F50" s="18">
        <f>IF(ISNUMBER(D50), $B64 * E50, "")</f>
        <v>-14745.011086474497</v>
      </c>
      <c r="G50" s="31">
        <v>76.099999999999994</v>
      </c>
      <c r="H50" s="32">
        <f t="shared" ref="H50:H53" si="19">IF(ISNUMBER(G50), (G50 - $B50) / $B50, "")</f>
        <v>-0.156319290465632</v>
      </c>
      <c r="I50" s="101">
        <f>IF(ISNUMBER(G50), $B64 * H50, "")</f>
        <v>-15631.9290465632</v>
      </c>
      <c r="J50" s="15">
        <v>76.8</v>
      </c>
      <c r="K50" s="32">
        <f t="shared" ref="K50:K53" si="20">IF(ISNUMBER(J50), (J50 - $B50) / $B50, "")</f>
        <v>-0.14855875831485593</v>
      </c>
      <c r="L50" s="18">
        <f>IF(ISNUMBER(J50), $B64 * K50, "")</f>
        <v>-14855.875831485593</v>
      </c>
      <c r="M50" s="31">
        <v>71.8</v>
      </c>
      <c r="N50" s="32">
        <f t="shared" ref="N50:N53" si="21">IF(ISNUMBER(M50), (M50 - $B50) / $B50, "")</f>
        <v>-0.20399113082039916</v>
      </c>
      <c r="O50" s="18">
        <f>IF(ISNUMBER(M50), $B64 * N50, "")</f>
        <v>-20399.113082039916</v>
      </c>
      <c r="Q50" s="235"/>
      <c r="R50" s="235"/>
      <c r="S50" s="235"/>
    </row>
    <row r="51" spans="1:19" ht="17.25" customHeight="1" thickBot="1">
      <c r="A51" s="162" t="s">
        <v>222</v>
      </c>
      <c r="B51" s="126">
        <v>12.1</v>
      </c>
      <c r="C51" s="77">
        <v>8.3333333000000006E-3</v>
      </c>
      <c r="D51" s="15">
        <v>10.4</v>
      </c>
      <c r="E51" s="32">
        <f t="shared" si="18"/>
        <v>-0.14049586776859499</v>
      </c>
      <c r="F51" s="18">
        <f>IF(ISNUMBER(D51), $B64 * E51, "")</f>
        <v>-14049.5867768595</v>
      </c>
      <c r="G51" s="31">
        <v>10.4</v>
      </c>
      <c r="H51" s="32">
        <f t="shared" si="19"/>
        <v>-0.14049586776859499</v>
      </c>
      <c r="I51" s="101">
        <f>IF(ISNUMBER(G51), $B64 * H51, "")</f>
        <v>-14049.5867768595</v>
      </c>
      <c r="J51" s="15">
        <v>10.6</v>
      </c>
      <c r="K51" s="32">
        <f t="shared" si="20"/>
        <v>-0.12396694214876033</v>
      </c>
      <c r="L51" s="18">
        <f>IF(ISNUMBER(J51), $B64 * K51, "")</f>
        <v>-12396.694214876034</v>
      </c>
      <c r="M51" s="31">
        <v>10.1</v>
      </c>
      <c r="N51" s="32">
        <f t="shared" si="21"/>
        <v>-0.16528925619834711</v>
      </c>
      <c r="O51" s="18">
        <f>IF(ISNUMBER(M51), $B64 * N51, "")</f>
        <v>-16528.92561983471</v>
      </c>
      <c r="Q51" s="235"/>
      <c r="R51" s="235"/>
      <c r="S51" s="235"/>
    </row>
    <row r="52" spans="1:19" ht="17.25" customHeight="1" thickBot="1">
      <c r="A52" s="162" t="s">
        <v>214</v>
      </c>
      <c r="B52" s="126">
        <v>14.4</v>
      </c>
      <c r="C52" s="77">
        <v>6.9930069999999999E-3</v>
      </c>
      <c r="D52" s="15">
        <v>12.4</v>
      </c>
      <c r="E52" s="32">
        <f t="shared" si="18"/>
        <v>-0.1388888888888889</v>
      </c>
      <c r="F52" s="18">
        <f>IF(ISNUMBER(D52), $B64 * E52, "")</f>
        <v>-13888.888888888889</v>
      </c>
      <c r="G52" s="31">
        <v>12.4</v>
      </c>
      <c r="H52" s="32">
        <f t="shared" si="19"/>
        <v>-0.1388888888888889</v>
      </c>
      <c r="I52" s="101">
        <f>IF(ISNUMBER(G52), $B64 * H52, "")</f>
        <v>-13888.888888888889</v>
      </c>
      <c r="J52" s="15">
        <v>12.5</v>
      </c>
      <c r="K52" s="32">
        <f t="shared" si="20"/>
        <v>-0.13194444444444448</v>
      </c>
      <c r="L52" s="18">
        <f>IF(ISNUMBER(J52), $B64 * K52, "")</f>
        <v>-13194.444444444447</v>
      </c>
      <c r="M52" s="31">
        <v>11.4</v>
      </c>
      <c r="N52" s="32">
        <f t="shared" si="21"/>
        <v>-0.20833333333333331</v>
      </c>
      <c r="O52" s="18">
        <f>IF(ISNUMBER(M52), $B64 * N52, "")</f>
        <v>-20833.333333333332</v>
      </c>
      <c r="Q52" s="33"/>
      <c r="R52" s="33"/>
    </row>
    <row r="53" spans="1:19" ht="17.25" customHeight="1" thickBot="1">
      <c r="A53" s="130" t="s">
        <v>126</v>
      </c>
      <c r="B53" s="131">
        <v>30.4</v>
      </c>
      <c r="C53" s="79">
        <v>6.6225166000000004E-3</v>
      </c>
      <c r="D53" s="24">
        <v>25.9</v>
      </c>
      <c r="E53" s="25">
        <f t="shared" si="18"/>
        <v>-0.1480263157894737</v>
      </c>
      <c r="F53" s="104">
        <f>IF(ISNUMBER(D53), $B64 * E53, "")</f>
        <v>-14802.63157894737</v>
      </c>
      <c r="G53" s="102">
        <v>25.6</v>
      </c>
      <c r="H53" s="25">
        <f t="shared" si="19"/>
        <v>-0.15789473684210517</v>
      </c>
      <c r="I53" s="103">
        <f>IF(ISNUMBER(G53), $B64 * H53, "")</f>
        <v>-15789.473684210518</v>
      </c>
      <c r="J53" s="24">
        <v>25.7</v>
      </c>
      <c r="K53" s="25">
        <f t="shared" si="20"/>
        <v>-0.15460526315789472</v>
      </c>
      <c r="L53" s="104">
        <f>IF(ISNUMBER(J53), $B64 * K53, "")</f>
        <v>-15460.526315789471</v>
      </c>
      <c r="M53" s="102">
        <v>24.1</v>
      </c>
      <c r="N53" s="25">
        <f t="shared" si="21"/>
        <v>-0.20723684210526308</v>
      </c>
      <c r="O53" s="104">
        <f>IF(ISNUMBER(M53), $B64 * N53, "")</f>
        <v>-20723.684210526309</v>
      </c>
      <c r="Q53" s="236"/>
      <c r="R53" s="237"/>
      <c r="S53" s="238"/>
    </row>
    <row r="54" spans="1:19" ht="17.25" customHeight="1">
      <c r="A54" s="161" t="s">
        <v>254</v>
      </c>
      <c r="B54" s="124">
        <v>52.5</v>
      </c>
      <c r="C54" s="76">
        <v>5.7471264000000001E-3</v>
      </c>
      <c r="D54" s="13">
        <v>44.8</v>
      </c>
      <c r="E54" s="14">
        <f>IF(ISNUMBER(D54), (D54 - $B54) / $B54, "")</f>
        <v>-0.14666666666666672</v>
      </c>
      <c r="F54" s="16">
        <f>IF(ISNUMBER(D54), $B64 * E54, "")</f>
        <v>-14666.666666666672</v>
      </c>
      <c r="G54" s="29">
        <v>44.5</v>
      </c>
      <c r="H54" s="14">
        <f>IF(ISNUMBER(G54), (G54 - $B54) / $B54, "")</f>
        <v>-0.15238095238095239</v>
      </c>
      <c r="I54" s="100">
        <f>IF(ISNUMBER(G54), $B64 * H54, "")</f>
        <v>-15238.09523809524</v>
      </c>
      <c r="J54" s="13">
        <v>44.8</v>
      </c>
      <c r="K54" s="14">
        <f>IF(ISNUMBER(J54), (J54 - $B54) / $B54, "")</f>
        <v>-0.14666666666666672</v>
      </c>
      <c r="L54" s="16">
        <f>IF(ISNUMBER(J54), $B64 * K54, "")</f>
        <v>-14666.666666666672</v>
      </c>
      <c r="M54" s="29">
        <v>42.2</v>
      </c>
      <c r="N54" s="14">
        <f>IF(ISNUMBER(M54), (M54 - $B54) / $B54, "")</f>
        <v>-0.19619047619047614</v>
      </c>
      <c r="O54" s="16">
        <f>IF(ISNUMBER(M54), $B64 * N54, "")</f>
        <v>-19619.047619047615</v>
      </c>
      <c r="Q54" s="239"/>
      <c r="R54" s="240"/>
      <c r="S54" s="241"/>
    </row>
    <row r="55" spans="1:19" ht="17.25" customHeight="1" thickBot="1">
      <c r="A55" s="162" t="s">
        <v>172</v>
      </c>
      <c r="B55" s="126">
        <v>15.5</v>
      </c>
      <c r="C55" s="77">
        <v>0</v>
      </c>
      <c r="D55" s="15">
        <v>14.5</v>
      </c>
      <c r="E55" s="32">
        <f t="shared" ref="E55:E58" si="22">IF(ISNUMBER(D55), (D55 - $B55) / $B55, "")</f>
        <v>-6.4516129032258063E-2</v>
      </c>
      <c r="F55" s="18">
        <f>IF(ISNUMBER(D55), $B64 * E55, "")</f>
        <v>-6451.6129032258059</v>
      </c>
      <c r="G55" s="31">
        <v>14.7</v>
      </c>
      <c r="H55" s="32">
        <f t="shared" ref="H55:H58" si="23">IF(ISNUMBER(G55), (G55 - $B55) / $B55, "")</f>
        <v>-5.16129032258065E-2</v>
      </c>
      <c r="I55" s="101">
        <f>IF(ISNUMBER(G55), $B64 * H55, "")</f>
        <v>-5161.2903225806504</v>
      </c>
      <c r="J55" s="15">
        <v>14.8</v>
      </c>
      <c r="K55" s="32">
        <f t="shared" ref="K55:K58" si="24">IF(ISNUMBER(J55), (J55 - $B55) / $B55, "")</f>
        <v>-4.5161290322580601E-2</v>
      </c>
      <c r="L55" s="18">
        <f>IF(ISNUMBER(J55), $B64 * K55, "")</f>
        <v>-4516.1290322580599</v>
      </c>
      <c r="M55" s="31">
        <v>13.5</v>
      </c>
      <c r="N55" s="32">
        <f t="shared" ref="N55:N58" si="25">IF(ISNUMBER(M55), (M55 - $B55) / $B55, "")</f>
        <v>-0.12903225806451613</v>
      </c>
      <c r="O55" s="18">
        <f>IF(ISNUMBER(M55), $B64 * N55, "")</f>
        <v>-12903.225806451612</v>
      </c>
      <c r="Q55" s="242"/>
      <c r="R55" s="243"/>
      <c r="S55" s="244"/>
    </row>
    <row r="56" spans="1:19" ht="17.25" customHeight="1" thickBot="1">
      <c r="A56" s="162" t="s">
        <v>268</v>
      </c>
      <c r="B56" s="126">
        <v>54.3</v>
      </c>
      <c r="C56" s="77">
        <v>0</v>
      </c>
      <c r="D56" s="15">
        <v>46.7</v>
      </c>
      <c r="E56" s="32">
        <f t="shared" si="22"/>
        <v>-0.13996316758747687</v>
      </c>
      <c r="F56" s="18">
        <f>IF(ISNUMBER(D56), $B64 * E56, "")</f>
        <v>-13996.316758747687</v>
      </c>
      <c r="G56" s="31">
        <v>47.1</v>
      </c>
      <c r="H56" s="32">
        <f t="shared" si="23"/>
        <v>-0.13259668508287287</v>
      </c>
      <c r="I56" s="101">
        <f>IF(ISNUMBER(G56), $B64 * H56, "")</f>
        <v>-13259.668508287286</v>
      </c>
      <c r="J56" s="15">
        <v>46.7</v>
      </c>
      <c r="K56" s="32">
        <f t="shared" si="24"/>
        <v>-0.13996316758747687</v>
      </c>
      <c r="L56" s="18">
        <f>IF(ISNUMBER(J56), $B64 * K56, "")</f>
        <v>-13996.316758747687</v>
      </c>
      <c r="M56" s="31">
        <v>43.3</v>
      </c>
      <c r="N56" s="32">
        <f t="shared" si="25"/>
        <v>-0.20257826887661143</v>
      </c>
      <c r="O56" s="18">
        <f>IF(ISNUMBER(M56), $B64 * N56, "")</f>
        <v>-20257.826887661144</v>
      </c>
      <c r="Q56" s="235"/>
      <c r="R56" s="235"/>
      <c r="S56" s="235"/>
    </row>
    <row r="57" spans="1:19" ht="17.25" customHeight="1" thickBot="1">
      <c r="A57" s="162" t="s">
        <v>198</v>
      </c>
      <c r="B57" s="126">
        <v>17</v>
      </c>
      <c r="C57" s="77">
        <v>0</v>
      </c>
      <c r="D57" s="15">
        <v>14.8</v>
      </c>
      <c r="E57" s="32">
        <f t="shared" si="22"/>
        <v>-0.12941176470588231</v>
      </c>
      <c r="F57" s="18">
        <f>IF(ISNUMBER(D57), $B64 * E57, "")</f>
        <v>-12941.176470588231</v>
      </c>
      <c r="G57" s="31">
        <v>14.7</v>
      </c>
      <c r="H57" s="32">
        <f t="shared" si="23"/>
        <v>-0.13529411764705887</v>
      </c>
      <c r="I57" s="101">
        <f>IF(ISNUMBER(G57), $B64 * H57, "")</f>
        <v>-13529.411764705887</v>
      </c>
      <c r="J57" s="15">
        <v>14.6</v>
      </c>
      <c r="K57" s="32">
        <f t="shared" si="24"/>
        <v>-0.14117647058823532</v>
      </c>
      <c r="L57" s="18">
        <f>IF(ISNUMBER(J57), $B64 * K57, "")</f>
        <v>-14117.647058823532</v>
      </c>
      <c r="M57" s="31">
        <v>13.6</v>
      </c>
      <c r="N57" s="32">
        <f t="shared" si="25"/>
        <v>-0.2</v>
      </c>
      <c r="O57" s="18">
        <f>IF(ISNUMBER(M57), $B64 * N57, "")</f>
        <v>-20000</v>
      </c>
      <c r="Q57" s="245"/>
      <c r="R57" s="245"/>
      <c r="S57" s="245"/>
    </row>
    <row r="58" spans="1:19" ht="17.25" customHeight="1" thickBot="1">
      <c r="A58" s="163" t="s">
        <v>260</v>
      </c>
      <c r="B58" s="128">
        <v>76.599999999999994</v>
      </c>
      <c r="C58" s="78">
        <v>-3.9011703999999999E-3</v>
      </c>
      <c r="D58" s="20">
        <v>64.7</v>
      </c>
      <c r="E58" s="21">
        <f t="shared" si="22"/>
        <v>-0.15535248041775446</v>
      </c>
      <c r="F58" s="22">
        <f>IF(ISNUMBER(D58), $B64 * E58, "")</f>
        <v>-15535.248041775445</v>
      </c>
      <c r="G58" s="30">
        <v>63.9</v>
      </c>
      <c r="H58" s="21">
        <f t="shared" si="23"/>
        <v>-0.16579634464751955</v>
      </c>
      <c r="I58" s="105">
        <f>IF(ISNUMBER(G58), $B64 * H58, "")</f>
        <v>-16579.634464751955</v>
      </c>
      <c r="J58" s="20">
        <v>64.099999999999994</v>
      </c>
      <c r="K58" s="21">
        <f t="shared" si="24"/>
        <v>-0.16318537859007834</v>
      </c>
      <c r="L58" s="22">
        <f>IF(ISNUMBER(J58), $B64 * K58, "")</f>
        <v>-16318.537859007834</v>
      </c>
      <c r="M58" s="30">
        <v>59.7</v>
      </c>
      <c r="N58" s="21">
        <f t="shared" si="25"/>
        <v>-0.22062663185378581</v>
      </c>
      <c r="O58" s="22">
        <f>IF(ISNUMBER(M58), $B64 * N58, "")</f>
        <v>-22062.66318537858</v>
      </c>
      <c r="Q58" s="245"/>
      <c r="R58" s="245"/>
      <c r="S58" s="245"/>
    </row>
    <row r="59" spans="1:19" ht="17.25" customHeight="1" thickBot="1">
      <c r="A59" s="162" t="s">
        <v>212</v>
      </c>
      <c r="B59" s="129">
        <v>79.599999999999994</v>
      </c>
      <c r="C59" s="80">
        <v>-5.0000000000000001E-3</v>
      </c>
      <c r="D59" s="106">
        <v>67</v>
      </c>
      <c r="E59" s="107">
        <f>IF(ISNUMBER(D59), (D59 - $B59) / $B59, "")</f>
        <v>-0.1582914572864321</v>
      </c>
      <c r="F59" s="108">
        <f>IF(ISNUMBER(D59), $B64 * E59, "")</f>
        <v>-15829.145728643211</v>
      </c>
      <c r="G59" s="109">
        <v>67.099999999999994</v>
      </c>
      <c r="H59" s="107">
        <f>IF(ISNUMBER(G59), (G59 - $B59) / $B59, "")</f>
        <v>-0.157035175879397</v>
      </c>
      <c r="I59" s="110">
        <f>IF(ISNUMBER(G59), $B64 * H59, "")</f>
        <v>-15703.517587939699</v>
      </c>
      <c r="J59" s="106">
        <v>67.2</v>
      </c>
      <c r="K59" s="107">
        <f>IF(ISNUMBER(J59), (J59 - $B59) / $B59, "")</f>
        <v>-0.15577889447236171</v>
      </c>
      <c r="L59" s="108">
        <f>IF(ISNUMBER(J59), $B64 * K59, "")</f>
        <v>-15577.88944723617</v>
      </c>
      <c r="M59" s="109">
        <v>62</v>
      </c>
      <c r="N59" s="107">
        <f>IF(ISNUMBER(M59), (M59 - $B59) / $B59, "")</f>
        <v>-0.22110552763819091</v>
      </c>
      <c r="O59" s="108">
        <f>IF(ISNUMBER(M59), $B64 * N59, "")</f>
        <v>-22110.552763819091</v>
      </c>
      <c r="Q59" s="235"/>
      <c r="R59" s="235"/>
      <c r="S59" s="235"/>
    </row>
    <row r="60" spans="1:19" ht="17.25" customHeight="1" thickBot="1">
      <c r="A60" s="162" t="s">
        <v>156</v>
      </c>
      <c r="B60" s="126">
        <v>89.9</v>
      </c>
      <c r="C60" s="77">
        <v>-5.5309735000000004E-3</v>
      </c>
      <c r="D60" s="15">
        <v>81.3</v>
      </c>
      <c r="E60" s="32">
        <f t="shared" ref="E60:E63" si="26">IF(ISNUMBER(D60), (D60 - $B60) / $B60, "")</f>
        <v>-9.5661846496106873E-2</v>
      </c>
      <c r="F60" s="18">
        <f>IF(ISNUMBER(D60), $B64 * E60, "")</f>
        <v>-9566.1846496106864</v>
      </c>
      <c r="G60" s="31">
        <v>82.3</v>
      </c>
      <c r="H60" s="32">
        <f t="shared" ref="H60:H63" si="27">IF(ISNUMBER(G60), (G60 - $B60) / $B60, "")</f>
        <v>-8.4538375973303756E-2</v>
      </c>
      <c r="I60" s="101">
        <f>IF(ISNUMBER(G60), $B64 * H60, "")</f>
        <v>-8453.8375973303755</v>
      </c>
      <c r="J60" s="15">
        <v>82.9</v>
      </c>
      <c r="K60" s="32">
        <f t="shared" ref="K60:K63" si="28">IF(ISNUMBER(J60), (J60 - $B60) / $B60, "")</f>
        <v>-7.7864293659621803E-2</v>
      </c>
      <c r="L60" s="18">
        <f>IF(ISNUMBER(J60), $B64 * K60, "")</f>
        <v>-7786.4293659621799</v>
      </c>
      <c r="M60" s="31">
        <v>79.900000000000006</v>
      </c>
      <c r="N60" s="32">
        <f t="shared" ref="N60:N63" si="29">IF(ISNUMBER(M60), (M60 - $B60) / $B60, "")</f>
        <v>-0.11123470522803114</v>
      </c>
      <c r="O60" s="18">
        <f>IF(ISNUMBER(M60), $B64 * N60, "")</f>
        <v>-11123.470522803114</v>
      </c>
      <c r="Q60" s="235"/>
      <c r="R60" s="235"/>
      <c r="S60" s="235"/>
    </row>
    <row r="61" spans="1:19" ht="17.25" customHeight="1" thickBot="1">
      <c r="A61" s="162" t="s">
        <v>278</v>
      </c>
      <c r="B61" s="126">
        <v>81.900000000000006</v>
      </c>
      <c r="C61" s="77">
        <v>-8.4745762999999998E-3</v>
      </c>
      <c r="D61" s="15">
        <v>72.3</v>
      </c>
      <c r="E61" s="32">
        <f t="shared" si="26"/>
        <v>-0.11721611721611731</v>
      </c>
      <c r="F61" s="18">
        <f>IF(ISNUMBER(D61), $B64 * E61, "")</f>
        <v>-11721.611721611731</v>
      </c>
      <c r="G61" s="31">
        <v>74.2</v>
      </c>
      <c r="H61" s="32">
        <f t="shared" si="27"/>
        <v>-9.4017094017094044E-2</v>
      </c>
      <c r="I61" s="101">
        <f>IF(ISNUMBER(G61), $B64 * H61, "")</f>
        <v>-9401.7094017094041</v>
      </c>
      <c r="J61" s="15">
        <v>74.2</v>
      </c>
      <c r="K61" s="32">
        <f t="shared" si="28"/>
        <v>-9.4017094017094044E-2</v>
      </c>
      <c r="L61" s="18">
        <f>IF(ISNUMBER(J61), $B64 * K61, "")</f>
        <v>-9401.7094017094041</v>
      </c>
      <c r="M61" s="31">
        <v>70.900000000000006</v>
      </c>
      <c r="N61" s="32">
        <f t="shared" si="29"/>
        <v>-0.1343101343101343</v>
      </c>
      <c r="O61" s="18">
        <f>IF(ISNUMBER(M61), $B64 * N61, "")</f>
        <v>-13431.013431013431</v>
      </c>
      <c r="Q61" s="235"/>
      <c r="R61" s="235"/>
      <c r="S61" s="235"/>
    </row>
    <row r="62" spans="1:19" ht="17.25" customHeight="1">
      <c r="A62" s="162" t="s">
        <v>154</v>
      </c>
      <c r="B62" s="126">
        <v>11.6</v>
      </c>
      <c r="C62" s="77">
        <v>-8.5470084999999998E-3</v>
      </c>
      <c r="D62" s="15">
        <v>10.199999999999999</v>
      </c>
      <c r="E62" s="32">
        <f t="shared" si="26"/>
        <v>-0.12068965517241383</v>
      </c>
      <c r="F62" s="18">
        <f>IF(ISNUMBER(D62), $B64 * E62, "")</f>
        <v>-12068.965517241382</v>
      </c>
      <c r="G62" s="31">
        <v>10.199999999999999</v>
      </c>
      <c r="H62" s="32">
        <f t="shared" si="27"/>
        <v>-0.12068965517241383</v>
      </c>
      <c r="I62" s="101">
        <f>IF(ISNUMBER(G62), $B64 * H62, "")</f>
        <v>-12068.965517241382</v>
      </c>
      <c r="J62" s="15">
        <v>10.5</v>
      </c>
      <c r="K62" s="32">
        <f t="shared" si="28"/>
        <v>-9.4827586206896519E-2</v>
      </c>
      <c r="L62" s="18">
        <f>IF(ISNUMBER(J62), $B64 * K62, "")</f>
        <v>-9482.7586206896522</v>
      </c>
      <c r="M62" s="31">
        <v>9.8800000000000008</v>
      </c>
      <c r="N62" s="32">
        <f t="shared" si="29"/>
        <v>-0.14827586206896542</v>
      </c>
      <c r="O62" s="18">
        <f>IF(ISNUMBER(M62), $B64 * N62, "")</f>
        <v>-14827.586206896542</v>
      </c>
      <c r="Q62" s="224"/>
      <c r="R62" s="225"/>
      <c r="S62" s="226"/>
    </row>
    <row r="63" spans="1:19" ht="17.25" customHeight="1" thickBot="1">
      <c r="A63" s="130" t="s">
        <v>152</v>
      </c>
      <c r="B63" s="131">
        <v>21.7</v>
      </c>
      <c r="C63" s="79">
        <v>-9.1324201000000001E-3</v>
      </c>
      <c r="D63" s="24">
        <v>18.399999999999999</v>
      </c>
      <c r="E63" s="25">
        <f t="shared" si="26"/>
        <v>-0.15207373271889404</v>
      </c>
      <c r="F63" s="104">
        <f>IF(ISNUMBER(D63), $B64 * E63, "")</f>
        <v>-15207.373271889404</v>
      </c>
      <c r="G63" s="102">
        <v>18.7</v>
      </c>
      <c r="H63" s="25">
        <f t="shared" si="27"/>
        <v>-0.13824884792626729</v>
      </c>
      <c r="I63" s="103">
        <f>IF(ISNUMBER(G63), $B64 * H63, "")</f>
        <v>-13824.88479262673</v>
      </c>
      <c r="J63" s="24">
        <v>18.600000000000001</v>
      </c>
      <c r="K63" s="25">
        <f t="shared" si="28"/>
        <v>-0.14285714285714277</v>
      </c>
      <c r="L63" s="104">
        <f>IF(ISNUMBER(J63), $B64 * K63, "")</f>
        <v>-14285.714285714277</v>
      </c>
      <c r="M63" s="102">
        <v>17.2</v>
      </c>
      <c r="N63" s="25">
        <f t="shared" si="29"/>
        <v>-0.20737327188940094</v>
      </c>
      <c r="O63" s="104">
        <f>IF(ISNUMBER(M63), $B64 * N63, "")</f>
        <v>-20737.327188940093</v>
      </c>
      <c r="Q63" s="227"/>
      <c r="R63" s="228"/>
      <c r="S63" s="229"/>
    </row>
    <row r="64" spans="1:19" ht="17.25" customHeight="1" thickBot="1">
      <c r="A64" s="132" t="s">
        <v>300</v>
      </c>
      <c r="B64" s="288">
        <f>$B$37</f>
        <v>100000</v>
      </c>
      <c r="C64" s="289"/>
      <c r="D64" s="26" t="s">
        <v>301</v>
      </c>
      <c r="E64" s="27">
        <f>IF(COUNT(E44:E63), SUM(E44:E63) / COUNT(E44:E63), 0)</f>
        <v>-0.13028452273452634</v>
      </c>
      <c r="F64" s="28">
        <f>SUM(F44:F63)</f>
        <v>-260569.04546905271</v>
      </c>
      <c r="G64" s="26" t="s">
        <v>301</v>
      </c>
      <c r="H64" s="27">
        <f>IF(COUNT(H44:H63), SUM(H44:H63) / COUNT(H44:H63), 0)</f>
        <v>-0.12737342025519136</v>
      </c>
      <c r="I64" s="28">
        <f>SUM(I44:I63)</f>
        <v>-254746.84051038272</v>
      </c>
      <c r="J64" s="26" t="s">
        <v>301</v>
      </c>
      <c r="K64" s="27">
        <f>IF(COUNT(K44:K63), SUM(K44:K63) / COUNT(K44:K63), 0)</f>
        <v>-0.12207226797977319</v>
      </c>
      <c r="L64" s="28">
        <f>SUM(L44:L63)</f>
        <v>-244144.53595954643</v>
      </c>
      <c r="M64" s="26" t="s">
        <v>301</v>
      </c>
      <c r="N64" s="27">
        <f>IF(COUNT(N44:N63), SUM(N44:N63) / COUNT(N44:N63), 0)</f>
        <v>-0.18149540635839603</v>
      </c>
      <c r="O64" s="28">
        <f>SUM(O44:O63)</f>
        <v>-362990.8127167921</v>
      </c>
      <c r="Q64" s="230"/>
      <c r="R64" s="231"/>
      <c r="S64" s="232"/>
    </row>
    <row r="65" spans="1:19" ht="17.25" customHeight="1"/>
    <row r="66" spans="1:19" ht="17.25" customHeight="1" thickBot="1"/>
    <row r="67" spans="1:19" ht="17.25" thickBot="1">
      <c r="A67" s="246" t="s">
        <v>45</v>
      </c>
      <c r="B67" s="247"/>
      <c r="C67" s="247"/>
      <c r="D67" s="247"/>
      <c r="E67" s="247"/>
      <c r="F67" s="247"/>
      <c r="G67" s="247"/>
      <c r="H67" s="247"/>
      <c r="I67" s="247"/>
      <c r="J67" s="247"/>
      <c r="K67" s="247"/>
      <c r="L67" s="247"/>
      <c r="M67" s="247"/>
      <c r="N67" s="247"/>
      <c r="O67" s="248"/>
      <c r="Q67" s="245"/>
      <c r="R67" s="245"/>
      <c r="S67" s="245"/>
    </row>
    <row r="68" spans="1:19" ht="17.25" thickBot="1">
      <c r="A68" s="188" t="s">
        <v>297</v>
      </c>
      <c r="B68" s="246" t="s">
        <v>49</v>
      </c>
      <c r="C68" s="248"/>
      <c r="D68" s="246" t="s">
        <v>58</v>
      </c>
      <c r="E68" s="247"/>
      <c r="F68" s="248"/>
      <c r="G68" s="249">
        <f>_xlfn.IFNA(VLOOKUP(B68, 현재가테이블!$B$2:$D$200, 2, FALSE), "-")</f>
        <v>45335000</v>
      </c>
      <c r="H68" s="250"/>
      <c r="I68" s="251"/>
      <c r="J68" s="246" t="s">
        <v>59</v>
      </c>
      <c r="K68" s="247"/>
      <c r="L68" s="248"/>
      <c r="M68" s="252">
        <f>_xlfn.IFNA(VLOOKUP(B68, 현재가테이블!$B$2:$D$200, 3, FALSE), "-")</f>
        <v>-2.27209037E-2</v>
      </c>
      <c r="N68" s="253"/>
      <c r="O68" s="254"/>
      <c r="Q68" s="245"/>
      <c r="R68" s="245"/>
      <c r="S68" s="245"/>
    </row>
    <row r="69" spans="1:19" ht="17.25" thickBot="1">
      <c r="A69" s="290" t="s">
        <v>55</v>
      </c>
      <c r="B69" s="286" t="str">
        <f>TEXT($G$1, "[$-ko-KR]yyyy-mm-dd(ddd) ") &amp; "오전 00:00"</f>
        <v>2021-06-08(화) 오전 00:00</v>
      </c>
      <c r="C69" s="287"/>
      <c r="D69" s="259" t="str">
        <f>TEXT($G$1, "[$-ko-KR]yyyy-mm-dd(ddd) ") &amp; "오후 14:00"</f>
        <v>2021-06-08(화) 오후 14:00</v>
      </c>
      <c r="E69" s="260"/>
      <c r="F69" s="261"/>
      <c r="G69" s="259" t="str">
        <f>TEXT($G$1, "[$-ko-KR]yyyy-mm-dd(ddd) ") &amp; "오후 19:00"</f>
        <v>2021-06-08(화) 오후 19:00</v>
      </c>
      <c r="H69" s="260"/>
      <c r="I69" s="261"/>
      <c r="J69" s="259" t="str">
        <f>TEXT($G$1, "[$-ko-KR]yyyy-mm-dd(ddd) ") &amp; "오후 21:00"</f>
        <v>2021-06-08(화) 오후 21:00</v>
      </c>
      <c r="K69" s="260"/>
      <c r="L69" s="261"/>
      <c r="M69" s="259" t="str">
        <f>TEXT($G$1+1, "[$-ko-KR]yyyy-mm-dd(ddd) ") &amp; "오전 00:00"</f>
        <v>2021-06-09(수) 오전 00:00</v>
      </c>
      <c r="N69" s="260"/>
      <c r="O69" s="261"/>
      <c r="Q69" s="245"/>
      <c r="R69" s="245"/>
      <c r="S69" s="245"/>
    </row>
    <row r="70" spans="1:19" ht="17.25" thickBot="1">
      <c r="A70" s="291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89" t="s">
        <v>58</v>
      </c>
      <c r="H70" s="190" t="s">
        <v>298</v>
      </c>
      <c r="I70" s="191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5"/>
      <c r="R70" s="235"/>
      <c r="S70" s="235"/>
    </row>
    <row r="71" spans="1:19" ht="17.25" thickBot="1">
      <c r="A71" s="161" t="s">
        <v>142</v>
      </c>
      <c r="B71" s="124">
        <v>567</v>
      </c>
      <c r="C71" s="76">
        <v>0.107421875</v>
      </c>
      <c r="D71" s="13">
        <v>591</v>
      </c>
      <c r="E71" s="14">
        <f>IF(ISNUMBER(D71), (D71 - $B71) / $B71, "")</f>
        <v>4.2328042328042326E-2</v>
      </c>
      <c r="F71" s="16">
        <f>IF(ISNUMBER(D71), $B91 * E71, "")</f>
        <v>4232.8042328042329</v>
      </c>
      <c r="G71" s="29">
        <v>690</v>
      </c>
      <c r="H71" s="14">
        <f>IF(ISNUMBER(G71), (G71 - $B71) / $B71, "")</f>
        <v>0.21693121693121692</v>
      </c>
      <c r="I71" s="100">
        <f>IF(ISNUMBER(G71), $B91 * H71, "")</f>
        <v>21693.121693121691</v>
      </c>
      <c r="J71" s="13">
        <v>673</v>
      </c>
      <c r="K71" s="14">
        <f>IF(ISNUMBER(J71), (J71 - $B71) / $B71, "")</f>
        <v>0.18694885361552027</v>
      </c>
      <c r="L71" s="16">
        <f>IF(ISNUMBER(J71), $B91 * K71, "")</f>
        <v>18694.885361552027</v>
      </c>
      <c r="M71" s="29">
        <v>616</v>
      </c>
      <c r="N71" s="14">
        <f>IF(ISNUMBER(M71), (M71 - $B71) / $B71, "")</f>
        <v>8.6419753086419748E-2</v>
      </c>
      <c r="O71" s="16">
        <f>IF(ISNUMBER(M71), $B91 * N71, "")</f>
        <v>8641.9753086419751</v>
      </c>
      <c r="Q71" s="245"/>
      <c r="R71" s="245"/>
      <c r="S71" s="245"/>
    </row>
    <row r="72" spans="1:19" ht="17.25" thickBot="1">
      <c r="A72" s="162" t="s">
        <v>282</v>
      </c>
      <c r="B72" s="126">
        <v>122</v>
      </c>
      <c r="C72" s="77">
        <v>8.9285714299999999E-2</v>
      </c>
      <c r="D72" s="15">
        <v>108</v>
      </c>
      <c r="E72" s="32">
        <f t="shared" ref="E72:E75" si="30">IF(ISNUMBER(D72), (D72 - $B72) / $B72, "")</f>
        <v>-0.11475409836065574</v>
      </c>
      <c r="F72" s="18">
        <f>IF(ISNUMBER(D72), $B91 * E72, "")</f>
        <v>-11475.409836065573</v>
      </c>
      <c r="G72" s="31">
        <v>108</v>
      </c>
      <c r="H72" s="32">
        <f t="shared" ref="H72:H75" si="31">IF(ISNUMBER(G72), (G72 - $B72) / $B72, "")</f>
        <v>-0.11475409836065574</v>
      </c>
      <c r="I72" s="101">
        <f>IF(ISNUMBER(G72), $B91 * H72, "")</f>
        <v>-11475.409836065573</v>
      </c>
      <c r="J72" s="15">
        <v>107</v>
      </c>
      <c r="K72" s="32">
        <f t="shared" ref="K72:K75" si="32">IF(ISNUMBER(J72), (J72 - $B72) / $B72, "")</f>
        <v>-0.12295081967213115</v>
      </c>
      <c r="L72" s="18">
        <f>IF(ISNUMBER(J72), $B91 * K72, "")</f>
        <v>-12295.081967213115</v>
      </c>
      <c r="M72" s="31">
        <v>102</v>
      </c>
      <c r="N72" s="32">
        <f t="shared" ref="N72:N75" si="33">IF(ISNUMBER(M72), (M72 - $B72) / $B72, "")</f>
        <v>-0.16393442622950818</v>
      </c>
      <c r="O72" s="18">
        <f>IF(ISNUMBER(M72), $B91 * N72, "")</f>
        <v>-16393.442622950817</v>
      </c>
      <c r="Q72" s="245"/>
      <c r="R72" s="245"/>
      <c r="S72" s="245"/>
    </row>
    <row r="73" spans="1:19" ht="17.25" thickBot="1">
      <c r="A73" s="162" t="s">
        <v>230</v>
      </c>
      <c r="B73" s="126">
        <v>124</v>
      </c>
      <c r="C73" s="77">
        <v>8.7719298200000004E-2</v>
      </c>
      <c r="D73" s="15">
        <v>109</v>
      </c>
      <c r="E73" s="32">
        <f t="shared" si="30"/>
        <v>-0.12096774193548387</v>
      </c>
      <c r="F73" s="18">
        <f>IF(ISNUMBER(D73), $B91 * E73, "")</f>
        <v>-12096.774193548388</v>
      </c>
      <c r="G73" s="31">
        <v>108</v>
      </c>
      <c r="H73" s="32">
        <f t="shared" si="31"/>
        <v>-0.12903225806451613</v>
      </c>
      <c r="I73" s="101">
        <f>IF(ISNUMBER(G73), $B91 * H73, "")</f>
        <v>-12903.225806451612</v>
      </c>
      <c r="J73" s="15">
        <v>109</v>
      </c>
      <c r="K73" s="32">
        <f t="shared" si="32"/>
        <v>-0.12096774193548387</v>
      </c>
      <c r="L73" s="18">
        <f>IF(ISNUMBER(J73), $B91 * K73, "")</f>
        <v>-12096.774193548388</v>
      </c>
      <c r="M73" s="31">
        <v>102</v>
      </c>
      <c r="N73" s="32">
        <f t="shared" si="33"/>
        <v>-0.17741935483870969</v>
      </c>
      <c r="O73" s="18">
        <f>IF(ISNUMBER(M73), $B91 * N73, "")</f>
        <v>-17741.93548387097</v>
      </c>
      <c r="Q73" s="235"/>
      <c r="R73" s="235"/>
      <c r="S73" s="235"/>
    </row>
    <row r="74" spans="1:19" ht="17.25" thickBot="1">
      <c r="A74" s="162" t="s">
        <v>250</v>
      </c>
      <c r="B74" s="126">
        <v>127</v>
      </c>
      <c r="C74" s="77">
        <v>4.9586776899999997E-2</v>
      </c>
      <c r="D74" s="15">
        <v>119</v>
      </c>
      <c r="E74" s="32">
        <f t="shared" si="30"/>
        <v>-6.2992125984251968E-2</v>
      </c>
      <c r="F74" s="18">
        <f>IF(ISNUMBER(D74), $B91 * E74, "")</f>
        <v>-6299.212598425197</v>
      </c>
      <c r="G74" s="31">
        <v>120</v>
      </c>
      <c r="H74" s="32">
        <f t="shared" si="31"/>
        <v>-5.5118110236220472E-2</v>
      </c>
      <c r="I74" s="101">
        <f>IF(ISNUMBER(G74), $B91 * H74, "")</f>
        <v>-5511.8110236220473</v>
      </c>
      <c r="J74" s="15">
        <v>120</v>
      </c>
      <c r="K74" s="32">
        <f t="shared" si="32"/>
        <v>-5.5118110236220472E-2</v>
      </c>
      <c r="L74" s="18">
        <f>IF(ISNUMBER(J74), $B91 * K74, "")</f>
        <v>-5511.8110236220473</v>
      </c>
      <c r="M74" s="31">
        <v>109</v>
      </c>
      <c r="N74" s="32">
        <f t="shared" si="33"/>
        <v>-0.14173228346456693</v>
      </c>
      <c r="O74" s="18">
        <f>IF(ISNUMBER(M74), $B91 * N74, "")</f>
        <v>-14173.228346456694</v>
      </c>
      <c r="Q74" s="235"/>
      <c r="R74" s="235"/>
      <c r="S74" s="235"/>
    </row>
    <row r="75" spans="1:19" ht="17.25" thickBot="1">
      <c r="A75" s="163" t="s">
        <v>182</v>
      </c>
      <c r="B75" s="128">
        <v>308</v>
      </c>
      <c r="C75" s="78">
        <v>3.7037037000000002E-2</v>
      </c>
      <c r="D75" s="20">
        <v>281</v>
      </c>
      <c r="E75" s="21">
        <f t="shared" si="30"/>
        <v>-8.7662337662337664E-2</v>
      </c>
      <c r="F75" s="22">
        <f>IF(ISNUMBER(D75), $B91 * E75, "")</f>
        <v>-8766.2337662337668</v>
      </c>
      <c r="G75" s="30">
        <v>279</v>
      </c>
      <c r="H75" s="21">
        <f t="shared" si="31"/>
        <v>-9.4155844155844159E-2</v>
      </c>
      <c r="I75" s="105">
        <f>IF(ISNUMBER(G75), $B91 * H75, "")</f>
        <v>-9415.5844155844152</v>
      </c>
      <c r="J75" s="20">
        <v>279</v>
      </c>
      <c r="K75" s="21">
        <f t="shared" si="32"/>
        <v>-9.4155844155844159E-2</v>
      </c>
      <c r="L75" s="22">
        <f>IF(ISNUMBER(J75), $B91 * K75, "")</f>
        <v>-9415.5844155844152</v>
      </c>
      <c r="M75" s="30">
        <v>260</v>
      </c>
      <c r="N75" s="21">
        <f t="shared" si="33"/>
        <v>-0.15584415584415584</v>
      </c>
      <c r="O75" s="22">
        <f>IF(ISNUMBER(M75), $B91 * N75, "")</f>
        <v>-15584.415584415585</v>
      </c>
      <c r="Q75" s="235"/>
      <c r="R75" s="235"/>
      <c r="S75" s="235"/>
    </row>
    <row r="76" spans="1:19" ht="17.25" thickBot="1">
      <c r="A76" s="162" t="s">
        <v>252</v>
      </c>
      <c r="B76" s="129">
        <v>331</v>
      </c>
      <c r="C76" s="80">
        <v>3.1152648000000002E-2</v>
      </c>
      <c r="D76" s="106">
        <v>292</v>
      </c>
      <c r="E76" s="107">
        <f>IF(ISNUMBER(D76), (D76 - $B76) / $B76, "")</f>
        <v>-0.11782477341389729</v>
      </c>
      <c r="F76" s="108">
        <f>IF(ISNUMBER(D76), $B91 * E76, "")</f>
        <v>-11782.477341389729</v>
      </c>
      <c r="G76" s="109">
        <v>290</v>
      </c>
      <c r="H76" s="107">
        <f>IF(ISNUMBER(G76), (G76 - $B76) / $B76, "")</f>
        <v>-0.12386706948640483</v>
      </c>
      <c r="I76" s="110">
        <f>IF(ISNUMBER(G76), $B91 * H76, "")</f>
        <v>-12386.706948640483</v>
      </c>
      <c r="J76" s="106">
        <v>291</v>
      </c>
      <c r="K76" s="107">
        <f>IF(ISNUMBER(J76), (J76 - $B76) / $B76, "")</f>
        <v>-0.12084592145015106</v>
      </c>
      <c r="L76" s="108">
        <f>IF(ISNUMBER(J76), $B91 * K76, "")</f>
        <v>-12084.592145015107</v>
      </c>
      <c r="M76" s="109">
        <v>266</v>
      </c>
      <c r="N76" s="107">
        <f>IF(ISNUMBER(M76), (M76 - $B76) / $B76, "")</f>
        <v>-0.19637462235649547</v>
      </c>
      <c r="O76" s="108">
        <f>IF(ISNUMBER(M76), $B91 * N76, "")</f>
        <v>-19637.462235649546</v>
      </c>
      <c r="Q76" s="235"/>
      <c r="R76" s="235"/>
      <c r="S76" s="235"/>
    </row>
    <row r="77" spans="1:19" ht="17.25" thickBot="1">
      <c r="A77" s="162" t="s">
        <v>210</v>
      </c>
      <c r="B77" s="126">
        <v>135</v>
      </c>
      <c r="C77" s="77">
        <v>2.2727272699999999E-2</v>
      </c>
      <c r="D77" s="15">
        <v>115</v>
      </c>
      <c r="E77" s="32">
        <f t="shared" ref="E77:E80" si="34">IF(ISNUMBER(D77), (D77 - $B77) / $B77, "")</f>
        <v>-0.14814814814814814</v>
      </c>
      <c r="F77" s="18">
        <f>IF(ISNUMBER(D77), $B91 * E77, "")</f>
        <v>-14814.814814814814</v>
      </c>
      <c r="G77" s="31">
        <v>115</v>
      </c>
      <c r="H77" s="32">
        <f t="shared" ref="H77:H80" si="35">IF(ISNUMBER(G77), (G77 - $B77) / $B77, "")</f>
        <v>-0.14814814814814814</v>
      </c>
      <c r="I77" s="101">
        <f>IF(ISNUMBER(G77), $B91 * H77, "")</f>
        <v>-14814.814814814814</v>
      </c>
      <c r="J77" s="15">
        <v>115</v>
      </c>
      <c r="K77" s="32">
        <f t="shared" ref="K77:K80" si="36">IF(ISNUMBER(J77), (J77 - $B77) / $B77, "")</f>
        <v>-0.14814814814814814</v>
      </c>
      <c r="L77" s="18">
        <f>IF(ISNUMBER(J77), $B91 * K77, "")</f>
        <v>-14814.814814814814</v>
      </c>
      <c r="M77" s="31">
        <v>109</v>
      </c>
      <c r="N77" s="32">
        <f t="shared" ref="N77:N80" si="37">IF(ISNUMBER(M77), (M77 - $B77) / $B77, "")</f>
        <v>-0.19259259259259259</v>
      </c>
      <c r="O77" s="18">
        <f>IF(ISNUMBER(M77), $B91 * N77, "")</f>
        <v>-19259.259259259259</v>
      </c>
      <c r="Q77" s="235"/>
      <c r="R77" s="235"/>
      <c r="S77" s="235"/>
    </row>
    <row r="78" spans="1:19" ht="17.25" thickBot="1">
      <c r="A78" s="162" t="s">
        <v>226</v>
      </c>
      <c r="B78" s="126">
        <v>307</v>
      </c>
      <c r="C78" s="77">
        <v>1.9933554799999999E-2</v>
      </c>
      <c r="D78" s="15">
        <v>266</v>
      </c>
      <c r="E78" s="32">
        <f t="shared" si="34"/>
        <v>-0.13355048859934854</v>
      </c>
      <c r="F78" s="18">
        <f>IF(ISNUMBER(D78), $B91 * E78, "")</f>
        <v>-13355.048859934854</v>
      </c>
      <c r="G78" s="31">
        <v>270</v>
      </c>
      <c r="H78" s="32">
        <f t="shared" si="35"/>
        <v>-0.12052117263843648</v>
      </c>
      <c r="I78" s="101">
        <f>IF(ISNUMBER(G78), $B91 * H78, "")</f>
        <v>-12052.117263843647</v>
      </c>
      <c r="J78" s="15">
        <v>269</v>
      </c>
      <c r="K78" s="32">
        <f t="shared" si="36"/>
        <v>-0.12377850162866449</v>
      </c>
      <c r="L78" s="18">
        <f>IF(ISNUMBER(J78), $B91 * K78, "")</f>
        <v>-12377.850162866449</v>
      </c>
      <c r="M78" s="31">
        <v>253</v>
      </c>
      <c r="N78" s="32">
        <f t="shared" si="37"/>
        <v>-0.1758957654723127</v>
      </c>
      <c r="O78" s="18">
        <f>IF(ISNUMBER(M78), $B91 * N78, "")</f>
        <v>-17589.576547231271</v>
      </c>
      <c r="Q78" s="235"/>
      <c r="R78" s="235"/>
      <c r="S78" s="235"/>
    </row>
    <row r="79" spans="1:19" ht="17.25" thickBot="1">
      <c r="A79" s="162" t="s">
        <v>234</v>
      </c>
      <c r="B79" s="126">
        <v>857</v>
      </c>
      <c r="C79" s="77">
        <v>1.66073547E-2</v>
      </c>
      <c r="D79" s="15">
        <v>729</v>
      </c>
      <c r="E79" s="32">
        <f t="shared" si="34"/>
        <v>-0.14935822637106183</v>
      </c>
      <c r="F79" s="18">
        <f>IF(ISNUMBER(D79), $B91 * E79, "")</f>
        <v>-14935.822637106183</v>
      </c>
      <c r="G79" s="31">
        <v>732</v>
      </c>
      <c r="H79" s="32">
        <f t="shared" si="35"/>
        <v>-0.14585764294049008</v>
      </c>
      <c r="I79" s="101">
        <f>IF(ISNUMBER(G79), $B91 * H79, "")</f>
        <v>-14585.764294049008</v>
      </c>
      <c r="J79" s="15">
        <v>733</v>
      </c>
      <c r="K79" s="32">
        <f t="shared" si="36"/>
        <v>-0.14469078179696615</v>
      </c>
      <c r="L79" s="18">
        <f>IF(ISNUMBER(J79), $B91 * K79, "")</f>
        <v>-14469.078179696615</v>
      </c>
      <c r="M79" s="31">
        <v>676</v>
      </c>
      <c r="N79" s="32">
        <f t="shared" si="37"/>
        <v>-0.21120186697782964</v>
      </c>
      <c r="O79" s="18">
        <f>IF(ISNUMBER(M79), $B91 * N79, "")</f>
        <v>-21120.186697782963</v>
      </c>
      <c r="Q79" s="33"/>
      <c r="R79" s="33"/>
    </row>
    <row r="80" spans="1:19" ht="17.25" thickBot="1">
      <c r="A80" s="130" t="s">
        <v>284</v>
      </c>
      <c r="B80" s="131">
        <v>262</v>
      </c>
      <c r="C80" s="79">
        <v>1.5503876E-2</v>
      </c>
      <c r="D80" s="24">
        <v>223</v>
      </c>
      <c r="E80" s="25">
        <f t="shared" si="34"/>
        <v>-0.14885496183206107</v>
      </c>
      <c r="F80" s="104">
        <f>IF(ISNUMBER(D80), $B91 * E80, "")</f>
        <v>-14885.496183206107</v>
      </c>
      <c r="G80" s="102">
        <v>225</v>
      </c>
      <c r="H80" s="25">
        <f t="shared" si="35"/>
        <v>-0.14122137404580154</v>
      </c>
      <c r="I80" s="103">
        <f>IF(ISNUMBER(G80), $B91 * H80, "")</f>
        <v>-14122.137404580153</v>
      </c>
      <c r="J80" s="24">
        <v>227</v>
      </c>
      <c r="K80" s="25">
        <f t="shared" si="36"/>
        <v>-0.13358778625954199</v>
      </c>
      <c r="L80" s="104">
        <f>IF(ISNUMBER(J80), $B91 * K80, "")</f>
        <v>-13358.778625954199</v>
      </c>
      <c r="M80" s="102">
        <v>213</v>
      </c>
      <c r="N80" s="25">
        <f t="shared" si="37"/>
        <v>-0.18702290076335878</v>
      </c>
      <c r="O80" s="104">
        <f>IF(ISNUMBER(M80), $B91 * N80, "")</f>
        <v>-18702.290076335878</v>
      </c>
      <c r="Q80" s="236"/>
      <c r="R80" s="237"/>
      <c r="S80" s="238"/>
    </row>
    <row r="81" spans="1:19">
      <c r="A81" s="161" t="s">
        <v>112</v>
      </c>
      <c r="B81" s="124">
        <v>202</v>
      </c>
      <c r="C81" s="76">
        <v>1.50753769E-2</v>
      </c>
      <c r="D81" s="13">
        <v>184</v>
      </c>
      <c r="E81" s="14">
        <f>IF(ISNUMBER(D81), (D81 - $B81) / $B81, "")</f>
        <v>-8.9108910891089105E-2</v>
      </c>
      <c r="F81" s="16">
        <f>IF(ISNUMBER(D81), $B91 * E81, "")</f>
        <v>-8910.8910891089108</v>
      </c>
      <c r="G81" s="29">
        <v>181</v>
      </c>
      <c r="H81" s="14">
        <f>IF(ISNUMBER(G81), (G81 - $B81) / $B81, "")</f>
        <v>-0.10396039603960396</v>
      </c>
      <c r="I81" s="100">
        <f>IF(ISNUMBER(G81), $B91 * H81, "")</f>
        <v>-10396.039603960395</v>
      </c>
      <c r="J81" s="13">
        <v>181</v>
      </c>
      <c r="K81" s="14">
        <f>IF(ISNUMBER(J81), (J81 - $B81) / $B81, "")</f>
        <v>-0.10396039603960396</v>
      </c>
      <c r="L81" s="16">
        <f>IF(ISNUMBER(J81), $B91 * K81, "")</f>
        <v>-10396.039603960395</v>
      </c>
      <c r="M81" s="29">
        <v>168</v>
      </c>
      <c r="N81" s="14">
        <f>IF(ISNUMBER(M81), (M81 - $B81) / $B81, "")</f>
        <v>-0.16831683168316833</v>
      </c>
      <c r="O81" s="16">
        <f>IF(ISNUMBER(M81), $B91 * N81, "")</f>
        <v>-16831.683168316831</v>
      </c>
      <c r="Q81" s="239"/>
      <c r="R81" s="240"/>
      <c r="S81" s="241"/>
    </row>
    <row r="82" spans="1:19" ht="17.25" thickBot="1">
      <c r="A82" s="162" t="s">
        <v>262</v>
      </c>
      <c r="B82" s="126">
        <v>657</v>
      </c>
      <c r="C82" s="77">
        <v>1.38888889E-2</v>
      </c>
      <c r="D82" s="15">
        <v>568</v>
      </c>
      <c r="E82" s="32">
        <f t="shared" ref="E82:E85" si="38">IF(ISNUMBER(D82), (D82 - $B82) / $B82, "")</f>
        <v>-0.13546423135464231</v>
      </c>
      <c r="F82" s="18">
        <f>IF(ISNUMBER(D82), $B91 * E82, "")</f>
        <v>-13546.423135464231</v>
      </c>
      <c r="G82" s="31">
        <v>570</v>
      </c>
      <c r="H82" s="32">
        <f t="shared" ref="H82:H85" si="39">IF(ISNUMBER(G82), (G82 - $B82) / $B82, "")</f>
        <v>-0.13242009132420091</v>
      </c>
      <c r="I82" s="101">
        <f>IF(ISNUMBER(G82), $B91 * H82, "")</f>
        <v>-13242.009132420091</v>
      </c>
      <c r="J82" s="15">
        <v>569</v>
      </c>
      <c r="K82" s="32">
        <f t="shared" ref="K82:K85" si="40">IF(ISNUMBER(J82), (J82 - $B82) / $B82, "")</f>
        <v>-0.13394216133942161</v>
      </c>
      <c r="L82" s="18">
        <f>IF(ISNUMBER(J82), $B91 * K82, "")</f>
        <v>-13394.21613394216</v>
      </c>
      <c r="M82" s="31">
        <v>535</v>
      </c>
      <c r="N82" s="32">
        <f t="shared" ref="N82:N85" si="41">IF(ISNUMBER(M82), (M82 - $B82) / $B82, "")</f>
        <v>-0.18569254185692541</v>
      </c>
      <c r="O82" s="18">
        <f>IF(ISNUMBER(M82), $B91 * N82, "")</f>
        <v>-18569.254185692542</v>
      </c>
      <c r="Q82" s="242"/>
      <c r="R82" s="243"/>
      <c r="S82" s="244"/>
    </row>
    <row r="83" spans="1:19" ht="17.25" thickBot="1">
      <c r="A83" s="162" t="s">
        <v>238</v>
      </c>
      <c r="B83" s="126">
        <v>190</v>
      </c>
      <c r="C83" s="77">
        <v>1.06382979E-2</v>
      </c>
      <c r="D83" s="15">
        <v>166</v>
      </c>
      <c r="E83" s="32">
        <f t="shared" si="38"/>
        <v>-0.12631578947368421</v>
      </c>
      <c r="F83" s="18">
        <f>IF(ISNUMBER(D83), $B91 * E83, "")</f>
        <v>-12631.578947368422</v>
      </c>
      <c r="G83" s="31">
        <v>169</v>
      </c>
      <c r="H83" s="32">
        <f t="shared" si="39"/>
        <v>-0.11052631578947368</v>
      </c>
      <c r="I83" s="101">
        <f>IF(ISNUMBER(G83), $B91 * H83, "")</f>
        <v>-11052.631578947368</v>
      </c>
      <c r="J83" s="15">
        <v>165</v>
      </c>
      <c r="K83" s="32">
        <f t="shared" si="40"/>
        <v>-0.13157894736842105</v>
      </c>
      <c r="L83" s="18">
        <f>IF(ISNUMBER(J83), $B91 * K83, "")</f>
        <v>-13157.894736842105</v>
      </c>
      <c r="M83" s="31">
        <v>155</v>
      </c>
      <c r="N83" s="32">
        <f t="shared" si="41"/>
        <v>-0.18421052631578946</v>
      </c>
      <c r="O83" s="18">
        <f>IF(ISNUMBER(M83), $B91 * N83, "")</f>
        <v>-18421.052631578947</v>
      </c>
      <c r="Q83" s="235"/>
      <c r="R83" s="235"/>
      <c r="S83" s="235"/>
    </row>
    <row r="84" spans="1:19" ht="17.25" thickBot="1">
      <c r="A84" s="162" t="s">
        <v>200</v>
      </c>
      <c r="B84" s="126">
        <v>225</v>
      </c>
      <c r="C84" s="77">
        <v>8.9686099000000005E-3</v>
      </c>
      <c r="D84" s="15">
        <v>189</v>
      </c>
      <c r="E84" s="32">
        <f t="shared" si="38"/>
        <v>-0.16</v>
      </c>
      <c r="F84" s="18">
        <f>IF(ISNUMBER(D84), $B91 * E84, "")</f>
        <v>-16000</v>
      </c>
      <c r="G84" s="31">
        <v>190</v>
      </c>
      <c r="H84" s="32">
        <f t="shared" si="39"/>
        <v>-0.15555555555555556</v>
      </c>
      <c r="I84" s="101">
        <f>IF(ISNUMBER(G84), $B91 * H84, "")</f>
        <v>-15555.555555555557</v>
      </c>
      <c r="J84" s="15">
        <v>192</v>
      </c>
      <c r="K84" s="32">
        <f t="shared" si="40"/>
        <v>-0.14666666666666667</v>
      </c>
      <c r="L84" s="18">
        <f>IF(ISNUMBER(J84), $B91 * K84, "")</f>
        <v>-14666.666666666666</v>
      </c>
      <c r="M84" s="31">
        <v>175</v>
      </c>
      <c r="N84" s="32">
        <f t="shared" si="41"/>
        <v>-0.22222222222222221</v>
      </c>
      <c r="O84" s="18">
        <f>IF(ISNUMBER(M84), $B91 * N84, "")</f>
        <v>-22222.222222222223</v>
      </c>
      <c r="Q84" s="245"/>
      <c r="R84" s="245"/>
      <c r="S84" s="245"/>
    </row>
    <row r="85" spans="1:19" ht="17.25" thickBot="1">
      <c r="A85" s="163" t="s">
        <v>202</v>
      </c>
      <c r="B85" s="128">
        <v>129</v>
      </c>
      <c r="C85" s="78">
        <v>7.8125E-3</v>
      </c>
      <c r="D85" s="20">
        <v>111</v>
      </c>
      <c r="E85" s="21">
        <f t="shared" si="38"/>
        <v>-0.13953488372093023</v>
      </c>
      <c r="F85" s="22">
        <f>IF(ISNUMBER(D85), $B91 * E85, "")</f>
        <v>-13953.488372093023</v>
      </c>
      <c r="G85" s="30">
        <v>108</v>
      </c>
      <c r="H85" s="21">
        <f t="shared" si="39"/>
        <v>-0.16279069767441862</v>
      </c>
      <c r="I85" s="105">
        <f>IF(ISNUMBER(G85), $B91 * H85, "")</f>
        <v>-16279.069767441862</v>
      </c>
      <c r="J85" s="20">
        <v>108</v>
      </c>
      <c r="K85" s="21">
        <f t="shared" si="40"/>
        <v>-0.16279069767441862</v>
      </c>
      <c r="L85" s="22">
        <f>IF(ISNUMBER(J85), $B91 * K85, "")</f>
        <v>-16279.069767441862</v>
      </c>
      <c r="M85" s="30">
        <v>102</v>
      </c>
      <c r="N85" s="21">
        <f t="shared" si="41"/>
        <v>-0.20930232558139536</v>
      </c>
      <c r="O85" s="22">
        <f>IF(ISNUMBER(M85), $B91 * N85, "")</f>
        <v>-20930.232558139534</v>
      </c>
      <c r="Q85" s="245"/>
      <c r="R85" s="245"/>
      <c r="S85" s="245"/>
    </row>
    <row r="86" spans="1:19" ht="17.25" thickBot="1">
      <c r="A86" s="162" t="s">
        <v>120</v>
      </c>
      <c r="B86" s="129">
        <v>145</v>
      </c>
      <c r="C86" s="80">
        <v>6.9444444000000003E-3</v>
      </c>
      <c r="D86" s="106">
        <v>130</v>
      </c>
      <c r="E86" s="107">
        <f>IF(ISNUMBER(D86), (D86 - $B86) / $B86, "")</f>
        <v>-0.10344827586206896</v>
      </c>
      <c r="F86" s="108">
        <f>IF(ISNUMBER(D86), $B91 * E86, "")</f>
        <v>-10344.827586206897</v>
      </c>
      <c r="G86" s="109">
        <v>131</v>
      </c>
      <c r="H86" s="107">
        <f>IF(ISNUMBER(G86), (G86 - $B86) / $B86, "")</f>
        <v>-9.6551724137931033E-2</v>
      </c>
      <c r="I86" s="110">
        <f>IF(ISNUMBER(G86), $B91 * H86, "")</f>
        <v>-9655.1724137931033</v>
      </c>
      <c r="J86" s="106">
        <v>133</v>
      </c>
      <c r="K86" s="107">
        <f>IF(ISNUMBER(J86), (J86 - $B86) / $B86, "")</f>
        <v>-8.2758620689655171E-2</v>
      </c>
      <c r="L86" s="108">
        <f>IF(ISNUMBER(J86), $B91 * K86, "")</f>
        <v>-8275.8620689655163</v>
      </c>
      <c r="M86" s="109">
        <v>126</v>
      </c>
      <c r="N86" s="107">
        <f>IF(ISNUMBER(M86), (M86 - $B86) / $B86, "")</f>
        <v>-0.1310344827586207</v>
      </c>
      <c r="O86" s="108">
        <f>IF(ISNUMBER(M86), $B91 * N86, "")</f>
        <v>-13103.448275862071</v>
      </c>
      <c r="Q86" s="235"/>
      <c r="R86" s="235"/>
      <c r="S86" s="235"/>
    </row>
    <row r="87" spans="1:19" ht="17.25" thickBot="1">
      <c r="A87" s="162" t="s">
        <v>136</v>
      </c>
      <c r="B87" s="126">
        <v>146</v>
      </c>
      <c r="C87" s="77">
        <v>6.8965516999999997E-3</v>
      </c>
      <c r="D87" s="15">
        <v>125</v>
      </c>
      <c r="E87" s="32">
        <f t="shared" ref="E87:E90" si="42">IF(ISNUMBER(D87), (D87 - $B87) / $B87, "")</f>
        <v>-0.14383561643835616</v>
      </c>
      <c r="F87" s="18">
        <f>IF(ISNUMBER(D87), $B91 * E87, "")</f>
        <v>-14383.561643835616</v>
      </c>
      <c r="G87" s="31">
        <v>124</v>
      </c>
      <c r="H87" s="32">
        <f t="shared" ref="H87:H90" si="43">IF(ISNUMBER(G87), (G87 - $B87) / $B87, "")</f>
        <v>-0.15068493150684931</v>
      </c>
      <c r="I87" s="101">
        <f>IF(ISNUMBER(G87), $B91 * H87, "")</f>
        <v>-15068.49315068493</v>
      </c>
      <c r="J87" s="15">
        <v>126</v>
      </c>
      <c r="K87" s="32">
        <f t="shared" ref="K87:K90" si="44">IF(ISNUMBER(J87), (J87 - $B87) / $B87, "")</f>
        <v>-0.13698630136986301</v>
      </c>
      <c r="L87" s="18">
        <f>IF(ISNUMBER(J87), $B91 * K87, "")</f>
        <v>-13698.630136986301</v>
      </c>
      <c r="M87" s="31">
        <v>118</v>
      </c>
      <c r="N87" s="32">
        <f t="shared" ref="N87:N90" si="45">IF(ISNUMBER(M87), (M87 - $B87) / $B87, "")</f>
        <v>-0.19178082191780821</v>
      </c>
      <c r="O87" s="18">
        <f>IF(ISNUMBER(M87), $B91 * N87, "")</f>
        <v>-19178.082191780821</v>
      </c>
      <c r="Q87" s="235"/>
      <c r="R87" s="235"/>
      <c r="S87" s="235"/>
    </row>
    <row r="88" spans="1:19" ht="17.25" thickBot="1">
      <c r="A88" s="162" t="s">
        <v>256</v>
      </c>
      <c r="B88" s="126">
        <v>181</v>
      </c>
      <c r="C88" s="77">
        <v>5.5555556000000004E-3</v>
      </c>
      <c r="D88" s="15">
        <v>155</v>
      </c>
      <c r="E88" s="32">
        <f t="shared" si="42"/>
        <v>-0.143646408839779</v>
      </c>
      <c r="F88" s="18">
        <f>IF(ISNUMBER(D88), $B91 * E88, "")</f>
        <v>-14364.6408839779</v>
      </c>
      <c r="G88" s="31">
        <v>156</v>
      </c>
      <c r="H88" s="32">
        <f t="shared" si="43"/>
        <v>-0.13812154696132597</v>
      </c>
      <c r="I88" s="101">
        <f>IF(ISNUMBER(G88), $B91 * H88, "")</f>
        <v>-13812.154696132597</v>
      </c>
      <c r="J88" s="15">
        <v>158</v>
      </c>
      <c r="K88" s="32">
        <f t="shared" si="44"/>
        <v>-0.1270718232044199</v>
      </c>
      <c r="L88" s="18">
        <f>IF(ISNUMBER(J88), $B91 * K88, "")</f>
        <v>-12707.182320441991</v>
      </c>
      <c r="M88" s="31">
        <v>148</v>
      </c>
      <c r="N88" s="32">
        <f t="shared" si="45"/>
        <v>-0.18232044198895028</v>
      </c>
      <c r="O88" s="18">
        <f>IF(ISNUMBER(M88), $B91 * N88, "")</f>
        <v>-18232.04419889503</v>
      </c>
      <c r="Q88" s="235"/>
      <c r="R88" s="235"/>
      <c r="S88" s="235"/>
    </row>
    <row r="89" spans="1:19">
      <c r="A89" s="162" t="s">
        <v>80</v>
      </c>
      <c r="B89" s="126">
        <v>893</v>
      </c>
      <c r="C89" s="77">
        <v>4.4994376000000004E-3</v>
      </c>
      <c r="D89" s="15">
        <v>782</v>
      </c>
      <c r="E89" s="32">
        <f t="shared" si="42"/>
        <v>-0.12430011198208286</v>
      </c>
      <c r="F89" s="18">
        <f>IF(ISNUMBER(D89), $B91 * E89, "")</f>
        <v>-12430.011198208287</v>
      </c>
      <c r="G89" s="31">
        <v>781</v>
      </c>
      <c r="H89" s="32">
        <f t="shared" si="43"/>
        <v>-0.12541993281075028</v>
      </c>
      <c r="I89" s="101">
        <f>IF(ISNUMBER(G89), $B91 * H89, "")</f>
        <v>-12541.993281075029</v>
      </c>
      <c r="J89" s="15">
        <v>790</v>
      </c>
      <c r="K89" s="32">
        <f t="shared" si="44"/>
        <v>-0.11534154535274356</v>
      </c>
      <c r="L89" s="18">
        <f>IF(ISNUMBER(J89), $B91 * K89, "")</f>
        <v>-11534.154535274356</v>
      </c>
      <c r="M89" s="31">
        <v>730</v>
      </c>
      <c r="N89" s="32">
        <f t="shared" si="45"/>
        <v>-0.18253079507278835</v>
      </c>
      <c r="O89" s="18">
        <f>IF(ISNUMBER(M89), $B91 * N89, "")</f>
        <v>-18253.079507278835</v>
      </c>
      <c r="Q89" s="224"/>
      <c r="R89" s="225"/>
      <c r="S89" s="226"/>
    </row>
    <row r="90" spans="1:19" ht="17.25" thickBot="1">
      <c r="A90" s="130" t="s">
        <v>168</v>
      </c>
      <c r="B90" s="131">
        <v>109</v>
      </c>
      <c r="C90" s="79">
        <v>0</v>
      </c>
      <c r="D90" s="24">
        <v>93.3</v>
      </c>
      <c r="E90" s="25">
        <f t="shared" si="42"/>
        <v>-0.14403669724770646</v>
      </c>
      <c r="F90" s="104">
        <f>IF(ISNUMBER(D90), $B91 * E90, "")</f>
        <v>-14403.669724770645</v>
      </c>
      <c r="G90" s="102">
        <v>93.3</v>
      </c>
      <c r="H90" s="25">
        <f t="shared" si="43"/>
        <v>-0.14403669724770646</v>
      </c>
      <c r="I90" s="103">
        <f>IF(ISNUMBER(G90), $B91 * H90, "")</f>
        <v>-14403.669724770645</v>
      </c>
      <c r="J90" s="24">
        <v>94</v>
      </c>
      <c r="K90" s="25">
        <f t="shared" si="44"/>
        <v>-0.13761467889908258</v>
      </c>
      <c r="L90" s="104">
        <f>IF(ISNUMBER(J90), $B91 * K90, "")</f>
        <v>-13761.467889908257</v>
      </c>
      <c r="M90" s="102">
        <v>88.2</v>
      </c>
      <c r="N90" s="25">
        <f t="shared" si="45"/>
        <v>-0.19082568807339448</v>
      </c>
      <c r="O90" s="104">
        <f>IF(ISNUMBER(M90), $B91 * N90, "")</f>
        <v>-19082.568807339449</v>
      </c>
      <c r="Q90" s="227"/>
      <c r="R90" s="228"/>
      <c r="S90" s="229"/>
    </row>
    <row r="91" spans="1:19" ht="17.25" thickBot="1">
      <c r="A91" s="132" t="s">
        <v>300</v>
      </c>
      <c r="B91" s="288">
        <f>$B$37</f>
        <v>100000</v>
      </c>
      <c r="C91" s="289"/>
      <c r="D91" s="26" t="s">
        <v>301</v>
      </c>
      <c r="E91" s="27">
        <f>IF(COUNT(E71:E90), SUM(E71:E90) / COUNT(E71:E90), 0)</f>
        <v>-0.11757378928947718</v>
      </c>
      <c r="F91" s="28">
        <f>SUM(F71:F90)</f>
        <v>-235147.57857895433</v>
      </c>
      <c r="G91" s="26" t="s">
        <v>301</v>
      </c>
      <c r="H91" s="27">
        <f>IF(COUNT(H71:H90), SUM(H71:H90) / COUNT(H71:H90), 0)</f>
        <v>-0.10879061950965581</v>
      </c>
      <c r="I91" s="28">
        <f>SUM(I71:I90)</f>
        <v>-217581.23901931164</v>
      </c>
      <c r="J91" s="26" t="s">
        <v>301</v>
      </c>
      <c r="K91" s="27">
        <f>IF(COUNT(K71:K90), SUM(K71:K90) / COUNT(K71:K90), 0)</f>
        <v>-0.10780033201359636</v>
      </c>
      <c r="L91" s="28">
        <f>SUM(L71:L90)</f>
        <v>-215600.66402719272</v>
      </c>
      <c r="M91" s="26" t="s">
        <v>301</v>
      </c>
      <c r="N91" s="27">
        <f>IF(COUNT(N71:N90), SUM(N71:N90) / COUNT(N71:N90), 0)</f>
        <v>-0.16819174464620862</v>
      </c>
      <c r="O91" s="28">
        <f>SUM(O71:O90)</f>
        <v>-336383.48929241742</v>
      </c>
      <c r="Q91" s="230"/>
      <c r="R91" s="231"/>
      <c r="S91" s="232"/>
    </row>
    <row r="93" spans="1:19" ht="17.25" thickBot="1"/>
    <row r="94" spans="1:19" ht="17.25" thickBot="1">
      <c r="A94" s="246" t="s">
        <v>46</v>
      </c>
      <c r="B94" s="247"/>
      <c r="C94" s="247"/>
      <c r="D94" s="247"/>
      <c r="E94" s="247"/>
      <c r="F94" s="247"/>
      <c r="G94" s="247"/>
      <c r="H94" s="247"/>
      <c r="I94" s="247"/>
      <c r="J94" s="247"/>
      <c r="K94" s="247"/>
      <c r="L94" s="247"/>
      <c r="M94" s="247"/>
      <c r="N94" s="247"/>
      <c r="O94" s="248"/>
      <c r="Q94" s="245"/>
      <c r="R94" s="245"/>
      <c r="S94" s="245"/>
    </row>
    <row r="95" spans="1:19" ht="17.25" thickBot="1">
      <c r="A95" s="188" t="s">
        <v>297</v>
      </c>
      <c r="B95" s="246" t="s">
        <v>49</v>
      </c>
      <c r="C95" s="248"/>
      <c r="D95" s="246" t="s">
        <v>58</v>
      </c>
      <c r="E95" s="247"/>
      <c r="F95" s="248"/>
      <c r="G95" s="249">
        <f>_xlfn.IFNA(VLOOKUP(B95, 현재가테이블!$B$2:$D$200, 2, FALSE), "-")</f>
        <v>45335000</v>
      </c>
      <c r="H95" s="250"/>
      <c r="I95" s="251"/>
      <c r="J95" s="246" t="s">
        <v>59</v>
      </c>
      <c r="K95" s="247"/>
      <c r="L95" s="248"/>
      <c r="M95" s="252">
        <f>_xlfn.IFNA(VLOOKUP(B95, 현재가테이블!$B$2:$D$200, 3, FALSE), "-")</f>
        <v>-2.27209037E-2</v>
      </c>
      <c r="N95" s="253"/>
      <c r="O95" s="254"/>
      <c r="Q95" s="245"/>
      <c r="R95" s="245"/>
      <c r="S95" s="245"/>
    </row>
    <row r="96" spans="1:19" ht="17.25" thickBot="1">
      <c r="A96" s="290" t="s">
        <v>55</v>
      </c>
      <c r="B96" s="286" t="str">
        <f>TEXT($G$1, "[$-ko-KR]yyyy-mm-dd(ddd) ") &amp; "오전 00:00"</f>
        <v>2021-06-08(화) 오전 00:00</v>
      </c>
      <c r="C96" s="287"/>
      <c r="D96" s="259" t="str">
        <f>TEXT($G$1, "[$-ko-KR]yyyy-mm-dd(ddd) ") &amp; "오후 14:00"</f>
        <v>2021-06-08(화) 오후 14:00</v>
      </c>
      <c r="E96" s="260"/>
      <c r="F96" s="261"/>
      <c r="G96" s="259" t="str">
        <f>TEXT($G$1, "[$-ko-KR]yyyy-mm-dd(ddd) ") &amp; "오후 19:00"</f>
        <v>2021-06-08(화) 오후 19:00</v>
      </c>
      <c r="H96" s="260"/>
      <c r="I96" s="261"/>
      <c r="J96" s="259" t="str">
        <f>TEXT($G$1, "[$-ko-KR]yyyy-mm-dd(ddd) ") &amp; "오후 21:00"</f>
        <v>2021-06-08(화) 오후 21:00</v>
      </c>
      <c r="K96" s="260"/>
      <c r="L96" s="261"/>
      <c r="M96" s="259" t="str">
        <f>TEXT($G$1+1, "[$-ko-KR]yyyy-mm-dd(ddd) ") &amp; "오전 00:00"</f>
        <v>2021-06-09(수) 오전 00:00</v>
      </c>
      <c r="N96" s="260"/>
      <c r="O96" s="261"/>
      <c r="Q96" s="245"/>
      <c r="R96" s="245"/>
      <c r="S96" s="245"/>
    </row>
    <row r="97" spans="1:19" ht="17.25" thickBot="1">
      <c r="A97" s="291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89" t="s">
        <v>58</v>
      </c>
      <c r="H97" s="190" t="s">
        <v>298</v>
      </c>
      <c r="I97" s="191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5"/>
      <c r="R97" s="235"/>
      <c r="S97" s="235"/>
    </row>
    <row r="98" spans="1:19" ht="17.25" thickBot="1">
      <c r="A98" s="161" t="s">
        <v>180</v>
      </c>
      <c r="B98" s="124">
        <v>3675</v>
      </c>
      <c r="C98" s="76">
        <v>0.28721541160000003</v>
      </c>
      <c r="D98" s="13">
        <v>2970</v>
      </c>
      <c r="E98" s="14">
        <f>IF(ISNUMBER(D98), (D98 - $B98) / $B98, "")</f>
        <v>-0.19183673469387755</v>
      </c>
      <c r="F98" s="16">
        <f>IF(ISNUMBER(D98), $B118 * E98, "")</f>
        <v>-19183.673469387755</v>
      </c>
      <c r="G98" s="29">
        <v>2945</v>
      </c>
      <c r="H98" s="14">
        <f>IF(ISNUMBER(G98), (G98 - $B98) / $B98, "")</f>
        <v>-0.19863945578231293</v>
      </c>
      <c r="I98" s="100">
        <f>IF(ISNUMBER(G98), $B118 * H98, "")</f>
        <v>-19863.945578231294</v>
      </c>
      <c r="J98" s="13">
        <v>2985</v>
      </c>
      <c r="K98" s="14">
        <f>IF(ISNUMBER(J98), (J98 - $B98) / $B98, "")</f>
        <v>-0.18775510204081633</v>
      </c>
      <c r="L98" s="16">
        <f>IF(ISNUMBER(J98), $B118 * K98, "")</f>
        <v>-18775.510204081635</v>
      </c>
      <c r="M98" s="29">
        <v>2720</v>
      </c>
      <c r="N98" s="14">
        <f>IF(ISNUMBER(M98), (M98 - $B98) / $B98, "")</f>
        <v>-0.25986394557823128</v>
      </c>
      <c r="O98" s="16">
        <f>IF(ISNUMBER(M98), $B118 * N98, "")</f>
        <v>-25986.394557823129</v>
      </c>
      <c r="Q98" s="245"/>
      <c r="R98" s="245"/>
      <c r="S98" s="245"/>
    </row>
    <row r="99" spans="1:19" ht="17.25" thickBot="1">
      <c r="A99" s="162" t="s">
        <v>142</v>
      </c>
      <c r="B99" s="126">
        <v>567</v>
      </c>
      <c r="C99" s="77">
        <v>0.107421875</v>
      </c>
      <c r="D99" s="15">
        <v>591</v>
      </c>
      <c r="E99" s="32">
        <f t="shared" ref="E99:E102" si="46">IF(ISNUMBER(D99), (D99 - $B99) / $B99, "")</f>
        <v>4.2328042328042326E-2</v>
      </c>
      <c r="F99" s="18">
        <f>IF(ISNUMBER(D99), $B118 * E99, "")</f>
        <v>4232.8042328042329</v>
      </c>
      <c r="G99" s="31">
        <v>690</v>
      </c>
      <c r="H99" s="32">
        <f t="shared" ref="H99:H102" si="47">IF(ISNUMBER(G99), (G99 - $B99) / $B99, "")</f>
        <v>0.21693121693121692</v>
      </c>
      <c r="I99" s="101">
        <f>IF(ISNUMBER(G99), $B118 * H99, "")</f>
        <v>21693.121693121691</v>
      </c>
      <c r="J99" s="15">
        <v>673</v>
      </c>
      <c r="K99" s="32">
        <f t="shared" ref="K99:K102" si="48">IF(ISNUMBER(J99), (J99 - $B99) / $B99, "")</f>
        <v>0.18694885361552027</v>
      </c>
      <c r="L99" s="18">
        <f>IF(ISNUMBER(J99), $B118 * K99, "")</f>
        <v>18694.885361552027</v>
      </c>
      <c r="M99" s="31">
        <v>616</v>
      </c>
      <c r="N99" s="32">
        <f t="shared" ref="N99:N102" si="49">IF(ISNUMBER(M99), (M99 - $B99) / $B99, "")</f>
        <v>8.6419753086419748E-2</v>
      </c>
      <c r="O99" s="18">
        <f>IF(ISNUMBER(M99), $B118 * N99, "")</f>
        <v>8641.9753086419751</v>
      </c>
      <c r="Q99" s="245"/>
      <c r="R99" s="245"/>
      <c r="S99" s="245"/>
    </row>
    <row r="100" spans="1:19" ht="17.25" thickBot="1">
      <c r="A100" s="162" t="s">
        <v>276</v>
      </c>
      <c r="B100" s="126">
        <v>3610</v>
      </c>
      <c r="C100" s="77">
        <v>9.5599393000000005E-2</v>
      </c>
      <c r="D100" s="15">
        <v>2985</v>
      </c>
      <c r="E100" s="32">
        <f t="shared" si="46"/>
        <v>-0.17313019390581719</v>
      </c>
      <c r="F100" s="18">
        <f>IF(ISNUMBER(D100), $B118 * E100, "")</f>
        <v>-17313.019390581718</v>
      </c>
      <c r="G100" s="31">
        <v>2950</v>
      </c>
      <c r="H100" s="32">
        <f t="shared" si="47"/>
        <v>-0.18282548476454294</v>
      </c>
      <c r="I100" s="101">
        <f>IF(ISNUMBER(G100), $B118 * H100, "")</f>
        <v>-18282.548476454293</v>
      </c>
      <c r="J100" s="15">
        <v>2980</v>
      </c>
      <c r="K100" s="32">
        <f t="shared" si="48"/>
        <v>-0.17451523545706371</v>
      </c>
      <c r="L100" s="18">
        <f>IF(ISNUMBER(J100), $B118 * K100, "")</f>
        <v>-17451.523545706372</v>
      </c>
      <c r="M100" s="31">
        <v>2780</v>
      </c>
      <c r="N100" s="32">
        <f t="shared" si="49"/>
        <v>-0.22991689750692521</v>
      </c>
      <c r="O100" s="18">
        <f>IF(ISNUMBER(M100), $B118 * N100, "")</f>
        <v>-22991.68975069252</v>
      </c>
      <c r="Q100" s="235"/>
      <c r="R100" s="235"/>
      <c r="S100" s="235"/>
    </row>
    <row r="101" spans="1:19" ht="17.25" thickBot="1">
      <c r="A101" s="162" t="s">
        <v>282</v>
      </c>
      <c r="B101" s="126">
        <v>122</v>
      </c>
      <c r="C101" s="77">
        <v>8.9285714299999999E-2</v>
      </c>
      <c r="D101" s="15">
        <v>108</v>
      </c>
      <c r="E101" s="32">
        <f t="shared" si="46"/>
        <v>-0.11475409836065574</v>
      </c>
      <c r="F101" s="18">
        <f>IF(ISNUMBER(D101), $B118 * E101, "")</f>
        <v>-11475.409836065573</v>
      </c>
      <c r="G101" s="31">
        <v>108</v>
      </c>
      <c r="H101" s="32">
        <f t="shared" si="47"/>
        <v>-0.11475409836065574</v>
      </c>
      <c r="I101" s="101">
        <f>IF(ISNUMBER(G101), $B118 * H101, "")</f>
        <v>-11475.409836065573</v>
      </c>
      <c r="J101" s="15">
        <v>107</v>
      </c>
      <c r="K101" s="32">
        <f t="shared" si="48"/>
        <v>-0.12295081967213115</v>
      </c>
      <c r="L101" s="18">
        <f>IF(ISNUMBER(J101), $B118 * K101, "")</f>
        <v>-12295.081967213115</v>
      </c>
      <c r="M101" s="31">
        <v>102</v>
      </c>
      <c r="N101" s="32">
        <f t="shared" si="49"/>
        <v>-0.16393442622950818</v>
      </c>
      <c r="O101" s="18">
        <f>IF(ISNUMBER(M101), $B118 * N101, "")</f>
        <v>-16393.442622950817</v>
      </c>
      <c r="Q101" s="235"/>
      <c r="R101" s="235"/>
      <c r="S101" s="235"/>
    </row>
    <row r="102" spans="1:19" ht="17.25" thickBot="1">
      <c r="A102" s="163" t="s">
        <v>230</v>
      </c>
      <c r="B102" s="128">
        <v>124</v>
      </c>
      <c r="C102" s="78">
        <v>8.7719298200000004E-2</v>
      </c>
      <c r="D102" s="20">
        <v>109</v>
      </c>
      <c r="E102" s="21">
        <f t="shared" si="46"/>
        <v>-0.12096774193548387</v>
      </c>
      <c r="F102" s="22">
        <f>IF(ISNUMBER(D102), $B118 * E102, "")</f>
        <v>-12096.774193548388</v>
      </c>
      <c r="G102" s="30">
        <v>108</v>
      </c>
      <c r="H102" s="21">
        <f t="shared" si="47"/>
        <v>-0.12903225806451613</v>
      </c>
      <c r="I102" s="105">
        <f>IF(ISNUMBER(G102), $B118 * H102, "")</f>
        <v>-12903.225806451612</v>
      </c>
      <c r="J102" s="20">
        <v>109</v>
      </c>
      <c r="K102" s="21">
        <f t="shared" si="48"/>
        <v>-0.12096774193548387</v>
      </c>
      <c r="L102" s="22">
        <f>IF(ISNUMBER(J102), $B118 * K102, "")</f>
        <v>-12096.774193548388</v>
      </c>
      <c r="M102" s="30">
        <v>102</v>
      </c>
      <c r="N102" s="21">
        <f t="shared" si="49"/>
        <v>-0.17741935483870969</v>
      </c>
      <c r="O102" s="22">
        <f>IF(ISNUMBER(M102), $B118 * N102, "")</f>
        <v>-17741.93548387097</v>
      </c>
      <c r="Q102" s="235"/>
      <c r="R102" s="235"/>
      <c r="S102" s="235"/>
    </row>
    <row r="103" spans="1:19" ht="17.25" thickBot="1">
      <c r="A103" s="162" t="s">
        <v>220</v>
      </c>
      <c r="B103" s="129">
        <v>13</v>
      </c>
      <c r="C103" s="80">
        <v>8.3333333300000006E-2</v>
      </c>
      <c r="D103" s="106">
        <v>10.9</v>
      </c>
      <c r="E103" s="107">
        <f>IF(ISNUMBER(D103), (D103 - $B103) / $B103, "")</f>
        <v>-0.16153846153846152</v>
      </c>
      <c r="F103" s="108">
        <f>IF(ISNUMBER(D103), $B118 * E103, "")</f>
        <v>-16153.846153846152</v>
      </c>
      <c r="G103" s="109">
        <v>11.1</v>
      </c>
      <c r="H103" s="107">
        <f>IF(ISNUMBER(G103), (G103 - $B103) / $B103, "")</f>
        <v>-0.14615384615384619</v>
      </c>
      <c r="I103" s="110">
        <f>IF(ISNUMBER(G103), $B118 * H103, "")</f>
        <v>-14615.384615384619</v>
      </c>
      <c r="J103" s="106">
        <v>11</v>
      </c>
      <c r="K103" s="107">
        <f>IF(ISNUMBER(J103), (J103 - $B103) / $B103, "")</f>
        <v>-0.15384615384615385</v>
      </c>
      <c r="L103" s="108">
        <f>IF(ISNUMBER(J103), $B118 * K103, "")</f>
        <v>-15384.615384615385</v>
      </c>
      <c r="M103" s="109">
        <v>10.3</v>
      </c>
      <c r="N103" s="107">
        <f>IF(ISNUMBER(M103), (M103 - $B103) / $B103, "")</f>
        <v>-0.20769230769230765</v>
      </c>
      <c r="O103" s="108">
        <f>IF(ISNUMBER(M103), $B118 * N103, "")</f>
        <v>-20769.230769230766</v>
      </c>
      <c r="Q103" s="235"/>
      <c r="R103" s="235"/>
      <c r="S103" s="235"/>
    </row>
    <row r="104" spans="1:19" ht="17.25" thickBot="1">
      <c r="A104" s="162" t="s">
        <v>114</v>
      </c>
      <c r="B104" s="126">
        <v>11090</v>
      </c>
      <c r="C104" s="77">
        <v>7.6699029099999996E-2</v>
      </c>
      <c r="D104" s="15">
        <v>10140</v>
      </c>
      <c r="E104" s="32">
        <f t="shared" ref="E104:E107" si="50">IF(ISNUMBER(D104), (D104 - $B104) / $B104, "")</f>
        <v>-8.5662759242560865E-2</v>
      </c>
      <c r="F104" s="18">
        <f>IF(ISNUMBER(D104), $B118 * E104, "")</f>
        <v>-8566.275924256086</v>
      </c>
      <c r="G104" s="31">
        <v>11090</v>
      </c>
      <c r="H104" s="32">
        <f t="shared" ref="H104:H107" si="51">IF(ISNUMBER(G104), (G104 - $B104) / $B104, "")</f>
        <v>0</v>
      </c>
      <c r="I104" s="101">
        <f>IF(ISNUMBER(G104), $B118 * H104, "")</f>
        <v>0</v>
      </c>
      <c r="J104" s="15">
        <v>10900</v>
      </c>
      <c r="K104" s="32">
        <f t="shared" ref="K104:K107" si="52">IF(ISNUMBER(J104), (J104 - $B104) / $B104, "")</f>
        <v>-1.7132551848512173E-2</v>
      </c>
      <c r="L104" s="18">
        <f>IF(ISNUMBER(J104), $B118 * K104, "")</f>
        <v>-1713.2551848512173</v>
      </c>
      <c r="M104" s="31">
        <v>9865</v>
      </c>
      <c r="N104" s="32">
        <f t="shared" ref="N104:N107" si="53">IF(ISNUMBER(M104), (M104 - $B104) / $B104, "")</f>
        <v>-0.11045987376014428</v>
      </c>
      <c r="O104" s="18">
        <f>IF(ISNUMBER(M104), $B118 * N104, "")</f>
        <v>-11045.987376014427</v>
      </c>
      <c r="Q104" s="235"/>
      <c r="R104" s="235"/>
      <c r="S104" s="235"/>
    </row>
    <row r="105" spans="1:19" ht="17.25" thickBot="1">
      <c r="A105" s="162" t="s">
        <v>272</v>
      </c>
      <c r="B105" s="126">
        <v>1515</v>
      </c>
      <c r="C105" s="77">
        <v>6.6901408499999995E-2</v>
      </c>
      <c r="D105" s="15">
        <v>1285</v>
      </c>
      <c r="E105" s="32">
        <f t="shared" si="50"/>
        <v>-0.15181518151815182</v>
      </c>
      <c r="F105" s="18">
        <f>IF(ISNUMBER(D105), $B118 * E105, "")</f>
        <v>-15181.518151815182</v>
      </c>
      <c r="G105" s="31">
        <v>1280</v>
      </c>
      <c r="H105" s="32">
        <f t="shared" si="51"/>
        <v>-0.15511551155115511</v>
      </c>
      <c r="I105" s="101">
        <f>IF(ISNUMBER(G105), $B118 * H105, "")</f>
        <v>-15511.55115511551</v>
      </c>
      <c r="J105" s="15">
        <v>1290</v>
      </c>
      <c r="K105" s="32">
        <f t="shared" si="52"/>
        <v>-0.14851485148514851</v>
      </c>
      <c r="L105" s="18">
        <f>IF(ISNUMBER(J105), $B118 * K105, "")</f>
        <v>-14851.48514851485</v>
      </c>
      <c r="M105" s="31">
        <v>1195</v>
      </c>
      <c r="N105" s="32">
        <f t="shared" si="53"/>
        <v>-0.21122112211221122</v>
      </c>
      <c r="O105" s="18">
        <f>IF(ISNUMBER(M105), $B118 * N105, "")</f>
        <v>-21122.112211221123</v>
      </c>
      <c r="Q105" s="235"/>
      <c r="R105" s="235"/>
      <c r="S105" s="235"/>
    </row>
    <row r="106" spans="1:19" ht="17.25" thickBot="1">
      <c r="A106" s="162" t="s">
        <v>69</v>
      </c>
      <c r="B106" s="126">
        <v>5900</v>
      </c>
      <c r="C106" s="77">
        <v>5.4512958E-2</v>
      </c>
      <c r="D106" s="15">
        <v>4925</v>
      </c>
      <c r="E106" s="32">
        <f t="shared" si="50"/>
        <v>-0.1652542372881356</v>
      </c>
      <c r="F106" s="18">
        <f>IF(ISNUMBER(D106), $B118 * E106, "")</f>
        <v>-16525.423728813559</v>
      </c>
      <c r="G106" s="31">
        <v>4840</v>
      </c>
      <c r="H106" s="32">
        <f t="shared" si="51"/>
        <v>-0.17966101694915254</v>
      </c>
      <c r="I106" s="101">
        <f>IF(ISNUMBER(G106), $B118 * H106, "")</f>
        <v>-17966.101694915254</v>
      </c>
      <c r="J106" s="15">
        <v>4930</v>
      </c>
      <c r="K106" s="32">
        <f t="shared" si="52"/>
        <v>-0.16440677966101694</v>
      </c>
      <c r="L106" s="18">
        <f>IF(ISNUMBER(J106), $B118 * K106, "")</f>
        <v>-16440.677966101695</v>
      </c>
      <c r="M106" s="31">
        <v>4520</v>
      </c>
      <c r="N106" s="32">
        <f t="shared" si="53"/>
        <v>-0.23389830508474577</v>
      </c>
      <c r="O106" s="18">
        <f>IF(ISNUMBER(M106), $B118 * N106, "")</f>
        <v>-23389.830508474577</v>
      </c>
      <c r="Q106" s="33"/>
      <c r="R106" s="33"/>
    </row>
    <row r="107" spans="1:19" ht="17.25" thickBot="1">
      <c r="A107" s="130" t="s">
        <v>194</v>
      </c>
      <c r="B107" s="131">
        <v>9415</v>
      </c>
      <c r="C107" s="79">
        <v>5.4311310199999997E-2</v>
      </c>
      <c r="D107" s="24">
        <v>8090</v>
      </c>
      <c r="E107" s="25">
        <f t="shared" si="50"/>
        <v>-0.1407328730748805</v>
      </c>
      <c r="F107" s="104">
        <f>IF(ISNUMBER(D107), $B118 * E107, "")</f>
        <v>-14073.28730748805</v>
      </c>
      <c r="G107" s="102">
        <v>8075</v>
      </c>
      <c r="H107" s="25">
        <f t="shared" si="51"/>
        <v>-0.14232607541157727</v>
      </c>
      <c r="I107" s="103">
        <f>IF(ISNUMBER(G107), $B118 * H107, "")</f>
        <v>-14232.607541157728</v>
      </c>
      <c r="J107" s="24">
        <v>8100</v>
      </c>
      <c r="K107" s="25">
        <f t="shared" si="52"/>
        <v>-0.13967073818374934</v>
      </c>
      <c r="L107" s="104">
        <f>IF(ISNUMBER(J107), $B118 * K107, "")</f>
        <v>-13967.073818374934</v>
      </c>
      <c r="M107" s="102">
        <v>7535</v>
      </c>
      <c r="N107" s="25">
        <f t="shared" si="53"/>
        <v>-0.19968135953266064</v>
      </c>
      <c r="O107" s="104">
        <f>IF(ISNUMBER(M107), $B118 * N107, "")</f>
        <v>-19968.135953266064</v>
      </c>
      <c r="Q107" s="236"/>
      <c r="R107" s="237"/>
      <c r="S107" s="238"/>
    </row>
    <row r="108" spans="1:19">
      <c r="A108" s="161" t="s">
        <v>250</v>
      </c>
      <c r="B108" s="124">
        <v>127</v>
      </c>
      <c r="C108" s="76">
        <v>4.9586776899999997E-2</v>
      </c>
      <c r="D108" s="13">
        <v>119</v>
      </c>
      <c r="E108" s="14">
        <f>IF(ISNUMBER(D108), (D108 - $B108) / $B108, "")</f>
        <v>-6.2992125984251968E-2</v>
      </c>
      <c r="F108" s="16">
        <f>IF(ISNUMBER(D108), $B118 * E108, "")</f>
        <v>-6299.212598425197</v>
      </c>
      <c r="G108" s="29">
        <v>120</v>
      </c>
      <c r="H108" s="14">
        <f>IF(ISNUMBER(G108), (G108 - $B108) / $B108, "")</f>
        <v>-5.5118110236220472E-2</v>
      </c>
      <c r="I108" s="100">
        <f>IF(ISNUMBER(G108), $B118 * H108, "")</f>
        <v>-5511.8110236220473</v>
      </c>
      <c r="J108" s="13">
        <v>120</v>
      </c>
      <c r="K108" s="14">
        <f>IF(ISNUMBER(J108), (J108 - $B108) / $B108, "")</f>
        <v>-5.5118110236220472E-2</v>
      </c>
      <c r="L108" s="16">
        <f>IF(ISNUMBER(J108), $B118 * K108, "")</f>
        <v>-5511.8110236220473</v>
      </c>
      <c r="M108" s="29">
        <v>109</v>
      </c>
      <c r="N108" s="14">
        <f>IF(ISNUMBER(M108), (M108 - $B108) / $B108, "")</f>
        <v>-0.14173228346456693</v>
      </c>
      <c r="O108" s="16">
        <f>IF(ISNUMBER(M108), $B118 * N108, "")</f>
        <v>-14173.228346456694</v>
      </c>
      <c r="Q108" s="239"/>
      <c r="R108" s="240"/>
      <c r="S108" s="241"/>
    </row>
    <row r="109" spans="1:19" ht="17.25" thickBot="1">
      <c r="A109" s="162" t="s">
        <v>280</v>
      </c>
      <c r="B109" s="126">
        <v>1115</v>
      </c>
      <c r="C109" s="77">
        <v>4.2056074800000003E-2</v>
      </c>
      <c r="D109" s="15">
        <v>941</v>
      </c>
      <c r="E109" s="32">
        <f t="shared" ref="E109:E112" si="54">IF(ISNUMBER(D109), (D109 - $B109) / $B109, "")</f>
        <v>-0.15605381165919283</v>
      </c>
      <c r="F109" s="18">
        <f>IF(ISNUMBER(D109), $B118 * E109, "")</f>
        <v>-15605.381165919283</v>
      </c>
      <c r="G109" s="31">
        <v>939</v>
      </c>
      <c r="H109" s="32">
        <f t="shared" ref="H109:H112" si="55">IF(ISNUMBER(G109), (G109 - $B109) / $B109, "")</f>
        <v>-0.15784753363228698</v>
      </c>
      <c r="I109" s="101">
        <f>IF(ISNUMBER(G109), $B118 * H109, "")</f>
        <v>-15784.753363228698</v>
      </c>
      <c r="J109" s="15">
        <v>947</v>
      </c>
      <c r="K109" s="32">
        <f t="shared" ref="K109:K112" si="56">IF(ISNUMBER(J109), (J109 - $B109) / $B109, "")</f>
        <v>-0.15067264573991032</v>
      </c>
      <c r="L109" s="18">
        <f>IF(ISNUMBER(J109), $B118 * K109, "")</f>
        <v>-15067.264573991031</v>
      </c>
      <c r="M109" s="31">
        <v>889</v>
      </c>
      <c r="N109" s="32">
        <f t="shared" ref="N109:N112" si="57">IF(ISNUMBER(M109), (M109 - $B109) / $B109, "")</f>
        <v>-0.20269058295964126</v>
      </c>
      <c r="O109" s="18">
        <f>IF(ISNUMBER(M109), $B118 * N109, "")</f>
        <v>-20269.058295964125</v>
      </c>
      <c r="Q109" s="242"/>
      <c r="R109" s="243"/>
      <c r="S109" s="244"/>
    </row>
    <row r="110" spans="1:19" ht="17.25" thickBot="1">
      <c r="A110" s="162" t="s">
        <v>182</v>
      </c>
      <c r="B110" s="126">
        <v>308</v>
      </c>
      <c r="C110" s="77">
        <v>3.7037037000000002E-2</v>
      </c>
      <c r="D110" s="15">
        <v>281</v>
      </c>
      <c r="E110" s="32">
        <f t="shared" si="54"/>
        <v>-8.7662337662337664E-2</v>
      </c>
      <c r="F110" s="18">
        <f>IF(ISNUMBER(D110), $B118 * E110, "")</f>
        <v>-8766.2337662337668</v>
      </c>
      <c r="G110" s="31">
        <v>279</v>
      </c>
      <c r="H110" s="32">
        <f t="shared" si="55"/>
        <v>-9.4155844155844159E-2</v>
      </c>
      <c r="I110" s="101">
        <f>IF(ISNUMBER(G110), $B118 * H110, "")</f>
        <v>-9415.5844155844152</v>
      </c>
      <c r="J110" s="15">
        <v>279</v>
      </c>
      <c r="K110" s="32">
        <f t="shared" si="56"/>
        <v>-9.4155844155844159E-2</v>
      </c>
      <c r="L110" s="18">
        <f>IF(ISNUMBER(J110), $B118 * K110, "")</f>
        <v>-9415.5844155844152</v>
      </c>
      <c r="M110" s="31">
        <v>260</v>
      </c>
      <c r="N110" s="32">
        <f t="shared" si="57"/>
        <v>-0.15584415584415584</v>
      </c>
      <c r="O110" s="18">
        <f>IF(ISNUMBER(M110), $B118 * N110, "")</f>
        <v>-15584.415584415585</v>
      </c>
      <c r="Q110" s="235"/>
      <c r="R110" s="235"/>
      <c r="S110" s="235"/>
    </row>
    <row r="111" spans="1:19" ht="17.25" thickBot="1">
      <c r="A111" s="162" t="s">
        <v>248</v>
      </c>
      <c r="B111" s="126">
        <v>1880</v>
      </c>
      <c r="C111" s="77">
        <v>3.5812672199999999E-2</v>
      </c>
      <c r="D111" s="15">
        <v>1610</v>
      </c>
      <c r="E111" s="32">
        <f t="shared" si="54"/>
        <v>-0.14361702127659576</v>
      </c>
      <c r="F111" s="18">
        <f>IF(ISNUMBER(D111), $B118 * E111, "")</f>
        <v>-14361.702127659575</v>
      </c>
      <c r="G111" s="31">
        <v>1615</v>
      </c>
      <c r="H111" s="32">
        <f t="shared" si="55"/>
        <v>-0.14095744680851063</v>
      </c>
      <c r="I111" s="101">
        <f>IF(ISNUMBER(G111), $B118 * H111, "")</f>
        <v>-14095.744680851063</v>
      </c>
      <c r="J111" s="15">
        <v>1620</v>
      </c>
      <c r="K111" s="32">
        <f t="shared" si="56"/>
        <v>-0.13829787234042554</v>
      </c>
      <c r="L111" s="18">
        <f>IF(ISNUMBER(J111), $B118 * K111, "")</f>
        <v>-13829.787234042553</v>
      </c>
      <c r="M111" s="31">
        <v>1515</v>
      </c>
      <c r="N111" s="32">
        <f t="shared" si="57"/>
        <v>-0.19414893617021275</v>
      </c>
      <c r="O111" s="18">
        <f>IF(ISNUMBER(M111), $B118 * N111, "")</f>
        <v>-19414.893617021276</v>
      </c>
      <c r="Q111" s="245"/>
      <c r="R111" s="245"/>
      <c r="S111" s="245"/>
    </row>
    <row r="112" spans="1:19" ht="17.25" thickBot="1">
      <c r="A112" s="163" t="s">
        <v>274</v>
      </c>
      <c r="B112" s="128">
        <v>9615</v>
      </c>
      <c r="C112" s="78">
        <v>3.5541195499999997E-2</v>
      </c>
      <c r="D112" s="20">
        <v>8620</v>
      </c>
      <c r="E112" s="21">
        <f t="shared" si="54"/>
        <v>-0.10348413936557463</v>
      </c>
      <c r="F112" s="22">
        <f>IF(ISNUMBER(D112), $B118 * E112, "")</f>
        <v>-10348.413936557463</v>
      </c>
      <c r="G112" s="30">
        <v>8510</v>
      </c>
      <c r="H112" s="21">
        <f t="shared" si="55"/>
        <v>-0.11492459698387936</v>
      </c>
      <c r="I112" s="105">
        <f>IF(ISNUMBER(G112), $B118 * H112, "")</f>
        <v>-11492.459698387936</v>
      </c>
      <c r="J112" s="20">
        <v>8530</v>
      </c>
      <c r="K112" s="21">
        <f t="shared" si="56"/>
        <v>-0.11284451378055123</v>
      </c>
      <c r="L112" s="22">
        <f>IF(ISNUMBER(J112), $B118 * K112, "")</f>
        <v>-11284.451378055122</v>
      </c>
      <c r="M112" s="30">
        <v>7980</v>
      </c>
      <c r="N112" s="21">
        <f t="shared" si="57"/>
        <v>-0.17004680187207488</v>
      </c>
      <c r="O112" s="22">
        <f>IF(ISNUMBER(M112), $B118 * N112, "")</f>
        <v>-17004.680187207487</v>
      </c>
      <c r="Q112" s="245"/>
      <c r="R112" s="245"/>
      <c r="S112" s="245"/>
    </row>
    <row r="113" spans="1:19" ht="17.25" thickBot="1">
      <c r="A113" s="162" t="s">
        <v>98</v>
      </c>
      <c r="B113" s="129">
        <v>4605</v>
      </c>
      <c r="C113" s="80">
        <v>3.3670033699999997E-2</v>
      </c>
      <c r="D113" s="106">
        <v>3815</v>
      </c>
      <c r="E113" s="107">
        <f>IF(ISNUMBER(D113), (D113 - $B113) / $B113, "")</f>
        <v>-0.17155266015200868</v>
      </c>
      <c r="F113" s="108">
        <f>IF(ISNUMBER(D113), $B118 * E113, "")</f>
        <v>-17155.266015200868</v>
      </c>
      <c r="G113" s="109">
        <v>3830</v>
      </c>
      <c r="H113" s="107">
        <f>IF(ISNUMBER(G113), (G113 - $B113) / $B113, "")</f>
        <v>-0.16829533116178066</v>
      </c>
      <c r="I113" s="110">
        <f>IF(ISNUMBER(G113), $B118 * H113, "")</f>
        <v>-16829.533116178067</v>
      </c>
      <c r="J113" s="106">
        <v>3965</v>
      </c>
      <c r="K113" s="107">
        <f>IF(ISNUMBER(J113), (J113 - $B113) / $B113, "")</f>
        <v>-0.13897937024972856</v>
      </c>
      <c r="L113" s="108">
        <f>IF(ISNUMBER(J113), $B118 * K113, "")</f>
        <v>-13897.937024972856</v>
      </c>
      <c r="M113" s="109">
        <v>3690</v>
      </c>
      <c r="N113" s="107">
        <f>IF(ISNUMBER(M113), (M113 - $B113) / $B113, "")</f>
        <v>-0.1986970684039088</v>
      </c>
      <c r="O113" s="108">
        <f>IF(ISNUMBER(M113), $B118 * N113, "")</f>
        <v>-19869.706840390882</v>
      </c>
      <c r="Q113" s="235"/>
      <c r="R113" s="235"/>
      <c r="S113" s="235"/>
    </row>
    <row r="114" spans="1:19" ht="17.25" thickBot="1">
      <c r="A114" s="162" t="s">
        <v>236</v>
      </c>
      <c r="B114" s="126">
        <v>55.9</v>
      </c>
      <c r="C114" s="77">
        <v>3.3271718999999998E-2</v>
      </c>
      <c r="D114" s="15">
        <v>52.2</v>
      </c>
      <c r="E114" s="32">
        <f t="shared" ref="E114:E117" si="58">IF(ISNUMBER(D114), (D114 - $B114) / $B114, "")</f>
        <v>-6.6189624329159133E-2</v>
      </c>
      <c r="F114" s="18">
        <f>IF(ISNUMBER(D114), $B118 * E114, "")</f>
        <v>-6618.9624329159133</v>
      </c>
      <c r="G114" s="31">
        <v>54.2</v>
      </c>
      <c r="H114" s="32">
        <f t="shared" ref="H114:H117" si="59">IF(ISNUMBER(G114), (G114 - $B114) / $B114, "")</f>
        <v>-3.0411449016100104E-2</v>
      </c>
      <c r="I114" s="101">
        <f>IF(ISNUMBER(G114), $B118 * H114, "")</f>
        <v>-3041.1449016100105</v>
      </c>
      <c r="J114" s="15">
        <v>54.5</v>
      </c>
      <c r="K114" s="32">
        <f t="shared" ref="K114:K117" si="60">IF(ISNUMBER(J114), (J114 - $B114) / $B114, "")</f>
        <v>-2.50447227191413E-2</v>
      </c>
      <c r="L114" s="18">
        <f>IF(ISNUMBER(J114), $B118 * K114, "")</f>
        <v>-2504.47227191413</v>
      </c>
      <c r="M114" s="31">
        <v>50.6</v>
      </c>
      <c r="N114" s="32">
        <f t="shared" ref="N114:N117" si="61">IF(ISNUMBER(M114), (M114 - $B114) / $B114, "")</f>
        <v>-9.4812164579606395E-2</v>
      </c>
      <c r="O114" s="18">
        <f>IF(ISNUMBER(M114), $B118 * N114, "")</f>
        <v>-9481.2164579606397</v>
      </c>
      <c r="Q114" s="235"/>
      <c r="R114" s="235"/>
      <c r="S114" s="235"/>
    </row>
    <row r="115" spans="1:19" ht="17.25" thickBot="1">
      <c r="A115" s="162" t="s">
        <v>252</v>
      </c>
      <c r="B115" s="126">
        <v>331</v>
      </c>
      <c r="C115" s="77">
        <v>3.1152648000000002E-2</v>
      </c>
      <c r="D115" s="15">
        <v>292</v>
      </c>
      <c r="E115" s="32">
        <f t="shared" si="58"/>
        <v>-0.11782477341389729</v>
      </c>
      <c r="F115" s="18">
        <f>IF(ISNUMBER(D115), $B118 * E115, "")</f>
        <v>-11782.477341389729</v>
      </c>
      <c r="G115" s="31">
        <v>290</v>
      </c>
      <c r="H115" s="32">
        <f t="shared" si="59"/>
        <v>-0.12386706948640483</v>
      </c>
      <c r="I115" s="101">
        <f>IF(ISNUMBER(G115), $B118 * H115, "")</f>
        <v>-12386.706948640483</v>
      </c>
      <c r="J115" s="15">
        <v>291</v>
      </c>
      <c r="K115" s="32">
        <f t="shared" si="60"/>
        <v>-0.12084592145015106</v>
      </c>
      <c r="L115" s="18">
        <f>IF(ISNUMBER(J115), $B118 * K115, "")</f>
        <v>-12084.592145015107</v>
      </c>
      <c r="M115" s="31">
        <v>266</v>
      </c>
      <c r="N115" s="32">
        <f t="shared" si="61"/>
        <v>-0.19637462235649547</v>
      </c>
      <c r="O115" s="18">
        <f>IF(ISNUMBER(M115), $B118 * N115, "")</f>
        <v>-19637.462235649546</v>
      </c>
      <c r="Q115" s="235"/>
      <c r="R115" s="235"/>
      <c r="S115" s="235"/>
    </row>
    <row r="116" spans="1:19">
      <c r="A116" s="162" t="s">
        <v>242</v>
      </c>
      <c r="B116" s="126">
        <v>4210</v>
      </c>
      <c r="C116" s="77">
        <v>2.3086269699999998E-2</v>
      </c>
      <c r="D116" s="15">
        <v>3585</v>
      </c>
      <c r="E116" s="32">
        <f t="shared" si="58"/>
        <v>-0.14845605700712589</v>
      </c>
      <c r="F116" s="18">
        <f>IF(ISNUMBER(D116), $B118 * E116, "")</f>
        <v>-14845.605700712589</v>
      </c>
      <c r="G116" s="31">
        <v>3570</v>
      </c>
      <c r="H116" s="32">
        <f t="shared" si="59"/>
        <v>-0.15201900237529692</v>
      </c>
      <c r="I116" s="101">
        <f>IF(ISNUMBER(G116), $B118 * H116, "")</f>
        <v>-15201.900237529691</v>
      </c>
      <c r="J116" s="15">
        <v>3585</v>
      </c>
      <c r="K116" s="32">
        <f t="shared" si="60"/>
        <v>-0.14845605700712589</v>
      </c>
      <c r="L116" s="18">
        <f>IF(ISNUMBER(J116), $B118 * K116, "")</f>
        <v>-14845.605700712589</v>
      </c>
      <c r="M116" s="31">
        <v>3280</v>
      </c>
      <c r="N116" s="32">
        <f t="shared" si="61"/>
        <v>-0.22090261282660331</v>
      </c>
      <c r="O116" s="18">
        <f>IF(ISNUMBER(M116), $B118 * N116, "")</f>
        <v>-22090.261282660333</v>
      </c>
      <c r="Q116" s="224"/>
      <c r="R116" s="225"/>
      <c r="S116" s="226"/>
    </row>
    <row r="117" spans="1:19" ht="17.25" thickBot="1">
      <c r="A117" s="130" t="s">
        <v>210</v>
      </c>
      <c r="B117" s="131">
        <v>135</v>
      </c>
      <c r="C117" s="79">
        <v>2.2727272699999999E-2</v>
      </c>
      <c r="D117" s="24">
        <v>115</v>
      </c>
      <c r="E117" s="25">
        <f t="shared" si="58"/>
        <v>-0.14814814814814814</v>
      </c>
      <c r="F117" s="104">
        <f>IF(ISNUMBER(D117), $B118 * E117, "")</f>
        <v>-14814.814814814814</v>
      </c>
      <c r="G117" s="102">
        <v>115</v>
      </c>
      <c r="H117" s="25">
        <f t="shared" si="59"/>
        <v>-0.14814814814814814</v>
      </c>
      <c r="I117" s="103">
        <f>IF(ISNUMBER(G117), $B118 * H117, "")</f>
        <v>-14814.814814814814</v>
      </c>
      <c r="J117" s="24">
        <v>115</v>
      </c>
      <c r="K117" s="25">
        <f t="shared" si="60"/>
        <v>-0.14814814814814814</v>
      </c>
      <c r="L117" s="104">
        <f>IF(ISNUMBER(J117), $B118 * K117, "")</f>
        <v>-14814.814814814814</v>
      </c>
      <c r="M117" s="102">
        <v>109</v>
      </c>
      <c r="N117" s="25">
        <f t="shared" si="61"/>
        <v>-0.19259259259259259</v>
      </c>
      <c r="O117" s="104">
        <f>IF(ISNUMBER(M117), $B118 * N117, "")</f>
        <v>-19259.259259259259</v>
      </c>
      <c r="Q117" s="227"/>
      <c r="R117" s="228"/>
      <c r="S117" s="229"/>
    </row>
    <row r="118" spans="1:19" ht="17.25" thickBot="1">
      <c r="A118" s="132" t="s">
        <v>300</v>
      </c>
      <c r="B118" s="288">
        <f>$B$37</f>
        <v>100000</v>
      </c>
      <c r="C118" s="289"/>
      <c r="D118" s="26" t="s">
        <v>301</v>
      </c>
      <c r="E118" s="27">
        <f>IF(COUNT(E98:E117), SUM(E98:E117) / COUNT(E98:E117), 0)</f>
        <v>-0.12346724691141371</v>
      </c>
      <c r="F118" s="28">
        <f>SUM(F98:F117)</f>
        <v>-246934.49382282744</v>
      </c>
      <c r="G118" s="26" t="s">
        <v>301</v>
      </c>
      <c r="H118" s="27">
        <f>IF(COUNT(H98:H117), SUM(H98:H117) / COUNT(H98:H117), 0)</f>
        <v>-0.11086605310555071</v>
      </c>
      <c r="I118" s="28">
        <f>SUM(I98:I117)</f>
        <v>-221732.1062111014</v>
      </c>
      <c r="J118" s="26" t="s">
        <v>301</v>
      </c>
      <c r="K118" s="27">
        <f>IF(COUNT(K98:K117), SUM(K98:K117) / COUNT(K98:K117), 0)</f>
        <v>-0.10876871631709011</v>
      </c>
      <c r="L118" s="28">
        <f>SUM(L98:L117)</f>
        <v>-217537.43263418021</v>
      </c>
      <c r="M118" s="26" t="s">
        <v>301</v>
      </c>
      <c r="N118" s="27">
        <f>IF(COUNT(N98:N117), SUM(N98:N117) / COUNT(N98:N117), 0)</f>
        <v>-0.17377548301594414</v>
      </c>
      <c r="O118" s="28">
        <f>SUM(O98:O117)</f>
        <v>-347550.96603188821</v>
      </c>
      <c r="Q118" s="230"/>
      <c r="R118" s="231"/>
      <c r="S118" s="232"/>
    </row>
    <row r="120" spans="1:19" ht="17.25" thickBot="1"/>
    <row r="121" spans="1:19" ht="17.25" thickBot="1">
      <c r="A121" s="246" t="s">
        <v>288</v>
      </c>
      <c r="B121" s="247"/>
      <c r="C121" s="247"/>
      <c r="D121" s="247"/>
      <c r="E121" s="247"/>
      <c r="F121" s="247"/>
      <c r="G121" s="247"/>
      <c r="H121" s="247"/>
      <c r="I121" s="247"/>
      <c r="J121" s="247"/>
      <c r="K121" s="247"/>
      <c r="L121" s="247"/>
      <c r="M121" s="247"/>
      <c r="N121" s="247"/>
      <c r="O121" s="248"/>
      <c r="Q121" s="245"/>
      <c r="R121" s="245"/>
      <c r="S121" s="245"/>
    </row>
    <row r="122" spans="1:19" ht="17.25" thickBot="1">
      <c r="A122" s="188" t="s">
        <v>297</v>
      </c>
      <c r="B122" s="246" t="s">
        <v>49</v>
      </c>
      <c r="C122" s="248"/>
      <c r="D122" s="246" t="s">
        <v>58</v>
      </c>
      <c r="E122" s="247"/>
      <c r="F122" s="248"/>
      <c r="G122" s="249">
        <f>_xlfn.IFNA(VLOOKUP(B122, 현재가테이블!$B$2:$D$200, 2, FALSE), "-")</f>
        <v>45335000</v>
      </c>
      <c r="H122" s="250"/>
      <c r="I122" s="251"/>
      <c r="J122" s="246" t="s">
        <v>59</v>
      </c>
      <c r="K122" s="247"/>
      <c r="L122" s="248"/>
      <c r="M122" s="252">
        <f>_xlfn.IFNA(VLOOKUP(B122, 현재가테이블!$B$2:$D$200, 3, FALSE), "-")</f>
        <v>-2.27209037E-2</v>
      </c>
      <c r="N122" s="253"/>
      <c r="O122" s="254"/>
      <c r="Q122" s="245"/>
      <c r="R122" s="245"/>
      <c r="S122" s="245"/>
    </row>
    <row r="123" spans="1:19" ht="17.25" thickBot="1">
      <c r="A123" s="290" t="s">
        <v>55</v>
      </c>
      <c r="B123" s="286" t="str">
        <f>TEXT($G$1, "[$-ko-KR]yyyy-mm-dd(ddd) ") &amp; "오전 00:00"</f>
        <v>2021-06-08(화) 오전 00:00</v>
      </c>
      <c r="C123" s="287"/>
      <c r="D123" s="259" t="str">
        <f>TEXT($G$1, "[$-ko-KR]yyyy-mm-dd(ddd) ") &amp; "오후 14:00"</f>
        <v>2021-06-08(화) 오후 14:00</v>
      </c>
      <c r="E123" s="260"/>
      <c r="F123" s="261"/>
      <c r="G123" s="259" t="str">
        <f>TEXT($G$1, "[$-ko-KR]yyyy-mm-dd(ddd) ") &amp; "오후 19:00"</f>
        <v>2021-06-08(화) 오후 19:00</v>
      </c>
      <c r="H123" s="260"/>
      <c r="I123" s="261"/>
      <c r="J123" s="259" t="str">
        <f>TEXT($G$1, "[$-ko-KR]yyyy-mm-dd(ddd) ") &amp; "오후 21:00"</f>
        <v>2021-06-08(화) 오후 21:00</v>
      </c>
      <c r="K123" s="260"/>
      <c r="L123" s="261"/>
      <c r="M123" s="259" t="str">
        <f>TEXT($G$1+1, "[$-ko-KR]yyyy-mm-dd(ddd) ") &amp; "오전 00:00"</f>
        <v>2021-06-09(수) 오전 00:00</v>
      </c>
      <c r="N123" s="260"/>
      <c r="O123" s="261"/>
      <c r="Q123" s="245"/>
      <c r="R123" s="245"/>
      <c r="S123" s="245"/>
    </row>
    <row r="124" spans="1:19" ht="17.25" thickBot="1">
      <c r="A124" s="291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89" t="s">
        <v>58</v>
      </c>
      <c r="H124" s="190" t="s">
        <v>298</v>
      </c>
      <c r="I124" s="191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5"/>
      <c r="R124" s="235"/>
      <c r="S124" s="235"/>
    </row>
    <row r="125" spans="1:19" ht="17.25" thickBot="1">
      <c r="A125" s="161" t="s">
        <v>264</v>
      </c>
      <c r="B125" s="124">
        <v>90.2</v>
      </c>
      <c r="C125" s="76">
        <v>1.2345679E-2</v>
      </c>
      <c r="D125" s="13">
        <v>76.900000000000006</v>
      </c>
      <c r="E125" s="14">
        <f>IF(ISNUMBER(D125), (D125 - $B125) / $B125, "")</f>
        <v>-0.14745011086474497</v>
      </c>
      <c r="F125" s="16">
        <f>IF(ISNUMBER(D125), $B145 * E125, "")</f>
        <v>-14745.011086474497</v>
      </c>
      <c r="G125" s="29">
        <v>76.099999999999994</v>
      </c>
      <c r="H125" s="14">
        <f>IF(ISNUMBER(G125), (G125 - $B125) / $B125, "")</f>
        <v>-0.156319290465632</v>
      </c>
      <c r="I125" s="100">
        <f>IF(ISNUMBER(G125), $B145 * H125, "")</f>
        <v>-15631.9290465632</v>
      </c>
      <c r="J125" s="13">
        <v>76.8</v>
      </c>
      <c r="K125" s="14">
        <f>IF(ISNUMBER(J125), (J125 - $B125) / $B125, "")</f>
        <v>-0.14855875831485593</v>
      </c>
      <c r="L125" s="16">
        <f>IF(ISNUMBER(J125), $B145 * K125, "")</f>
        <v>-14855.875831485593</v>
      </c>
      <c r="M125" s="29">
        <v>71.8</v>
      </c>
      <c r="N125" s="14">
        <f>IF(ISNUMBER(M125), (M125 - $B125) / $B125, "")</f>
        <v>-0.20399113082039916</v>
      </c>
      <c r="O125" s="16">
        <f>IF(ISNUMBER(M125), $B145 * N125, "")</f>
        <v>-20399.113082039916</v>
      </c>
      <c r="Q125" s="245"/>
      <c r="R125" s="245"/>
      <c r="S125" s="245"/>
    </row>
    <row r="126" spans="1:19" ht="17.25" thickBot="1">
      <c r="A126" s="162" t="s">
        <v>222</v>
      </c>
      <c r="B126" s="126">
        <v>12.1</v>
      </c>
      <c r="C126" s="77">
        <v>8.3333333000000006E-3</v>
      </c>
      <c r="D126" s="15">
        <v>10.4</v>
      </c>
      <c r="E126" s="32">
        <f t="shared" ref="E126:E129" si="62">IF(ISNUMBER(D126), (D126 - $B126) / $B126, "")</f>
        <v>-0.14049586776859499</v>
      </c>
      <c r="F126" s="18">
        <f>IF(ISNUMBER(D126), $B145 * E126, "")</f>
        <v>-14049.5867768595</v>
      </c>
      <c r="G126" s="31">
        <v>10.4</v>
      </c>
      <c r="H126" s="32">
        <f t="shared" ref="H126:H129" si="63">IF(ISNUMBER(G126), (G126 - $B126) / $B126, "")</f>
        <v>-0.14049586776859499</v>
      </c>
      <c r="I126" s="101">
        <f>IF(ISNUMBER(G126), $B145 * H126, "")</f>
        <v>-14049.5867768595</v>
      </c>
      <c r="J126" s="15">
        <v>10.6</v>
      </c>
      <c r="K126" s="32">
        <f t="shared" ref="K126:K129" si="64">IF(ISNUMBER(J126), (J126 - $B126) / $B126, "")</f>
        <v>-0.12396694214876033</v>
      </c>
      <c r="L126" s="18">
        <f>IF(ISNUMBER(J126), $B145 * K126, "")</f>
        <v>-12396.694214876034</v>
      </c>
      <c r="M126" s="31">
        <v>10.1</v>
      </c>
      <c r="N126" s="32">
        <f t="shared" ref="N126:N129" si="65">IF(ISNUMBER(M126), (M126 - $B126) / $B126, "")</f>
        <v>-0.16528925619834711</v>
      </c>
      <c r="O126" s="18">
        <f>IF(ISNUMBER(M126), $B145 * N126, "")</f>
        <v>-16528.92561983471</v>
      </c>
      <c r="Q126" s="245"/>
      <c r="R126" s="245"/>
      <c r="S126" s="245"/>
    </row>
    <row r="127" spans="1:19" ht="17.25" thickBot="1">
      <c r="A127" s="162" t="s">
        <v>214</v>
      </c>
      <c r="B127" s="126">
        <v>14.4</v>
      </c>
      <c r="C127" s="77">
        <v>6.9930069999999999E-3</v>
      </c>
      <c r="D127" s="15">
        <v>12.4</v>
      </c>
      <c r="E127" s="32">
        <f t="shared" si="62"/>
        <v>-0.1388888888888889</v>
      </c>
      <c r="F127" s="18">
        <f>IF(ISNUMBER(D127), $B145 * E127, "")</f>
        <v>-13888.888888888889</v>
      </c>
      <c r="G127" s="31">
        <v>12.4</v>
      </c>
      <c r="H127" s="32">
        <f t="shared" si="63"/>
        <v>-0.1388888888888889</v>
      </c>
      <c r="I127" s="101">
        <f>IF(ISNUMBER(G127), $B145 * H127, "")</f>
        <v>-13888.888888888889</v>
      </c>
      <c r="J127" s="15">
        <v>12.5</v>
      </c>
      <c r="K127" s="32">
        <f t="shared" si="64"/>
        <v>-0.13194444444444448</v>
      </c>
      <c r="L127" s="18">
        <f>IF(ISNUMBER(J127), $B145 * K127, "")</f>
        <v>-13194.444444444447</v>
      </c>
      <c r="M127" s="31">
        <v>11.4</v>
      </c>
      <c r="N127" s="32">
        <f t="shared" si="65"/>
        <v>-0.20833333333333331</v>
      </c>
      <c r="O127" s="18">
        <f>IF(ISNUMBER(M127), $B145 * N127, "")</f>
        <v>-20833.333333333332</v>
      </c>
      <c r="Q127" s="235"/>
      <c r="R127" s="235"/>
      <c r="S127" s="235"/>
    </row>
    <row r="128" spans="1:19" ht="17.25" thickBot="1">
      <c r="A128" s="162" t="s">
        <v>126</v>
      </c>
      <c r="B128" s="126">
        <v>30.4</v>
      </c>
      <c r="C128" s="77">
        <v>6.6225166000000004E-3</v>
      </c>
      <c r="D128" s="15">
        <v>25.9</v>
      </c>
      <c r="E128" s="32">
        <f t="shared" si="62"/>
        <v>-0.1480263157894737</v>
      </c>
      <c r="F128" s="18">
        <f>IF(ISNUMBER(D128), $B145 * E128, "")</f>
        <v>-14802.63157894737</v>
      </c>
      <c r="G128" s="31">
        <v>25.6</v>
      </c>
      <c r="H128" s="32">
        <f t="shared" si="63"/>
        <v>-0.15789473684210517</v>
      </c>
      <c r="I128" s="101">
        <f>IF(ISNUMBER(G128), $B145 * H128, "")</f>
        <v>-15789.473684210518</v>
      </c>
      <c r="J128" s="15">
        <v>25.7</v>
      </c>
      <c r="K128" s="32">
        <f t="shared" si="64"/>
        <v>-0.15460526315789472</v>
      </c>
      <c r="L128" s="18">
        <f>IF(ISNUMBER(J128), $B145 * K128, "")</f>
        <v>-15460.526315789471</v>
      </c>
      <c r="M128" s="31">
        <v>24.1</v>
      </c>
      <c r="N128" s="32">
        <f t="shared" si="65"/>
        <v>-0.20723684210526308</v>
      </c>
      <c r="O128" s="18">
        <f>IF(ISNUMBER(M128), $B145 * N128, "")</f>
        <v>-20723.684210526309</v>
      </c>
      <c r="Q128" s="235"/>
      <c r="R128" s="235"/>
      <c r="S128" s="235"/>
    </row>
    <row r="129" spans="1:19" ht="17.25" thickBot="1">
      <c r="A129" s="163" t="s">
        <v>254</v>
      </c>
      <c r="B129" s="128">
        <v>52.5</v>
      </c>
      <c r="C129" s="78">
        <v>5.7471264000000001E-3</v>
      </c>
      <c r="D129" s="20">
        <v>44.8</v>
      </c>
      <c r="E129" s="21">
        <f t="shared" si="62"/>
        <v>-0.14666666666666672</v>
      </c>
      <c r="F129" s="22">
        <f>IF(ISNUMBER(D129), $B145 * E129, "")</f>
        <v>-14666.666666666672</v>
      </c>
      <c r="G129" s="30">
        <v>44.5</v>
      </c>
      <c r="H129" s="21">
        <f t="shared" si="63"/>
        <v>-0.15238095238095239</v>
      </c>
      <c r="I129" s="105">
        <f>IF(ISNUMBER(G129), $B145 * H129, "")</f>
        <v>-15238.09523809524</v>
      </c>
      <c r="J129" s="20">
        <v>44.8</v>
      </c>
      <c r="K129" s="21">
        <f t="shared" si="64"/>
        <v>-0.14666666666666672</v>
      </c>
      <c r="L129" s="22">
        <f>IF(ISNUMBER(J129), $B145 * K129, "")</f>
        <v>-14666.666666666672</v>
      </c>
      <c r="M129" s="30">
        <v>42.2</v>
      </c>
      <c r="N129" s="21">
        <f t="shared" si="65"/>
        <v>-0.19619047619047614</v>
      </c>
      <c r="O129" s="22">
        <f>IF(ISNUMBER(M129), $B145 * N129, "")</f>
        <v>-19619.047619047615</v>
      </c>
      <c r="Q129" s="235"/>
      <c r="R129" s="235"/>
      <c r="S129" s="235"/>
    </row>
    <row r="130" spans="1:19" ht="17.25" thickBot="1">
      <c r="A130" s="162" t="s">
        <v>172</v>
      </c>
      <c r="B130" s="129">
        <v>15.5</v>
      </c>
      <c r="C130" s="80">
        <v>0</v>
      </c>
      <c r="D130" s="106">
        <v>14.5</v>
      </c>
      <c r="E130" s="107">
        <f>IF(ISNUMBER(D130), (D130 - $B130) / $B130, "")</f>
        <v>-6.4516129032258063E-2</v>
      </c>
      <c r="F130" s="108">
        <f>IF(ISNUMBER(D130), $B145 * E130, "")</f>
        <v>-6451.6129032258059</v>
      </c>
      <c r="G130" s="109">
        <v>14.7</v>
      </c>
      <c r="H130" s="107">
        <f>IF(ISNUMBER(G130), (G130 - $B130) / $B130, "")</f>
        <v>-5.16129032258065E-2</v>
      </c>
      <c r="I130" s="110">
        <f>IF(ISNUMBER(G130), $B145 * H130, "")</f>
        <v>-5161.2903225806504</v>
      </c>
      <c r="J130" s="106">
        <v>14.8</v>
      </c>
      <c r="K130" s="107">
        <f>IF(ISNUMBER(J130), (J130 - $B130) / $B130, "")</f>
        <v>-4.5161290322580601E-2</v>
      </c>
      <c r="L130" s="108">
        <f>IF(ISNUMBER(J130), $B145 * K130, "")</f>
        <v>-4516.1290322580599</v>
      </c>
      <c r="M130" s="109">
        <v>13.5</v>
      </c>
      <c r="N130" s="107">
        <f>IF(ISNUMBER(M130), (M130 - $B130) / $B130, "")</f>
        <v>-0.12903225806451613</v>
      </c>
      <c r="O130" s="108">
        <f>IF(ISNUMBER(M130), $B145 * N130, "")</f>
        <v>-12903.225806451612</v>
      </c>
      <c r="Q130" s="235"/>
      <c r="R130" s="235"/>
      <c r="S130" s="235"/>
    </row>
    <row r="131" spans="1:19" ht="17.25" thickBot="1">
      <c r="A131" s="162" t="s">
        <v>268</v>
      </c>
      <c r="B131" s="126">
        <v>54.3</v>
      </c>
      <c r="C131" s="77">
        <v>0</v>
      </c>
      <c r="D131" s="15">
        <v>46.7</v>
      </c>
      <c r="E131" s="32">
        <f t="shared" ref="E131:E134" si="66">IF(ISNUMBER(D131), (D131 - $B131) / $B131, "")</f>
        <v>-0.13996316758747687</v>
      </c>
      <c r="F131" s="18">
        <f>IF(ISNUMBER(D131), $B145 * E131, "")</f>
        <v>-13996.316758747687</v>
      </c>
      <c r="G131" s="31">
        <v>47.1</v>
      </c>
      <c r="H131" s="32">
        <f t="shared" ref="H131:H134" si="67">IF(ISNUMBER(G131), (G131 - $B131) / $B131, "")</f>
        <v>-0.13259668508287287</v>
      </c>
      <c r="I131" s="101">
        <f>IF(ISNUMBER(G131), $B145 * H131, "")</f>
        <v>-13259.668508287286</v>
      </c>
      <c r="J131" s="15">
        <v>46.7</v>
      </c>
      <c r="K131" s="32">
        <f t="shared" ref="K131:K134" si="68">IF(ISNUMBER(J131), (J131 - $B131) / $B131, "")</f>
        <v>-0.13996316758747687</v>
      </c>
      <c r="L131" s="18">
        <f>IF(ISNUMBER(J131), $B145 * K131, "")</f>
        <v>-13996.316758747687</v>
      </c>
      <c r="M131" s="31">
        <v>43.3</v>
      </c>
      <c r="N131" s="32">
        <f t="shared" ref="N131:N134" si="69">IF(ISNUMBER(M131), (M131 - $B131) / $B131, "")</f>
        <v>-0.20257826887661143</v>
      </c>
      <c r="O131" s="18">
        <f>IF(ISNUMBER(M131), $B145 * N131, "")</f>
        <v>-20257.826887661144</v>
      </c>
      <c r="Q131" s="235"/>
      <c r="R131" s="235"/>
      <c r="S131" s="235"/>
    </row>
    <row r="132" spans="1:19" ht="17.25" thickBot="1">
      <c r="A132" s="162" t="s">
        <v>198</v>
      </c>
      <c r="B132" s="126">
        <v>17</v>
      </c>
      <c r="C132" s="77">
        <v>0</v>
      </c>
      <c r="D132" s="15">
        <v>14.8</v>
      </c>
      <c r="E132" s="32">
        <f t="shared" si="66"/>
        <v>-0.12941176470588231</v>
      </c>
      <c r="F132" s="18">
        <f>IF(ISNUMBER(D132), $B145 * E132, "")</f>
        <v>-12941.176470588231</v>
      </c>
      <c r="G132" s="31">
        <v>14.7</v>
      </c>
      <c r="H132" s="32">
        <f t="shared" si="67"/>
        <v>-0.13529411764705887</v>
      </c>
      <c r="I132" s="101">
        <f>IF(ISNUMBER(G132), $B145 * H132, "")</f>
        <v>-13529.411764705887</v>
      </c>
      <c r="J132" s="15">
        <v>14.6</v>
      </c>
      <c r="K132" s="32">
        <f t="shared" si="68"/>
        <v>-0.14117647058823532</v>
      </c>
      <c r="L132" s="18">
        <f>IF(ISNUMBER(J132), $B145 * K132, "")</f>
        <v>-14117.647058823532</v>
      </c>
      <c r="M132" s="31">
        <v>13.6</v>
      </c>
      <c r="N132" s="32">
        <f t="shared" si="69"/>
        <v>-0.2</v>
      </c>
      <c r="O132" s="18">
        <f>IF(ISNUMBER(M132), $B145 * N132, "")</f>
        <v>-20000</v>
      </c>
      <c r="Q132" s="235"/>
      <c r="R132" s="235"/>
      <c r="S132" s="235"/>
    </row>
    <row r="133" spans="1:19" ht="17.25" thickBot="1">
      <c r="A133" s="162" t="s">
        <v>260</v>
      </c>
      <c r="B133" s="126">
        <v>76.599999999999994</v>
      </c>
      <c r="C133" s="77">
        <v>-3.9011703999999999E-3</v>
      </c>
      <c r="D133" s="15">
        <v>64.7</v>
      </c>
      <c r="E133" s="32">
        <f t="shared" si="66"/>
        <v>-0.15535248041775446</v>
      </c>
      <c r="F133" s="18">
        <f>IF(ISNUMBER(D133), $B145 * E133, "")</f>
        <v>-15535.248041775445</v>
      </c>
      <c r="G133" s="31">
        <v>63.9</v>
      </c>
      <c r="H133" s="32">
        <f t="shared" si="67"/>
        <v>-0.16579634464751955</v>
      </c>
      <c r="I133" s="101">
        <f>IF(ISNUMBER(G133), $B145 * H133, "")</f>
        <v>-16579.634464751955</v>
      </c>
      <c r="J133" s="15">
        <v>64.099999999999994</v>
      </c>
      <c r="K133" s="32">
        <f t="shared" si="68"/>
        <v>-0.16318537859007834</v>
      </c>
      <c r="L133" s="18">
        <f>IF(ISNUMBER(J133), $B145 * K133, "")</f>
        <v>-16318.537859007834</v>
      </c>
      <c r="M133" s="31">
        <v>59.7</v>
      </c>
      <c r="N133" s="32">
        <f t="shared" si="69"/>
        <v>-0.22062663185378581</v>
      </c>
      <c r="O133" s="18">
        <f>IF(ISNUMBER(M133), $B145 * N133, "")</f>
        <v>-22062.66318537858</v>
      </c>
      <c r="Q133" s="33"/>
      <c r="R133" s="33"/>
    </row>
    <row r="134" spans="1:19" ht="17.25" thickBot="1">
      <c r="A134" s="130" t="s">
        <v>212</v>
      </c>
      <c r="B134" s="131">
        <v>79.599999999999994</v>
      </c>
      <c r="C134" s="79">
        <v>-5.0000000000000001E-3</v>
      </c>
      <c r="D134" s="24">
        <v>67</v>
      </c>
      <c r="E134" s="25">
        <f t="shared" si="66"/>
        <v>-0.1582914572864321</v>
      </c>
      <c r="F134" s="104">
        <f>IF(ISNUMBER(D134), $B145 * E134, "")</f>
        <v>-15829.145728643211</v>
      </c>
      <c r="G134" s="102">
        <v>67.099999999999994</v>
      </c>
      <c r="H134" s="25">
        <f t="shared" si="67"/>
        <v>-0.157035175879397</v>
      </c>
      <c r="I134" s="103">
        <f>IF(ISNUMBER(G134), $B145 * H134, "")</f>
        <v>-15703.517587939699</v>
      </c>
      <c r="J134" s="24">
        <v>67.2</v>
      </c>
      <c r="K134" s="25">
        <f t="shared" si="68"/>
        <v>-0.15577889447236171</v>
      </c>
      <c r="L134" s="104">
        <f>IF(ISNUMBER(J134), $B145 * K134, "")</f>
        <v>-15577.88944723617</v>
      </c>
      <c r="M134" s="102">
        <v>62</v>
      </c>
      <c r="N134" s="25">
        <f t="shared" si="69"/>
        <v>-0.22110552763819091</v>
      </c>
      <c r="O134" s="104">
        <f>IF(ISNUMBER(M134), $B145 * N134, "")</f>
        <v>-22110.552763819091</v>
      </c>
      <c r="Q134" s="236"/>
      <c r="R134" s="237"/>
      <c r="S134" s="238"/>
    </row>
    <row r="135" spans="1:19">
      <c r="A135" s="161" t="s">
        <v>156</v>
      </c>
      <c r="B135" s="124">
        <v>89.9</v>
      </c>
      <c r="C135" s="76">
        <v>-5.5309735000000004E-3</v>
      </c>
      <c r="D135" s="13">
        <v>81.3</v>
      </c>
      <c r="E135" s="14">
        <f>IF(ISNUMBER(D135), (D135 - $B135) / $B135, "")</f>
        <v>-9.5661846496106873E-2</v>
      </c>
      <c r="F135" s="16">
        <f>IF(ISNUMBER(D135), $B145 * E135, "")</f>
        <v>-9566.1846496106864</v>
      </c>
      <c r="G135" s="29">
        <v>82.3</v>
      </c>
      <c r="H135" s="14">
        <f>IF(ISNUMBER(G135), (G135 - $B135) / $B135, "")</f>
        <v>-8.4538375973303756E-2</v>
      </c>
      <c r="I135" s="100">
        <f>IF(ISNUMBER(G135), $B145 * H135, "")</f>
        <v>-8453.8375973303755</v>
      </c>
      <c r="J135" s="13">
        <v>82.9</v>
      </c>
      <c r="K135" s="14">
        <f>IF(ISNUMBER(J135), (J135 - $B135) / $B135, "")</f>
        <v>-7.7864293659621803E-2</v>
      </c>
      <c r="L135" s="16">
        <f>IF(ISNUMBER(J135), $B145 * K135, "")</f>
        <v>-7786.4293659621799</v>
      </c>
      <c r="M135" s="29">
        <v>79.900000000000006</v>
      </c>
      <c r="N135" s="14">
        <f>IF(ISNUMBER(M135), (M135 - $B135) / $B135, "")</f>
        <v>-0.11123470522803114</v>
      </c>
      <c r="O135" s="16">
        <f>IF(ISNUMBER(M135), $B145 * N135, "")</f>
        <v>-11123.470522803114</v>
      </c>
      <c r="Q135" s="239"/>
      <c r="R135" s="240"/>
      <c r="S135" s="241"/>
    </row>
    <row r="136" spans="1:19" ht="17.25" thickBot="1">
      <c r="A136" s="162" t="s">
        <v>278</v>
      </c>
      <c r="B136" s="126">
        <v>81.900000000000006</v>
      </c>
      <c r="C136" s="77">
        <v>-8.4745762999999998E-3</v>
      </c>
      <c r="D136" s="15">
        <v>72.3</v>
      </c>
      <c r="E136" s="32">
        <f t="shared" ref="E136:E139" si="70">IF(ISNUMBER(D136), (D136 - $B136) / $B136, "")</f>
        <v>-0.11721611721611731</v>
      </c>
      <c r="F136" s="18">
        <f>IF(ISNUMBER(D136), $B145 * E136, "")</f>
        <v>-11721.611721611731</v>
      </c>
      <c r="G136" s="31">
        <v>74.2</v>
      </c>
      <c r="H136" s="32">
        <f t="shared" ref="H136:H139" si="71">IF(ISNUMBER(G136), (G136 - $B136) / $B136, "")</f>
        <v>-9.4017094017094044E-2</v>
      </c>
      <c r="I136" s="101">
        <f>IF(ISNUMBER(G136), $B145 * H136, "")</f>
        <v>-9401.7094017094041</v>
      </c>
      <c r="J136" s="15">
        <v>74.2</v>
      </c>
      <c r="K136" s="32">
        <f t="shared" ref="K136:K139" si="72">IF(ISNUMBER(J136), (J136 - $B136) / $B136, "")</f>
        <v>-9.4017094017094044E-2</v>
      </c>
      <c r="L136" s="18">
        <f>IF(ISNUMBER(J136), $B145 * K136, "")</f>
        <v>-9401.7094017094041</v>
      </c>
      <c r="M136" s="31">
        <v>70.900000000000006</v>
      </c>
      <c r="N136" s="32">
        <f t="shared" ref="N136:N139" si="73">IF(ISNUMBER(M136), (M136 - $B136) / $B136, "")</f>
        <v>-0.1343101343101343</v>
      </c>
      <c r="O136" s="18">
        <f>IF(ISNUMBER(M136), $B145 * N136, "")</f>
        <v>-13431.013431013431</v>
      </c>
      <c r="Q136" s="242"/>
      <c r="R136" s="243"/>
      <c r="S136" s="244"/>
    </row>
    <row r="137" spans="1:19" ht="17.25" thickBot="1">
      <c r="A137" s="162" t="s">
        <v>154</v>
      </c>
      <c r="B137" s="126">
        <v>11.6</v>
      </c>
      <c r="C137" s="77">
        <v>-8.5470084999999998E-3</v>
      </c>
      <c r="D137" s="15">
        <v>10.199999999999999</v>
      </c>
      <c r="E137" s="32">
        <f t="shared" si="70"/>
        <v>-0.12068965517241383</v>
      </c>
      <c r="F137" s="18">
        <f>IF(ISNUMBER(D137), $B145 * E137, "")</f>
        <v>-12068.965517241382</v>
      </c>
      <c r="G137" s="31">
        <v>10.199999999999999</v>
      </c>
      <c r="H137" s="32">
        <f t="shared" si="71"/>
        <v>-0.12068965517241383</v>
      </c>
      <c r="I137" s="101">
        <f>IF(ISNUMBER(G137), $B145 * H137, "")</f>
        <v>-12068.965517241382</v>
      </c>
      <c r="J137" s="15">
        <v>10.5</v>
      </c>
      <c r="K137" s="32">
        <f t="shared" si="72"/>
        <v>-9.4827586206896519E-2</v>
      </c>
      <c r="L137" s="18">
        <f>IF(ISNUMBER(J137), $B145 * K137, "")</f>
        <v>-9482.7586206896522</v>
      </c>
      <c r="M137" s="31">
        <v>9.8800000000000008</v>
      </c>
      <c r="N137" s="32">
        <f t="shared" si="73"/>
        <v>-0.14827586206896542</v>
      </c>
      <c r="O137" s="18">
        <f>IF(ISNUMBER(M137), $B145 * N137, "")</f>
        <v>-14827.586206896542</v>
      </c>
      <c r="Q137" s="235"/>
      <c r="R137" s="235"/>
      <c r="S137" s="235"/>
    </row>
    <row r="138" spans="1:19" ht="17.25" thickBot="1">
      <c r="A138" s="162" t="s">
        <v>152</v>
      </c>
      <c r="B138" s="126">
        <v>21.7</v>
      </c>
      <c r="C138" s="77">
        <v>-9.1324201000000001E-3</v>
      </c>
      <c r="D138" s="15">
        <v>18.399999999999999</v>
      </c>
      <c r="E138" s="32">
        <f t="shared" si="70"/>
        <v>-0.15207373271889404</v>
      </c>
      <c r="F138" s="18">
        <f>IF(ISNUMBER(D138), $B145 * E138, "")</f>
        <v>-15207.373271889404</v>
      </c>
      <c r="G138" s="31">
        <v>18.7</v>
      </c>
      <c r="H138" s="32">
        <f t="shared" si="71"/>
        <v>-0.13824884792626729</v>
      </c>
      <c r="I138" s="101">
        <f>IF(ISNUMBER(G138), $B145 * H138, "")</f>
        <v>-13824.88479262673</v>
      </c>
      <c r="J138" s="15">
        <v>18.600000000000001</v>
      </c>
      <c r="K138" s="32">
        <f t="shared" si="72"/>
        <v>-0.14285714285714277</v>
      </c>
      <c r="L138" s="18">
        <f>IF(ISNUMBER(J138), $B145 * K138, "")</f>
        <v>-14285.714285714277</v>
      </c>
      <c r="M138" s="31">
        <v>17.2</v>
      </c>
      <c r="N138" s="32">
        <f t="shared" si="73"/>
        <v>-0.20737327188940094</v>
      </c>
      <c r="O138" s="18">
        <f>IF(ISNUMBER(M138), $B145 * N138, "")</f>
        <v>-20737.327188940093</v>
      </c>
      <c r="Q138" s="245"/>
      <c r="R138" s="245"/>
      <c r="S138" s="245"/>
    </row>
    <row r="139" spans="1:19" ht="17.25" thickBot="1">
      <c r="A139" s="163" t="s">
        <v>218</v>
      </c>
      <c r="B139" s="128">
        <v>17</v>
      </c>
      <c r="C139" s="78">
        <v>-1.1627907E-2</v>
      </c>
      <c r="D139" s="20">
        <v>15</v>
      </c>
      <c r="E139" s="21">
        <f t="shared" si="70"/>
        <v>-0.11764705882352941</v>
      </c>
      <c r="F139" s="22">
        <f>IF(ISNUMBER(D139), $B145 * E139, "")</f>
        <v>-11764.705882352941</v>
      </c>
      <c r="G139" s="30">
        <v>15</v>
      </c>
      <c r="H139" s="21">
        <f t="shared" si="71"/>
        <v>-0.11764705882352941</v>
      </c>
      <c r="I139" s="105">
        <f>IF(ISNUMBER(G139), $B145 * H139, "")</f>
        <v>-11764.705882352941</v>
      </c>
      <c r="J139" s="20">
        <v>15.1</v>
      </c>
      <c r="K139" s="21">
        <f t="shared" si="72"/>
        <v>-0.11176470588235296</v>
      </c>
      <c r="L139" s="22">
        <f>IF(ISNUMBER(J139), $B145 * K139, "")</f>
        <v>-11176.470588235296</v>
      </c>
      <c r="M139" s="30">
        <v>14.2</v>
      </c>
      <c r="N139" s="21">
        <f t="shared" si="73"/>
        <v>-0.16470588235294123</v>
      </c>
      <c r="O139" s="22">
        <f>IF(ISNUMBER(M139), $B145 * N139, "")</f>
        <v>-16470.588235294123</v>
      </c>
      <c r="Q139" s="245"/>
      <c r="R139" s="245"/>
      <c r="S139" s="245"/>
    </row>
    <row r="140" spans="1:19" ht="17.25" thickBot="1">
      <c r="A140" s="162" t="s">
        <v>100</v>
      </c>
      <c r="B140" s="129">
        <v>4.63</v>
      </c>
      <c r="C140" s="80">
        <v>-1.2793176999999999E-2</v>
      </c>
      <c r="D140" s="106">
        <v>4.12</v>
      </c>
      <c r="E140" s="107">
        <f>IF(ISNUMBER(D140), (D140 - $B140) / $B140, "")</f>
        <v>-0.11015118790496756</v>
      </c>
      <c r="F140" s="108">
        <f>IF(ISNUMBER(D140), $B145 * E140, "")</f>
        <v>-11015.118790496756</v>
      </c>
      <c r="G140" s="109">
        <v>4.3099999999999996</v>
      </c>
      <c r="H140" s="107">
        <f>IF(ISNUMBER(G140), (G140 - $B140) / $B140, "")</f>
        <v>-6.9114470842332673E-2</v>
      </c>
      <c r="I140" s="110">
        <f>IF(ISNUMBER(G140), $B145 * H140, "")</f>
        <v>-6911.4470842332676</v>
      </c>
      <c r="J140" s="106">
        <v>4.28</v>
      </c>
      <c r="K140" s="107">
        <f>IF(ISNUMBER(J140), (J140 - $B140) / $B140, "")</f>
        <v>-7.5593952483801227E-2</v>
      </c>
      <c r="L140" s="108">
        <f>IF(ISNUMBER(J140), $B145 * K140, "")</f>
        <v>-7559.3952483801231</v>
      </c>
      <c r="M140" s="109">
        <v>4.0599999999999996</v>
      </c>
      <c r="N140" s="107">
        <f>IF(ISNUMBER(M140), (M140 - $B140) / $B140, "")</f>
        <v>-0.12311015118790503</v>
      </c>
      <c r="O140" s="108">
        <f>IF(ISNUMBER(M140), $B145 * N140, "")</f>
        <v>-12311.015118790503</v>
      </c>
      <c r="Q140" s="235"/>
      <c r="R140" s="235"/>
      <c r="S140" s="235"/>
    </row>
    <row r="141" spans="1:19" ht="17.25" thickBot="1">
      <c r="A141" s="162" t="s">
        <v>122</v>
      </c>
      <c r="B141" s="126">
        <v>66.900000000000006</v>
      </c>
      <c r="C141" s="77">
        <v>-1.32743363E-2</v>
      </c>
      <c r="D141" s="15">
        <v>57.7</v>
      </c>
      <c r="E141" s="32">
        <f t="shared" ref="E141:E144" si="74">IF(ISNUMBER(D141), (D141 - $B141) / $B141, "")</f>
        <v>-0.13751868460388642</v>
      </c>
      <c r="F141" s="18">
        <f>IF(ISNUMBER(D141), $B145 * E141, "")</f>
        <v>-13751.868460388641</v>
      </c>
      <c r="G141" s="31">
        <v>57.7</v>
      </c>
      <c r="H141" s="32">
        <f t="shared" ref="H141:H144" si="75">IF(ISNUMBER(G141), (G141 - $B141) / $B141, "")</f>
        <v>-0.13751868460388642</v>
      </c>
      <c r="I141" s="101">
        <f>IF(ISNUMBER(G141), $B145 * H141, "")</f>
        <v>-13751.868460388641</v>
      </c>
      <c r="J141" s="15">
        <v>58.2</v>
      </c>
      <c r="K141" s="32">
        <f t="shared" ref="K141:K144" si="76">IF(ISNUMBER(J141), (J141 - $B141) / $B141, "")</f>
        <v>-0.1300448430493274</v>
      </c>
      <c r="L141" s="18">
        <f>IF(ISNUMBER(J141), $B145 * K141, "")</f>
        <v>-13004.484304932739</v>
      </c>
      <c r="M141" s="31">
        <v>53.9</v>
      </c>
      <c r="N141" s="32">
        <f t="shared" ref="N141:N144" si="77">IF(ISNUMBER(M141), (M141 - $B141) / $B141, "")</f>
        <v>-0.19431988041853521</v>
      </c>
      <c r="O141" s="18">
        <f>IF(ISNUMBER(M141), $B145 * N141, "")</f>
        <v>-19431.988041853521</v>
      </c>
      <c r="Q141" s="235"/>
      <c r="R141" s="235"/>
      <c r="S141" s="235"/>
    </row>
    <row r="142" spans="1:19" ht="17.25" thickBot="1">
      <c r="A142" s="162" t="s">
        <v>65</v>
      </c>
      <c r="B142" s="126">
        <v>36.700000000000003</v>
      </c>
      <c r="C142" s="77">
        <v>-2.13333333E-2</v>
      </c>
      <c r="D142" s="15">
        <v>33.700000000000003</v>
      </c>
      <c r="E142" s="32">
        <f t="shared" si="74"/>
        <v>-8.1743869209809264E-2</v>
      </c>
      <c r="F142" s="18">
        <f>IF(ISNUMBER(D142), $B145 * E142, "")</f>
        <v>-8174.3869209809263</v>
      </c>
      <c r="G142" s="31">
        <v>33.4</v>
      </c>
      <c r="H142" s="32">
        <f t="shared" si="75"/>
        <v>-8.9918256130790297E-2</v>
      </c>
      <c r="I142" s="101">
        <f>IF(ISNUMBER(G142), $B145 * H142, "")</f>
        <v>-8991.8256130790305</v>
      </c>
      <c r="J142" s="15">
        <v>33.700000000000003</v>
      </c>
      <c r="K142" s="32">
        <f t="shared" si="76"/>
        <v>-8.1743869209809264E-2</v>
      </c>
      <c r="L142" s="18">
        <f>IF(ISNUMBER(J142), $B145 * K142, "")</f>
        <v>-8174.3869209809263</v>
      </c>
      <c r="M142" s="31">
        <v>31.2</v>
      </c>
      <c r="N142" s="32">
        <f t="shared" si="77"/>
        <v>-0.14986376021798373</v>
      </c>
      <c r="O142" s="18">
        <f>IF(ISNUMBER(M142), $B145 * N142, "")</f>
        <v>-14986.376021798373</v>
      </c>
      <c r="Q142" s="235"/>
      <c r="R142" s="235"/>
      <c r="S142" s="235"/>
    </row>
    <row r="143" spans="1:19">
      <c r="A143" s="162" t="s">
        <v>134</v>
      </c>
      <c r="B143" s="126">
        <v>99.7</v>
      </c>
      <c r="C143" s="77">
        <v>-3.2038835000000002E-2</v>
      </c>
      <c r="D143" s="15">
        <v>85.8</v>
      </c>
      <c r="E143" s="32">
        <f t="shared" si="74"/>
        <v>-0.13941825476429293</v>
      </c>
      <c r="F143" s="18">
        <f>IF(ISNUMBER(D143), $B145 * E143, "")</f>
        <v>-13941.825476429292</v>
      </c>
      <c r="G143" s="31">
        <v>87</v>
      </c>
      <c r="H143" s="32">
        <f t="shared" si="75"/>
        <v>-0.12738214643931797</v>
      </c>
      <c r="I143" s="101">
        <f>IF(ISNUMBER(G143), $B145 * H143, "")</f>
        <v>-12738.214643931797</v>
      </c>
      <c r="J143" s="15">
        <v>86.5</v>
      </c>
      <c r="K143" s="32">
        <f t="shared" si="76"/>
        <v>-0.13239719157472421</v>
      </c>
      <c r="L143" s="18">
        <f>IF(ISNUMBER(J143), $B145 * K143, "")</f>
        <v>-13239.71915747242</v>
      </c>
      <c r="M143" s="31">
        <v>82.2</v>
      </c>
      <c r="N143" s="32">
        <f t="shared" si="77"/>
        <v>-0.17552657973921765</v>
      </c>
      <c r="O143" s="18">
        <f>IF(ISNUMBER(M143), $B145 * N143, "")</f>
        <v>-17552.657973921763</v>
      </c>
      <c r="Q143" s="224"/>
      <c r="R143" s="225"/>
      <c r="S143" s="226"/>
    </row>
    <row r="144" spans="1:19" ht="17.25" thickBot="1">
      <c r="A144" s="130" t="s">
        <v>186</v>
      </c>
      <c r="B144" s="131">
        <v>19.3</v>
      </c>
      <c r="C144" s="79">
        <v>-9.8130841100000005E-2</v>
      </c>
      <c r="D144" s="24">
        <v>16</v>
      </c>
      <c r="E144" s="25">
        <f t="shared" si="74"/>
        <v>-0.17098445595854925</v>
      </c>
      <c r="F144" s="104">
        <f>IF(ISNUMBER(D144), $B145 * E144, "")</f>
        <v>-17098.445595854926</v>
      </c>
      <c r="G144" s="102">
        <v>15.4</v>
      </c>
      <c r="H144" s="25">
        <f t="shared" si="75"/>
        <v>-0.20207253886010365</v>
      </c>
      <c r="I144" s="103">
        <f>IF(ISNUMBER(G144), $B145 * H144, "")</f>
        <v>-20207.253886010367</v>
      </c>
      <c r="J144" s="24">
        <v>15.5</v>
      </c>
      <c r="K144" s="25">
        <f t="shared" si="76"/>
        <v>-0.19689119170984459</v>
      </c>
      <c r="L144" s="104">
        <f>IF(ISNUMBER(J144), $B145 * K144, "")</f>
        <v>-19689.119170984461</v>
      </c>
      <c r="M144" s="102">
        <v>14.5</v>
      </c>
      <c r="N144" s="25">
        <f t="shared" si="77"/>
        <v>-0.24870466321243526</v>
      </c>
      <c r="O144" s="104">
        <f>IF(ISNUMBER(M144), $B145 * N144, "")</f>
        <v>-24870.466321243526</v>
      </c>
      <c r="Q144" s="227"/>
      <c r="R144" s="228"/>
      <c r="S144" s="229"/>
    </row>
    <row r="145" spans="1:19" ht="17.25" thickBot="1">
      <c r="A145" s="132" t="s">
        <v>300</v>
      </c>
      <c r="B145" s="288">
        <f>$B$37</f>
        <v>100000</v>
      </c>
      <c r="C145" s="289"/>
      <c r="D145" s="26" t="s">
        <v>301</v>
      </c>
      <c r="E145" s="27">
        <f>IF(COUNT(E125:E144), SUM(E125:E144) / COUNT(E125:E144), 0)</f>
        <v>-0.130608385593837</v>
      </c>
      <c r="F145" s="28">
        <f>SUM(F125:F144)</f>
        <v>-261216.77118767402</v>
      </c>
      <c r="G145" s="26" t="s">
        <v>301</v>
      </c>
      <c r="H145" s="27">
        <f>IF(COUNT(H125:H144), SUM(H125:H144) / COUNT(H125:H144), 0)</f>
        <v>-0.12847310458089339</v>
      </c>
      <c r="I145" s="28">
        <f>SUM(I125:I144)</f>
        <v>-256946.20916178677</v>
      </c>
      <c r="J145" s="26" t="s">
        <v>301</v>
      </c>
      <c r="K145" s="27">
        <f>IF(COUNT(K125:K144), SUM(K125:K144) / COUNT(K125:K144), 0)</f>
        <v>-0.12445045734719851</v>
      </c>
      <c r="L145" s="28">
        <f>SUM(L125:L144)</f>
        <v>-248900.91469439701</v>
      </c>
      <c r="M145" s="26" t="s">
        <v>301</v>
      </c>
      <c r="N145" s="27">
        <f>IF(COUNT(N125:N144), SUM(N125:N144) / COUNT(N125:N144), 0)</f>
        <v>-0.18059043078532361</v>
      </c>
      <c r="O145" s="28">
        <f>SUM(O125:O144)</f>
        <v>-361180.86157064722</v>
      </c>
      <c r="Q145" s="230"/>
      <c r="R145" s="231"/>
      <c r="S145" s="232"/>
    </row>
    <row r="147" spans="1:19" ht="17.25" thickBot="1"/>
    <row r="148" spans="1:19" ht="17.25" thickBot="1">
      <c r="A148" s="246" t="s">
        <v>289</v>
      </c>
      <c r="B148" s="247"/>
      <c r="C148" s="247"/>
      <c r="D148" s="247"/>
      <c r="E148" s="247"/>
      <c r="F148" s="247"/>
      <c r="G148" s="247"/>
      <c r="H148" s="247"/>
      <c r="I148" s="247"/>
      <c r="J148" s="247"/>
      <c r="K148" s="247"/>
      <c r="L148" s="247"/>
      <c r="M148" s="247"/>
      <c r="N148" s="247"/>
      <c r="O148" s="248"/>
      <c r="Q148" s="245"/>
      <c r="R148" s="245"/>
      <c r="S148" s="245"/>
    </row>
    <row r="149" spans="1:19" ht="17.25" thickBot="1">
      <c r="A149" s="188" t="s">
        <v>297</v>
      </c>
      <c r="B149" s="246" t="s">
        <v>49</v>
      </c>
      <c r="C149" s="248"/>
      <c r="D149" s="246" t="s">
        <v>58</v>
      </c>
      <c r="E149" s="247"/>
      <c r="F149" s="248"/>
      <c r="G149" s="249">
        <f>_xlfn.IFNA(VLOOKUP(B149, 현재가테이블!$B$2:$D$200, 2, FALSE), "-")</f>
        <v>45335000</v>
      </c>
      <c r="H149" s="250"/>
      <c r="I149" s="251"/>
      <c r="J149" s="246" t="s">
        <v>59</v>
      </c>
      <c r="K149" s="247"/>
      <c r="L149" s="248"/>
      <c r="M149" s="252">
        <f>_xlfn.IFNA(VLOOKUP(B149, 현재가테이블!$B$2:$D$200, 3, FALSE), "-")</f>
        <v>-2.27209037E-2</v>
      </c>
      <c r="N149" s="253"/>
      <c r="O149" s="254"/>
      <c r="Q149" s="245"/>
      <c r="R149" s="245"/>
      <c r="S149" s="245"/>
    </row>
    <row r="150" spans="1:19" ht="17.25" thickBot="1">
      <c r="A150" s="290" t="s">
        <v>55</v>
      </c>
      <c r="B150" s="286" t="str">
        <f>TEXT($G$1, "[$-ko-KR]yyyy-mm-dd(ddd) ") &amp; "오전 00:00"</f>
        <v>2021-06-08(화) 오전 00:00</v>
      </c>
      <c r="C150" s="287"/>
      <c r="D150" s="259" t="str">
        <f>TEXT($G$1, "[$-ko-KR]yyyy-mm-dd(ddd) ") &amp; "오후 14:00"</f>
        <v>2021-06-08(화) 오후 14:00</v>
      </c>
      <c r="E150" s="260"/>
      <c r="F150" s="261"/>
      <c r="G150" s="259" t="str">
        <f>TEXT($G$1, "[$-ko-KR]yyyy-mm-dd(ddd) ") &amp; "오후 19:00"</f>
        <v>2021-06-08(화) 오후 19:00</v>
      </c>
      <c r="H150" s="260"/>
      <c r="I150" s="261"/>
      <c r="J150" s="259" t="str">
        <f>TEXT($G$1, "[$-ko-KR]yyyy-mm-dd(ddd) ") &amp; "오후 21:00"</f>
        <v>2021-06-08(화) 오후 21:00</v>
      </c>
      <c r="K150" s="260"/>
      <c r="L150" s="261"/>
      <c r="M150" s="259" t="str">
        <f>TEXT($G$1+1, "[$-ko-KR]yyyy-mm-dd(ddd) ") &amp; "오전 00:00"</f>
        <v>2021-06-09(수) 오전 00:00</v>
      </c>
      <c r="N150" s="260"/>
      <c r="O150" s="261"/>
      <c r="Q150" s="245"/>
      <c r="R150" s="245"/>
      <c r="S150" s="245"/>
    </row>
    <row r="151" spans="1:19" ht="17.25" thickBot="1">
      <c r="A151" s="291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89" t="s">
        <v>58</v>
      </c>
      <c r="H151" s="190" t="s">
        <v>298</v>
      </c>
      <c r="I151" s="191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5"/>
      <c r="R151" s="235"/>
      <c r="S151" s="235"/>
    </row>
    <row r="152" spans="1:19" ht="17.25" thickBot="1">
      <c r="A152" s="161" t="s">
        <v>168</v>
      </c>
      <c r="B152" s="124">
        <v>109</v>
      </c>
      <c r="C152" s="76">
        <v>0</v>
      </c>
      <c r="D152" s="13">
        <v>93.3</v>
      </c>
      <c r="E152" s="14">
        <f>IF(ISNUMBER(D152), (D152 - $B152) / $B152, "")</f>
        <v>-0.14403669724770646</v>
      </c>
      <c r="F152" s="16">
        <f>IF(ISNUMBER(D152), $B172 * E152, "")</f>
        <v>-14403.669724770645</v>
      </c>
      <c r="G152" s="29">
        <v>93.3</v>
      </c>
      <c r="H152" s="14">
        <f>IF(ISNUMBER(G152), (G152 - $B152) / $B152, "")</f>
        <v>-0.14403669724770646</v>
      </c>
      <c r="I152" s="100">
        <f>IF(ISNUMBER(G152), $B172 * H152, "")</f>
        <v>-14403.669724770645</v>
      </c>
      <c r="J152" s="13">
        <v>94</v>
      </c>
      <c r="K152" s="14">
        <f>IF(ISNUMBER(J152), (J152 - $B152) / $B152, "")</f>
        <v>-0.13761467889908258</v>
      </c>
      <c r="L152" s="16">
        <f>IF(ISNUMBER(J152), $B172 * K152, "")</f>
        <v>-13761.467889908257</v>
      </c>
      <c r="M152" s="29">
        <v>88.2</v>
      </c>
      <c r="N152" s="14">
        <f>IF(ISNUMBER(M152), (M152 - $B152) / $B152, "")</f>
        <v>-0.19082568807339448</v>
      </c>
      <c r="O152" s="16">
        <f>IF(ISNUMBER(M152), $B172 * N152, "")</f>
        <v>-19082.568807339449</v>
      </c>
      <c r="Q152" s="245"/>
      <c r="R152" s="245"/>
      <c r="S152" s="245"/>
    </row>
    <row r="153" spans="1:19" ht="17.25" thickBot="1">
      <c r="A153" s="162" t="s">
        <v>128</v>
      </c>
      <c r="B153" s="126">
        <v>378</v>
      </c>
      <c r="C153" s="77">
        <v>0</v>
      </c>
      <c r="D153" s="15">
        <v>327</v>
      </c>
      <c r="E153" s="32">
        <f t="shared" ref="E153:E156" si="78">IF(ISNUMBER(D153), (D153 - $B153) / $B153, "")</f>
        <v>-0.13492063492063491</v>
      </c>
      <c r="F153" s="18">
        <f>IF(ISNUMBER(D153), $B172 * E153, "")</f>
        <v>-13492.063492063491</v>
      </c>
      <c r="G153" s="31">
        <v>323</v>
      </c>
      <c r="H153" s="32">
        <f t="shared" ref="H153:H156" si="79">IF(ISNUMBER(G153), (G153 - $B153) / $B153, "")</f>
        <v>-0.14550264550264549</v>
      </c>
      <c r="I153" s="101">
        <f>IF(ISNUMBER(G153), $B172 * H153, "")</f>
        <v>-14550.26455026455</v>
      </c>
      <c r="J153" s="15">
        <v>329</v>
      </c>
      <c r="K153" s="32">
        <f t="shared" ref="K153:K156" si="80">IF(ISNUMBER(J153), (J153 - $B153) / $B153, "")</f>
        <v>-0.12962962962962962</v>
      </c>
      <c r="L153" s="18">
        <f>IF(ISNUMBER(J153), $B172 * K153, "")</f>
        <v>-12962.962962962962</v>
      </c>
      <c r="M153" s="31">
        <v>308</v>
      </c>
      <c r="N153" s="32">
        <f t="shared" ref="N153:N156" si="81">IF(ISNUMBER(M153), (M153 - $B153) / $B153, "")</f>
        <v>-0.18518518518518517</v>
      </c>
      <c r="O153" s="18">
        <f>IF(ISNUMBER(M153), $B172 * N153, "")</f>
        <v>-18518.518518518518</v>
      </c>
      <c r="Q153" s="245"/>
      <c r="R153" s="245"/>
      <c r="S153" s="245"/>
    </row>
    <row r="154" spans="1:19" ht="17.25" thickBot="1">
      <c r="A154" s="162" t="s">
        <v>232</v>
      </c>
      <c r="B154" s="126">
        <v>122</v>
      </c>
      <c r="C154" s="77">
        <v>0</v>
      </c>
      <c r="D154" s="15">
        <v>108</v>
      </c>
      <c r="E154" s="32">
        <f t="shared" si="78"/>
        <v>-0.11475409836065574</v>
      </c>
      <c r="F154" s="18">
        <f>IF(ISNUMBER(D154), $B172 * E154, "")</f>
        <v>-11475.409836065573</v>
      </c>
      <c r="G154" s="31">
        <v>108</v>
      </c>
      <c r="H154" s="32">
        <f t="shared" si="79"/>
        <v>-0.11475409836065574</v>
      </c>
      <c r="I154" s="101">
        <f>IF(ISNUMBER(G154), $B172 * H154, "")</f>
        <v>-11475.409836065573</v>
      </c>
      <c r="J154" s="15">
        <v>109</v>
      </c>
      <c r="K154" s="32">
        <f t="shared" si="80"/>
        <v>-0.10655737704918032</v>
      </c>
      <c r="L154" s="18">
        <f>IF(ISNUMBER(J154), $B172 * K154, "")</f>
        <v>-10655.737704918032</v>
      </c>
      <c r="M154" s="31">
        <v>101</v>
      </c>
      <c r="N154" s="32">
        <f t="shared" si="81"/>
        <v>-0.1721311475409836</v>
      </c>
      <c r="O154" s="18">
        <f>IF(ISNUMBER(M154), $B172 * N154, "")</f>
        <v>-17213.114754098362</v>
      </c>
      <c r="Q154" s="235"/>
      <c r="R154" s="235"/>
      <c r="S154" s="235"/>
    </row>
    <row r="155" spans="1:19" ht="17.25" thickBot="1">
      <c r="A155" s="162" t="s">
        <v>170</v>
      </c>
      <c r="B155" s="126">
        <v>300</v>
      </c>
      <c r="C155" s="77">
        <v>0</v>
      </c>
      <c r="D155" s="15">
        <v>262</v>
      </c>
      <c r="E155" s="32">
        <f t="shared" si="78"/>
        <v>-0.12666666666666668</v>
      </c>
      <c r="F155" s="18">
        <f>IF(ISNUMBER(D155), $B172 * E155, "")</f>
        <v>-12666.666666666668</v>
      </c>
      <c r="G155" s="31">
        <v>261</v>
      </c>
      <c r="H155" s="32">
        <f t="shared" si="79"/>
        <v>-0.13</v>
      </c>
      <c r="I155" s="101">
        <f>IF(ISNUMBER(G155), $B172 * H155, "")</f>
        <v>-13000</v>
      </c>
      <c r="J155" s="15">
        <v>268</v>
      </c>
      <c r="K155" s="32">
        <f t="shared" si="80"/>
        <v>-0.10666666666666667</v>
      </c>
      <c r="L155" s="18">
        <f>IF(ISNUMBER(J155), $B172 * K155, "")</f>
        <v>-10666.666666666668</v>
      </c>
      <c r="M155" s="31">
        <v>249</v>
      </c>
      <c r="N155" s="32">
        <f t="shared" si="81"/>
        <v>-0.17</v>
      </c>
      <c r="O155" s="18">
        <f>IF(ISNUMBER(M155), $B172 * N155, "")</f>
        <v>-17000</v>
      </c>
      <c r="Q155" s="235"/>
      <c r="R155" s="235"/>
      <c r="S155" s="235"/>
    </row>
    <row r="156" spans="1:19" ht="17.25" thickBot="1">
      <c r="A156" s="163" t="s">
        <v>246</v>
      </c>
      <c r="B156" s="128">
        <v>315</v>
      </c>
      <c r="C156" s="78">
        <v>-3.1645570000000001E-3</v>
      </c>
      <c r="D156" s="20">
        <v>270</v>
      </c>
      <c r="E156" s="21">
        <f t="shared" si="78"/>
        <v>-0.14285714285714285</v>
      </c>
      <c r="F156" s="22">
        <f>IF(ISNUMBER(D156), $B172 * E156, "")</f>
        <v>-14285.714285714284</v>
      </c>
      <c r="G156" s="30">
        <v>272</v>
      </c>
      <c r="H156" s="21">
        <f t="shared" si="79"/>
        <v>-0.13650793650793649</v>
      </c>
      <c r="I156" s="105">
        <f>IF(ISNUMBER(G156), $B172 * H156, "")</f>
        <v>-13650.79365079365</v>
      </c>
      <c r="J156" s="20">
        <v>274</v>
      </c>
      <c r="K156" s="21">
        <f t="shared" si="80"/>
        <v>-0.13015873015873017</v>
      </c>
      <c r="L156" s="22">
        <f>IF(ISNUMBER(J156), $B172 * K156, "")</f>
        <v>-13015.873015873018</v>
      </c>
      <c r="M156" s="30">
        <v>255</v>
      </c>
      <c r="N156" s="21">
        <f t="shared" si="81"/>
        <v>-0.19047619047619047</v>
      </c>
      <c r="O156" s="22">
        <f>IF(ISNUMBER(M156), $B172 * N156, "")</f>
        <v>-19047.619047619046</v>
      </c>
      <c r="Q156" s="235"/>
      <c r="R156" s="235"/>
      <c r="S156" s="235"/>
    </row>
    <row r="157" spans="1:19" ht="17.25" thickBot="1">
      <c r="A157" s="162" t="s">
        <v>57</v>
      </c>
      <c r="B157" s="129">
        <v>217</v>
      </c>
      <c r="C157" s="80">
        <v>-4.5871560000000002E-3</v>
      </c>
      <c r="D157" s="106">
        <v>191</v>
      </c>
      <c r="E157" s="107">
        <f>IF(ISNUMBER(D157), (D157 - $B157) / $B157, "")</f>
        <v>-0.11981566820276497</v>
      </c>
      <c r="F157" s="108">
        <f>IF(ISNUMBER(D157), $B172 * E157, "")</f>
        <v>-11981.566820276497</v>
      </c>
      <c r="G157" s="109">
        <v>189</v>
      </c>
      <c r="H157" s="107">
        <f>IF(ISNUMBER(G157), (G157 - $B157) / $B157, "")</f>
        <v>-0.12903225806451613</v>
      </c>
      <c r="I157" s="110">
        <f>IF(ISNUMBER(G157), $B172 * H157, "")</f>
        <v>-12903.225806451612</v>
      </c>
      <c r="J157" s="106">
        <v>192</v>
      </c>
      <c r="K157" s="107">
        <f>IF(ISNUMBER(J157), (J157 - $B157) / $B157, "")</f>
        <v>-0.1152073732718894</v>
      </c>
      <c r="L157" s="108">
        <f>IF(ISNUMBER(J157), $B172 * K157, "")</f>
        <v>-11520.737327188941</v>
      </c>
      <c r="M157" s="109">
        <v>183</v>
      </c>
      <c r="N157" s="107">
        <f>IF(ISNUMBER(M157), (M157 - $B157) / $B157, "")</f>
        <v>-0.15668202764976957</v>
      </c>
      <c r="O157" s="108">
        <f>IF(ISNUMBER(M157), $B172 * N157, "")</f>
        <v>-15668.202764976957</v>
      </c>
      <c r="Q157" s="235"/>
      <c r="R157" s="235"/>
      <c r="S157" s="235"/>
    </row>
    <row r="158" spans="1:19" ht="17.25" thickBot="1">
      <c r="A158" s="162" t="s">
        <v>258</v>
      </c>
      <c r="B158" s="126">
        <v>489</v>
      </c>
      <c r="C158" s="77">
        <v>-6.0975609999999996E-3</v>
      </c>
      <c r="D158" s="15">
        <v>424</v>
      </c>
      <c r="E158" s="32">
        <f t="shared" ref="E158:E161" si="82">IF(ISNUMBER(D158), (D158 - $B158) / $B158, "")</f>
        <v>-0.1329243353783231</v>
      </c>
      <c r="F158" s="18">
        <f>IF(ISNUMBER(D158), $B172 * E158, "")</f>
        <v>-13292.43353783231</v>
      </c>
      <c r="G158" s="31">
        <v>432</v>
      </c>
      <c r="H158" s="32">
        <f t="shared" ref="H158:H161" si="83">IF(ISNUMBER(G158), (G158 - $B158) / $B158, "")</f>
        <v>-0.1165644171779141</v>
      </c>
      <c r="I158" s="101">
        <f>IF(ISNUMBER(G158), $B172 * H158, "")</f>
        <v>-11656.441717791411</v>
      </c>
      <c r="J158" s="15">
        <v>432</v>
      </c>
      <c r="K158" s="32">
        <f t="shared" ref="K158:K161" si="84">IF(ISNUMBER(J158), (J158 - $B158) / $B158, "")</f>
        <v>-0.1165644171779141</v>
      </c>
      <c r="L158" s="18">
        <f>IF(ISNUMBER(J158), $B172 * K158, "")</f>
        <v>-11656.441717791411</v>
      </c>
      <c r="M158" s="31">
        <v>407</v>
      </c>
      <c r="N158" s="32">
        <f t="shared" ref="N158:N161" si="85">IF(ISNUMBER(M158), (M158 - $B158) / $B158, "")</f>
        <v>-0.16768916155419222</v>
      </c>
      <c r="O158" s="18">
        <f>IF(ISNUMBER(M158), $B172 * N158, "")</f>
        <v>-16768.916155419221</v>
      </c>
      <c r="Q158" s="235"/>
      <c r="R158" s="235"/>
      <c r="S158" s="235"/>
    </row>
    <row r="159" spans="1:19" ht="17.25" thickBot="1">
      <c r="A159" s="162" t="s">
        <v>208</v>
      </c>
      <c r="B159" s="126">
        <v>320</v>
      </c>
      <c r="C159" s="77">
        <v>-6.2111800999999998E-3</v>
      </c>
      <c r="D159" s="15">
        <v>273</v>
      </c>
      <c r="E159" s="32">
        <f t="shared" si="82"/>
        <v>-0.14687500000000001</v>
      </c>
      <c r="F159" s="18">
        <f>IF(ISNUMBER(D159), $B172 * E159, "")</f>
        <v>-14687.5</v>
      </c>
      <c r="G159" s="31">
        <v>275</v>
      </c>
      <c r="H159" s="32">
        <f t="shared" si="83"/>
        <v>-0.140625</v>
      </c>
      <c r="I159" s="101">
        <f>IF(ISNUMBER(G159), $B172 * H159, "")</f>
        <v>-14062.5</v>
      </c>
      <c r="J159" s="15">
        <v>274</v>
      </c>
      <c r="K159" s="32">
        <f t="shared" si="84"/>
        <v>-0.14374999999999999</v>
      </c>
      <c r="L159" s="18">
        <f>IF(ISNUMBER(J159), $B172 * K159, "")</f>
        <v>-14374.999999999998</v>
      </c>
      <c r="M159" s="31">
        <v>255</v>
      </c>
      <c r="N159" s="32">
        <f t="shared" si="85"/>
        <v>-0.203125</v>
      </c>
      <c r="O159" s="18">
        <f>IF(ISNUMBER(M159), $B172 * N159, "")</f>
        <v>-20312.5</v>
      </c>
      <c r="Q159" s="235"/>
      <c r="R159" s="235"/>
      <c r="S159" s="235"/>
    </row>
    <row r="160" spans="1:19" ht="17.25" thickBot="1">
      <c r="A160" s="162" t="s">
        <v>88</v>
      </c>
      <c r="B160" s="126">
        <v>309</v>
      </c>
      <c r="C160" s="77">
        <v>-6.4308682000000002E-3</v>
      </c>
      <c r="D160" s="15">
        <v>271</v>
      </c>
      <c r="E160" s="32">
        <f t="shared" si="82"/>
        <v>-0.12297734627831715</v>
      </c>
      <c r="F160" s="18">
        <f>IF(ISNUMBER(D160), $B172 * E160, "")</f>
        <v>-12297.734627831715</v>
      </c>
      <c r="G160" s="31">
        <v>269</v>
      </c>
      <c r="H160" s="32">
        <f t="shared" si="83"/>
        <v>-0.12944983818770225</v>
      </c>
      <c r="I160" s="101">
        <f>IF(ISNUMBER(G160), $B172 * H160, "")</f>
        <v>-12944.983818770226</v>
      </c>
      <c r="J160" s="15">
        <v>271</v>
      </c>
      <c r="K160" s="32">
        <f t="shared" si="84"/>
        <v>-0.12297734627831715</v>
      </c>
      <c r="L160" s="18">
        <f>IF(ISNUMBER(J160), $B172 * K160, "")</f>
        <v>-12297.734627831715</v>
      </c>
      <c r="M160" s="31">
        <v>250</v>
      </c>
      <c r="N160" s="32">
        <f t="shared" si="85"/>
        <v>-0.19093851132686085</v>
      </c>
      <c r="O160" s="18">
        <f>IF(ISNUMBER(M160), $B172 * N160, "")</f>
        <v>-19093.851132686086</v>
      </c>
      <c r="Q160" s="33"/>
      <c r="R160" s="33"/>
    </row>
    <row r="161" spans="1:19" ht="17.25" thickBot="1">
      <c r="A161" s="130" t="s">
        <v>51</v>
      </c>
      <c r="B161" s="131">
        <v>441</v>
      </c>
      <c r="C161" s="79">
        <v>-6.7567568000000003E-3</v>
      </c>
      <c r="D161" s="24">
        <v>389</v>
      </c>
      <c r="E161" s="25">
        <f t="shared" si="82"/>
        <v>-0.11791383219954649</v>
      </c>
      <c r="F161" s="104">
        <f>IF(ISNUMBER(D161), $B172 * E161, "")</f>
        <v>-11791.383219954649</v>
      </c>
      <c r="G161" s="102">
        <v>393</v>
      </c>
      <c r="H161" s="25">
        <f t="shared" si="83"/>
        <v>-0.10884353741496598</v>
      </c>
      <c r="I161" s="103">
        <f>IF(ISNUMBER(G161), $B172 * H161, "")</f>
        <v>-10884.353741496598</v>
      </c>
      <c r="J161" s="24">
        <v>397</v>
      </c>
      <c r="K161" s="25">
        <f t="shared" si="84"/>
        <v>-9.9773242630385492E-2</v>
      </c>
      <c r="L161" s="104">
        <f>IF(ISNUMBER(J161), $B172 * K161, "")</f>
        <v>-9977.3242630385485</v>
      </c>
      <c r="M161" s="102">
        <v>374</v>
      </c>
      <c r="N161" s="25">
        <f t="shared" si="85"/>
        <v>-0.15192743764172337</v>
      </c>
      <c r="O161" s="104">
        <f>IF(ISNUMBER(M161), $B172 * N161, "")</f>
        <v>-15192.743764172337</v>
      </c>
      <c r="Q161" s="236"/>
      <c r="R161" s="237"/>
      <c r="S161" s="238"/>
    </row>
    <row r="162" spans="1:19">
      <c r="A162" s="161" t="s">
        <v>240</v>
      </c>
      <c r="B162" s="124">
        <v>133</v>
      </c>
      <c r="C162" s="76">
        <v>-7.4626865999999998E-3</v>
      </c>
      <c r="D162" s="13">
        <v>120</v>
      </c>
      <c r="E162" s="14">
        <f>IF(ISNUMBER(D162), (D162 - $B162) / $B162, "")</f>
        <v>-9.7744360902255634E-2</v>
      </c>
      <c r="F162" s="16">
        <f>IF(ISNUMBER(D162), $B172 * E162, "")</f>
        <v>-9774.436090225563</v>
      </c>
      <c r="G162" s="29">
        <v>117</v>
      </c>
      <c r="H162" s="14">
        <f>IF(ISNUMBER(G162), (G162 - $B162) / $B162, "")</f>
        <v>-0.12030075187969924</v>
      </c>
      <c r="I162" s="100">
        <f>IF(ISNUMBER(G162), $B172 * H162, "")</f>
        <v>-12030.075187969924</v>
      </c>
      <c r="J162" s="13">
        <v>117</v>
      </c>
      <c r="K162" s="14">
        <f>IF(ISNUMBER(J162), (J162 - $B162) / $B162, "")</f>
        <v>-0.12030075187969924</v>
      </c>
      <c r="L162" s="16">
        <f>IF(ISNUMBER(J162), $B172 * K162, "")</f>
        <v>-12030.075187969924</v>
      </c>
      <c r="M162" s="29">
        <v>110</v>
      </c>
      <c r="N162" s="14">
        <f>IF(ISNUMBER(M162), (M162 - $B162) / $B162, "")</f>
        <v>-0.17293233082706766</v>
      </c>
      <c r="O162" s="16">
        <f>IF(ISNUMBER(M162), $B172 * N162, "")</f>
        <v>-17293.233082706767</v>
      </c>
      <c r="Q162" s="239"/>
      <c r="R162" s="240"/>
      <c r="S162" s="241"/>
    </row>
    <row r="163" spans="1:19" ht="17.25" thickBot="1">
      <c r="A163" s="162" t="s">
        <v>270</v>
      </c>
      <c r="B163" s="126">
        <v>362</v>
      </c>
      <c r="C163" s="77">
        <v>-8.2191781000000002E-3</v>
      </c>
      <c r="D163" s="15">
        <v>323</v>
      </c>
      <c r="E163" s="32">
        <f t="shared" ref="E163:E166" si="86">IF(ISNUMBER(D163), (D163 - $B163) / $B163, "")</f>
        <v>-0.10773480662983426</v>
      </c>
      <c r="F163" s="18">
        <f>IF(ISNUMBER(D163), $B172 * E163, "")</f>
        <v>-10773.480662983426</v>
      </c>
      <c r="G163" s="31">
        <v>323</v>
      </c>
      <c r="H163" s="32">
        <f t="shared" ref="H163:H166" si="87">IF(ISNUMBER(G163), (G163 - $B163) / $B163, "")</f>
        <v>-0.10773480662983426</v>
      </c>
      <c r="I163" s="101">
        <f>IF(ISNUMBER(G163), $B172 * H163, "")</f>
        <v>-10773.480662983426</v>
      </c>
      <c r="J163" s="15">
        <v>324</v>
      </c>
      <c r="K163" s="32">
        <f t="shared" ref="K163:K166" si="88">IF(ISNUMBER(J163), (J163 - $B163) / $B163, "")</f>
        <v>-0.10497237569060773</v>
      </c>
      <c r="L163" s="18">
        <f>IF(ISNUMBER(J163), $B172 * K163, "")</f>
        <v>-10497.237569060773</v>
      </c>
      <c r="M163" s="31">
        <v>304</v>
      </c>
      <c r="N163" s="32">
        <f t="shared" ref="N163:N166" si="89">IF(ISNUMBER(M163), (M163 - $B163) / $B163, "")</f>
        <v>-0.16022099447513813</v>
      </c>
      <c r="O163" s="18">
        <f>IF(ISNUMBER(M163), $B172 * N163, "")</f>
        <v>-16022.099447513812</v>
      </c>
      <c r="Q163" s="242"/>
      <c r="R163" s="243"/>
      <c r="S163" s="244"/>
    </row>
    <row r="164" spans="1:19" ht="17.25" thickBot="1">
      <c r="A164" s="162" t="s">
        <v>148</v>
      </c>
      <c r="B164" s="126">
        <v>120</v>
      </c>
      <c r="C164" s="77">
        <v>-8.2644628000000005E-3</v>
      </c>
      <c r="D164" s="15">
        <v>108</v>
      </c>
      <c r="E164" s="32">
        <f t="shared" si="86"/>
        <v>-0.1</v>
      </c>
      <c r="F164" s="18">
        <f>IF(ISNUMBER(D164), $B172 * E164, "")</f>
        <v>-10000</v>
      </c>
      <c r="G164" s="31">
        <v>107</v>
      </c>
      <c r="H164" s="32">
        <f t="shared" si="87"/>
        <v>-0.10833333333333334</v>
      </c>
      <c r="I164" s="101">
        <f>IF(ISNUMBER(G164), $B172 * H164, "")</f>
        <v>-10833.333333333334</v>
      </c>
      <c r="J164" s="15">
        <v>107</v>
      </c>
      <c r="K164" s="32">
        <f t="shared" si="88"/>
        <v>-0.10833333333333334</v>
      </c>
      <c r="L164" s="18">
        <f>IF(ISNUMBER(J164), $B172 * K164, "")</f>
        <v>-10833.333333333334</v>
      </c>
      <c r="M164" s="31">
        <v>102</v>
      </c>
      <c r="N164" s="32">
        <f t="shared" si="89"/>
        <v>-0.15</v>
      </c>
      <c r="O164" s="18">
        <f>IF(ISNUMBER(M164), $B172 * N164, "")</f>
        <v>-15000</v>
      </c>
      <c r="Q164" s="235"/>
      <c r="R164" s="235"/>
      <c r="S164" s="235"/>
    </row>
    <row r="165" spans="1:19" ht="17.25" thickBot="1">
      <c r="A165" s="162" t="s">
        <v>216</v>
      </c>
      <c r="B165" s="126">
        <v>281</v>
      </c>
      <c r="C165" s="77">
        <v>-1.0563380299999999E-2</v>
      </c>
      <c r="D165" s="15">
        <v>264</v>
      </c>
      <c r="E165" s="32">
        <f t="shared" si="86"/>
        <v>-6.0498220640569395E-2</v>
      </c>
      <c r="F165" s="18">
        <f>IF(ISNUMBER(D165), $B172 * E165, "")</f>
        <v>-6049.8220640569398</v>
      </c>
      <c r="G165" s="31">
        <v>271</v>
      </c>
      <c r="H165" s="32">
        <f t="shared" si="87"/>
        <v>-3.5587188612099648E-2</v>
      </c>
      <c r="I165" s="101">
        <f>IF(ISNUMBER(G165), $B172 * H165, "")</f>
        <v>-3558.7188612099649</v>
      </c>
      <c r="J165" s="15">
        <v>281</v>
      </c>
      <c r="K165" s="32">
        <f t="shared" si="88"/>
        <v>0</v>
      </c>
      <c r="L165" s="18">
        <f>IF(ISNUMBER(J165), $B172 * K165, "")</f>
        <v>0</v>
      </c>
      <c r="M165" s="31">
        <v>256</v>
      </c>
      <c r="N165" s="32">
        <f t="shared" si="89"/>
        <v>-8.8967971530249115E-2</v>
      </c>
      <c r="O165" s="18">
        <f>IF(ISNUMBER(M165), $B172 * N165, "")</f>
        <v>-8896.7971530249124</v>
      </c>
      <c r="Q165" s="245"/>
      <c r="R165" s="245"/>
      <c r="S165" s="245"/>
    </row>
    <row r="166" spans="1:19" ht="17.25" thickBot="1">
      <c r="A166" s="163" t="s">
        <v>174</v>
      </c>
      <c r="B166" s="128">
        <v>187</v>
      </c>
      <c r="C166" s="78">
        <v>-1.05820106E-2</v>
      </c>
      <c r="D166" s="20">
        <v>159</v>
      </c>
      <c r="E166" s="21">
        <f t="shared" si="86"/>
        <v>-0.1497326203208556</v>
      </c>
      <c r="F166" s="22">
        <f>IF(ISNUMBER(D166), $B172 * E166, "")</f>
        <v>-14973.26203208556</v>
      </c>
      <c r="G166" s="30">
        <v>160</v>
      </c>
      <c r="H166" s="21">
        <f t="shared" si="87"/>
        <v>-0.14438502673796791</v>
      </c>
      <c r="I166" s="105">
        <f>IF(ISNUMBER(G166), $B172 * H166, "")</f>
        <v>-14438.502673796791</v>
      </c>
      <c r="J166" s="20">
        <v>161</v>
      </c>
      <c r="K166" s="21">
        <f t="shared" si="88"/>
        <v>-0.13903743315508021</v>
      </c>
      <c r="L166" s="22">
        <f>IF(ISNUMBER(J166), $B172 * K166, "")</f>
        <v>-13903.743315508022</v>
      </c>
      <c r="M166" s="30">
        <v>150</v>
      </c>
      <c r="N166" s="21">
        <f t="shared" si="89"/>
        <v>-0.19786096256684493</v>
      </c>
      <c r="O166" s="22">
        <f>IF(ISNUMBER(M166), $B172 * N166, "")</f>
        <v>-19786.096256684494</v>
      </c>
      <c r="Q166" s="245"/>
      <c r="R166" s="245"/>
      <c r="S166" s="245"/>
    </row>
    <row r="167" spans="1:19" ht="17.25" thickBot="1">
      <c r="A167" s="162" t="s">
        <v>132</v>
      </c>
      <c r="B167" s="129">
        <v>151</v>
      </c>
      <c r="C167" s="80">
        <v>-1.30718954E-2</v>
      </c>
      <c r="D167" s="106">
        <v>131</v>
      </c>
      <c r="E167" s="107">
        <f>IF(ISNUMBER(D167), (D167 - $B167) / $B167, "")</f>
        <v>-0.13245033112582782</v>
      </c>
      <c r="F167" s="108">
        <f>IF(ISNUMBER(D167), $B172 * E167, "")</f>
        <v>-13245.033112582783</v>
      </c>
      <c r="G167" s="109">
        <v>129</v>
      </c>
      <c r="H167" s="107">
        <f>IF(ISNUMBER(G167), (G167 - $B167) / $B167, "")</f>
        <v>-0.14569536423841059</v>
      </c>
      <c r="I167" s="110">
        <f>IF(ISNUMBER(G167), $B172 * H167, "")</f>
        <v>-14569.536423841058</v>
      </c>
      <c r="J167" s="106">
        <v>129</v>
      </c>
      <c r="K167" s="107">
        <f>IF(ISNUMBER(J167), (J167 - $B167) / $B167, "")</f>
        <v>-0.14569536423841059</v>
      </c>
      <c r="L167" s="108">
        <f>IF(ISNUMBER(J167), $B172 * K167, "")</f>
        <v>-14569.536423841058</v>
      </c>
      <c r="M167" s="109">
        <v>121</v>
      </c>
      <c r="N167" s="107">
        <f>IF(ISNUMBER(M167), (M167 - $B167) / $B167, "")</f>
        <v>-0.19867549668874171</v>
      </c>
      <c r="O167" s="108">
        <f>IF(ISNUMBER(M167), $B172 * N167, "")</f>
        <v>-19867.54966887417</v>
      </c>
      <c r="Q167" s="235"/>
      <c r="R167" s="235"/>
      <c r="S167" s="235"/>
    </row>
    <row r="168" spans="1:19" ht="17.25" thickBot="1">
      <c r="A168" s="162" t="s">
        <v>116</v>
      </c>
      <c r="B168" s="126">
        <v>374</v>
      </c>
      <c r="C168" s="77">
        <v>-1.3192612100000001E-2</v>
      </c>
      <c r="D168" s="15">
        <v>319</v>
      </c>
      <c r="E168" s="32">
        <f t="shared" ref="E168:E171" si="90">IF(ISNUMBER(D168), (D168 - $B168) / $B168, "")</f>
        <v>-0.14705882352941177</v>
      </c>
      <c r="F168" s="18">
        <f>IF(ISNUMBER(D168), $B172 * E168, "")</f>
        <v>-14705.882352941177</v>
      </c>
      <c r="G168" s="31">
        <v>319</v>
      </c>
      <c r="H168" s="32">
        <f t="shared" ref="H168:H171" si="91">IF(ISNUMBER(G168), (G168 - $B168) / $B168, "")</f>
        <v>-0.14705882352941177</v>
      </c>
      <c r="I168" s="101">
        <f>IF(ISNUMBER(G168), $B172 * H168, "")</f>
        <v>-14705.882352941177</v>
      </c>
      <c r="J168" s="15">
        <v>328</v>
      </c>
      <c r="K168" s="32">
        <f t="shared" ref="K168:K171" si="92">IF(ISNUMBER(J168), (J168 - $B168) / $B168, "")</f>
        <v>-0.12299465240641712</v>
      </c>
      <c r="L168" s="18">
        <f>IF(ISNUMBER(J168), $B172 * K168, "")</f>
        <v>-12299.465240641712</v>
      </c>
      <c r="M168" s="31">
        <v>301</v>
      </c>
      <c r="N168" s="32">
        <f t="shared" ref="N168:N171" si="93">IF(ISNUMBER(M168), (M168 - $B168) / $B168, "")</f>
        <v>-0.19518716577540107</v>
      </c>
      <c r="O168" s="18">
        <f>IF(ISNUMBER(M168), $B172 * N168, "")</f>
        <v>-19518.716577540108</v>
      </c>
      <c r="Q168" s="235"/>
      <c r="R168" s="235"/>
      <c r="S168" s="235"/>
    </row>
    <row r="169" spans="1:19" ht="17.25" thickBot="1">
      <c r="A169" s="162" t="s">
        <v>61</v>
      </c>
      <c r="B169" s="126">
        <v>941</v>
      </c>
      <c r="C169" s="77">
        <v>-1.6718913299999999E-2</v>
      </c>
      <c r="D169" s="15">
        <v>816</v>
      </c>
      <c r="E169" s="32">
        <f t="shared" si="90"/>
        <v>-0.13283740701381508</v>
      </c>
      <c r="F169" s="18">
        <f>IF(ISNUMBER(D169), $B172 * E169, "")</f>
        <v>-13283.740701381508</v>
      </c>
      <c r="G169" s="31">
        <v>822</v>
      </c>
      <c r="H169" s="32">
        <f t="shared" si="91"/>
        <v>-0.12646121147715197</v>
      </c>
      <c r="I169" s="101">
        <f>IF(ISNUMBER(G169), $B172 * H169, "")</f>
        <v>-12646.121147715197</v>
      </c>
      <c r="J169" s="15">
        <v>825</v>
      </c>
      <c r="K169" s="32">
        <f t="shared" si="92"/>
        <v>-0.12327311370882041</v>
      </c>
      <c r="L169" s="18">
        <f>IF(ISNUMBER(J169), $B172 * K169, "")</f>
        <v>-12327.31137088204</v>
      </c>
      <c r="M169" s="31">
        <v>758</v>
      </c>
      <c r="N169" s="32">
        <f t="shared" si="93"/>
        <v>-0.1944739638682253</v>
      </c>
      <c r="O169" s="18">
        <f>IF(ISNUMBER(M169), $B172 * N169, "")</f>
        <v>-19447.396386822529</v>
      </c>
      <c r="Q169" s="235"/>
      <c r="R169" s="235"/>
      <c r="S169" s="235"/>
    </row>
    <row r="170" spans="1:19">
      <c r="A170" s="162" t="s">
        <v>54</v>
      </c>
      <c r="B170" s="126">
        <v>262</v>
      </c>
      <c r="C170" s="77">
        <v>-1.8726591800000001E-2</v>
      </c>
      <c r="D170" s="15">
        <v>242</v>
      </c>
      <c r="E170" s="32">
        <f t="shared" si="90"/>
        <v>-7.6335877862595422E-2</v>
      </c>
      <c r="F170" s="18">
        <f>IF(ISNUMBER(D170), $B172 * E170, "")</f>
        <v>-7633.5877862595426</v>
      </c>
      <c r="G170" s="31">
        <v>247</v>
      </c>
      <c r="H170" s="32">
        <f t="shared" si="91"/>
        <v>-5.7251908396946563E-2</v>
      </c>
      <c r="I170" s="101">
        <f>IF(ISNUMBER(G170), $B172 * H170, "")</f>
        <v>-5725.1908396946565</v>
      </c>
      <c r="J170" s="15">
        <v>247</v>
      </c>
      <c r="K170" s="32">
        <f t="shared" si="92"/>
        <v>-5.7251908396946563E-2</v>
      </c>
      <c r="L170" s="18">
        <f>IF(ISNUMBER(J170), $B172 * K170, "")</f>
        <v>-5725.1908396946565</v>
      </c>
      <c r="M170" s="31">
        <v>228</v>
      </c>
      <c r="N170" s="32">
        <f t="shared" si="93"/>
        <v>-0.12977099236641221</v>
      </c>
      <c r="O170" s="18">
        <f>IF(ISNUMBER(M170), $B172 * N170, "")</f>
        <v>-12977.099236641221</v>
      </c>
      <c r="Q170" s="224"/>
      <c r="R170" s="225"/>
      <c r="S170" s="226"/>
    </row>
    <row r="171" spans="1:19" ht="17.25" thickBot="1">
      <c r="A171" s="130" t="s">
        <v>296</v>
      </c>
      <c r="B171" s="131">
        <v>421</v>
      </c>
      <c r="C171" s="79">
        <v>-2.5462963000000002E-2</v>
      </c>
      <c r="D171" s="24">
        <v>377</v>
      </c>
      <c r="E171" s="25">
        <f t="shared" si="90"/>
        <v>-0.10451306413301663</v>
      </c>
      <c r="F171" s="104">
        <f>IF(ISNUMBER(D171), $B172 * E171, "")</f>
        <v>-10451.306413301663</v>
      </c>
      <c r="G171" s="102">
        <v>380</v>
      </c>
      <c r="H171" s="25">
        <f t="shared" si="91"/>
        <v>-9.7387173396674589E-2</v>
      </c>
      <c r="I171" s="103">
        <f>IF(ISNUMBER(G171), $B172 * H171, "")</f>
        <v>-9738.7173396674589</v>
      </c>
      <c r="J171" s="24">
        <v>384</v>
      </c>
      <c r="K171" s="25">
        <f t="shared" si="92"/>
        <v>-8.7885985748218529E-2</v>
      </c>
      <c r="L171" s="104">
        <f>IF(ISNUMBER(J171), $B172 * K171, "")</f>
        <v>-8788.5985748218536</v>
      </c>
      <c r="M171" s="102">
        <v>355</v>
      </c>
      <c r="N171" s="25">
        <f t="shared" si="93"/>
        <v>-0.15676959619952494</v>
      </c>
      <c r="O171" s="104">
        <f>IF(ISNUMBER(M171), $B172 * N171, "")</f>
        <v>-15676.959619952493</v>
      </c>
      <c r="Q171" s="227"/>
      <c r="R171" s="228"/>
      <c r="S171" s="229"/>
    </row>
    <row r="172" spans="1:19" ht="17.25" thickBot="1">
      <c r="A172" s="132" t="s">
        <v>300</v>
      </c>
      <c r="B172" s="288">
        <f>$B$37</f>
        <v>100000</v>
      </c>
      <c r="C172" s="289"/>
      <c r="D172" s="26" t="s">
        <v>301</v>
      </c>
      <c r="E172" s="27">
        <f>IF(COUNT(E152:E171), SUM(E152:E171) / COUNT(E152:E171), 0)</f>
        <v>-0.12063234671349701</v>
      </c>
      <c r="F172" s="28">
        <f>SUM(F152:F171)</f>
        <v>-241264.693426994</v>
      </c>
      <c r="G172" s="26" t="s">
        <v>301</v>
      </c>
      <c r="H172" s="27">
        <f>IF(COUNT(H152:H171), SUM(H152:H171) / COUNT(H152:H171), 0)</f>
        <v>-0.11927560083477864</v>
      </c>
      <c r="I172" s="28">
        <f>SUM(I152:I171)</f>
        <v>-238551.20166955725</v>
      </c>
      <c r="J172" s="26" t="s">
        <v>301</v>
      </c>
      <c r="K172" s="27">
        <f>IF(COUNT(K152:K171), SUM(K152:K171) / COUNT(K152:K171), 0)</f>
        <v>-0.11093221901596648</v>
      </c>
      <c r="L172" s="28">
        <f>SUM(L152:L171)</f>
        <v>-221864.43803193292</v>
      </c>
      <c r="M172" s="26" t="s">
        <v>301</v>
      </c>
      <c r="N172" s="27">
        <f>IF(COUNT(N152:N171), SUM(N152:N171) / COUNT(N152:N171), 0)</f>
        <v>-0.17119199118729525</v>
      </c>
      <c r="O172" s="28">
        <f>SUM(O152:O171)</f>
        <v>-342383.98237459041</v>
      </c>
      <c r="Q172" s="230"/>
      <c r="R172" s="231"/>
      <c r="S172" s="232"/>
    </row>
    <row r="174" spans="1:19" ht="17.25" thickBot="1"/>
    <row r="175" spans="1:19" ht="17.25" thickBot="1">
      <c r="A175" s="246" t="s">
        <v>285</v>
      </c>
      <c r="B175" s="247"/>
      <c r="C175" s="247"/>
      <c r="D175" s="247"/>
      <c r="E175" s="247"/>
      <c r="F175" s="247"/>
      <c r="G175" s="247"/>
      <c r="H175" s="247"/>
      <c r="I175" s="247"/>
      <c r="J175" s="247"/>
      <c r="K175" s="247"/>
      <c r="L175" s="247"/>
      <c r="M175" s="247"/>
      <c r="N175" s="247"/>
      <c r="O175" s="248"/>
      <c r="Q175" s="245"/>
      <c r="R175" s="245"/>
      <c r="S175" s="245"/>
    </row>
    <row r="176" spans="1:19" ht="17.25" thickBot="1">
      <c r="A176" s="188" t="s">
        <v>297</v>
      </c>
      <c r="B176" s="246" t="s">
        <v>49</v>
      </c>
      <c r="C176" s="248"/>
      <c r="D176" s="246" t="s">
        <v>58</v>
      </c>
      <c r="E176" s="247"/>
      <c r="F176" s="248"/>
      <c r="G176" s="249">
        <f>_xlfn.IFNA(VLOOKUP(B176, 현재가테이블!$B$2:$D$200, 2, FALSE), "-")</f>
        <v>45335000</v>
      </c>
      <c r="H176" s="250"/>
      <c r="I176" s="251"/>
      <c r="J176" s="246" t="s">
        <v>59</v>
      </c>
      <c r="K176" s="247"/>
      <c r="L176" s="248"/>
      <c r="M176" s="252">
        <f>_xlfn.IFNA(VLOOKUP(B176, 현재가테이블!$B$2:$D$200, 3, FALSE), "-")</f>
        <v>-2.27209037E-2</v>
      </c>
      <c r="N176" s="253"/>
      <c r="O176" s="254"/>
      <c r="Q176" s="245"/>
      <c r="R176" s="245"/>
      <c r="S176" s="245"/>
    </row>
    <row r="177" spans="1:19" ht="17.25" thickBot="1">
      <c r="A177" s="290" t="s">
        <v>55</v>
      </c>
      <c r="B177" s="286" t="str">
        <f>TEXT($G$1, "[$-ko-KR]yyyy-mm-dd(ddd) ") &amp; "오전 00:00"</f>
        <v>2021-06-08(화) 오전 00:00</v>
      </c>
      <c r="C177" s="287"/>
      <c r="D177" s="259" t="str">
        <f>TEXT($G$1, "[$-ko-KR]yyyy-mm-dd(ddd) ") &amp; "오후 14:00"</f>
        <v>2021-06-08(화) 오후 14:00</v>
      </c>
      <c r="E177" s="260"/>
      <c r="F177" s="261"/>
      <c r="G177" s="259" t="str">
        <f>TEXT($G$1, "[$-ko-KR]yyyy-mm-dd(ddd) ") &amp; "오후 19:00"</f>
        <v>2021-06-08(화) 오후 19:00</v>
      </c>
      <c r="H177" s="260"/>
      <c r="I177" s="261"/>
      <c r="J177" s="259" t="str">
        <f>TEXT($G$1, "[$-ko-KR]yyyy-mm-dd(ddd) ") &amp; "오후 21:00"</f>
        <v>2021-06-08(화) 오후 21:00</v>
      </c>
      <c r="K177" s="260"/>
      <c r="L177" s="261"/>
      <c r="M177" s="259" t="str">
        <f>TEXT($G$1+1, "[$-ko-KR]yyyy-mm-dd(ddd) ") &amp; "오전 00:00"</f>
        <v>2021-06-09(수) 오전 00:00</v>
      </c>
      <c r="N177" s="260"/>
      <c r="O177" s="261"/>
      <c r="Q177" s="245"/>
      <c r="R177" s="245"/>
      <c r="S177" s="245"/>
    </row>
    <row r="178" spans="1:19" ht="17.25" thickBot="1">
      <c r="A178" s="291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89" t="s">
        <v>58</v>
      </c>
      <c r="H178" s="190" t="s">
        <v>298</v>
      </c>
      <c r="I178" s="191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5"/>
      <c r="R178" s="235"/>
      <c r="S178" s="235"/>
    </row>
    <row r="179" spans="1:19" ht="17.25" thickBot="1">
      <c r="A179" s="161" t="s">
        <v>100</v>
      </c>
      <c r="B179" s="124">
        <v>4.63</v>
      </c>
      <c r="C179" s="76">
        <v>-1.2793176999999999E-2</v>
      </c>
      <c r="D179" s="13">
        <v>4.12</v>
      </c>
      <c r="E179" s="14">
        <f>IF(ISNUMBER(D179), (D179 - $B179) / $B179, "")</f>
        <v>-0.11015118790496756</v>
      </c>
      <c r="F179" s="16">
        <f>IF(ISNUMBER(D179), $B199 * E179, "")</f>
        <v>-11015.118790496756</v>
      </c>
      <c r="G179" s="29">
        <v>4.3099999999999996</v>
      </c>
      <c r="H179" s="14">
        <f>IF(ISNUMBER(G179), (G179 - $B179) / $B179, "")</f>
        <v>-6.9114470842332673E-2</v>
      </c>
      <c r="I179" s="100">
        <f>IF(ISNUMBER(G179), $B199 * H179, "")</f>
        <v>-6911.4470842332676</v>
      </c>
      <c r="J179" s="13">
        <v>4.28</v>
      </c>
      <c r="K179" s="14">
        <f>IF(ISNUMBER(J179), (J179 - $B179) / $B179, "")</f>
        <v>-7.5593952483801227E-2</v>
      </c>
      <c r="L179" s="16">
        <f>IF(ISNUMBER(J179), $B199 * K179, "")</f>
        <v>-7559.3952483801231</v>
      </c>
      <c r="M179" s="29">
        <v>4.0599999999999996</v>
      </c>
      <c r="N179" s="14">
        <f>IF(ISNUMBER(M179), (M179 - $B179) / $B179, "")</f>
        <v>-0.12311015118790503</v>
      </c>
      <c r="O179" s="16">
        <f>IF(ISNUMBER(M179), $B199 * N179, "")</f>
        <v>-12311.015118790503</v>
      </c>
      <c r="Q179" s="245"/>
      <c r="R179" s="245"/>
      <c r="S179" s="245"/>
    </row>
    <row r="180" spans="1:19" ht="17.25" thickBot="1">
      <c r="A180" s="162" t="s">
        <v>132</v>
      </c>
      <c r="B180" s="126">
        <v>151</v>
      </c>
      <c r="C180" s="77">
        <v>-1.30718954E-2</v>
      </c>
      <c r="D180" s="15">
        <v>131</v>
      </c>
      <c r="E180" s="32">
        <f t="shared" ref="E180:E183" si="94">IF(ISNUMBER(D180), (D180 - $B180) / $B180, "")</f>
        <v>-0.13245033112582782</v>
      </c>
      <c r="F180" s="18">
        <f>IF(ISNUMBER(D180), $B199 * E180, "")</f>
        <v>-13245.033112582783</v>
      </c>
      <c r="G180" s="31">
        <v>129</v>
      </c>
      <c r="H180" s="32">
        <f t="shared" ref="H180:H183" si="95">IF(ISNUMBER(G180), (G180 - $B180) / $B180, "")</f>
        <v>-0.14569536423841059</v>
      </c>
      <c r="I180" s="101">
        <f>IF(ISNUMBER(G180), $B199 * H180, "")</f>
        <v>-14569.536423841058</v>
      </c>
      <c r="J180" s="15">
        <v>129</v>
      </c>
      <c r="K180" s="32">
        <f t="shared" ref="K180:K183" si="96">IF(ISNUMBER(J180), (J180 - $B180) / $B180, "")</f>
        <v>-0.14569536423841059</v>
      </c>
      <c r="L180" s="18">
        <f>IF(ISNUMBER(J180), $B199 * K180, "")</f>
        <v>-14569.536423841058</v>
      </c>
      <c r="M180" s="31">
        <v>121</v>
      </c>
      <c r="N180" s="32">
        <f t="shared" ref="N180:N183" si="97">IF(ISNUMBER(M180), (M180 - $B180) / $B180, "")</f>
        <v>-0.19867549668874171</v>
      </c>
      <c r="O180" s="18">
        <f>IF(ISNUMBER(M180), $B199 * N180, "")</f>
        <v>-19867.54966887417</v>
      </c>
      <c r="Q180" s="245"/>
      <c r="R180" s="245"/>
      <c r="S180" s="245"/>
    </row>
    <row r="181" spans="1:19" ht="17.25" thickBot="1">
      <c r="A181" s="162" t="s">
        <v>86</v>
      </c>
      <c r="B181" s="126">
        <v>6740</v>
      </c>
      <c r="C181" s="77">
        <v>-1.31771596E-2</v>
      </c>
      <c r="D181" s="15">
        <v>5795</v>
      </c>
      <c r="E181" s="32">
        <f t="shared" si="94"/>
        <v>-0.14020771513353117</v>
      </c>
      <c r="F181" s="18">
        <f>IF(ISNUMBER(D181), $B199 * E181, "")</f>
        <v>-14020.771513353116</v>
      </c>
      <c r="G181" s="31">
        <v>5780</v>
      </c>
      <c r="H181" s="32">
        <f t="shared" si="95"/>
        <v>-0.14243323442136499</v>
      </c>
      <c r="I181" s="101">
        <f>IF(ISNUMBER(G181), $B199 * H181, "")</f>
        <v>-14243.3234421365</v>
      </c>
      <c r="J181" s="15">
        <v>5845</v>
      </c>
      <c r="K181" s="32">
        <f t="shared" si="96"/>
        <v>-0.1327893175074184</v>
      </c>
      <c r="L181" s="18">
        <f>IF(ISNUMBER(J181), $B199 * K181, "")</f>
        <v>-13278.93175074184</v>
      </c>
      <c r="M181" s="31">
        <v>5465</v>
      </c>
      <c r="N181" s="32">
        <f t="shared" si="97"/>
        <v>-0.18916913946587538</v>
      </c>
      <c r="O181" s="18">
        <f>IF(ISNUMBER(M181), $B199 * N181, "")</f>
        <v>-18916.913946587538</v>
      </c>
      <c r="Q181" s="235"/>
      <c r="R181" s="235"/>
      <c r="S181" s="235"/>
    </row>
    <row r="182" spans="1:19" ht="17.25" thickBot="1">
      <c r="A182" s="162" t="s">
        <v>116</v>
      </c>
      <c r="B182" s="126">
        <v>374</v>
      </c>
      <c r="C182" s="77">
        <v>-1.3192612100000001E-2</v>
      </c>
      <c r="D182" s="15">
        <v>319</v>
      </c>
      <c r="E182" s="32">
        <f t="shared" si="94"/>
        <v>-0.14705882352941177</v>
      </c>
      <c r="F182" s="18">
        <f>IF(ISNUMBER(D182), $B199 * E182, "")</f>
        <v>-14705.882352941177</v>
      </c>
      <c r="G182" s="31">
        <v>319</v>
      </c>
      <c r="H182" s="32">
        <f t="shared" si="95"/>
        <v>-0.14705882352941177</v>
      </c>
      <c r="I182" s="101">
        <f>IF(ISNUMBER(G182), $B199 * H182, "")</f>
        <v>-14705.882352941177</v>
      </c>
      <c r="J182" s="15">
        <v>328</v>
      </c>
      <c r="K182" s="32">
        <f t="shared" si="96"/>
        <v>-0.12299465240641712</v>
      </c>
      <c r="L182" s="18">
        <f>IF(ISNUMBER(J182), $B199 * K182, "")</f>
        <v>-12299.465240641712</v>
      </c>
      <c r="M182" s="31">
        <v>301</v>
      </c>
      <c r="N182" s="32">
        <f t="shared" si="97"/>
        <v>-0.19518716577540107</v>
      </c>
      <c r="O182" s="18">
        <f>IF(ISNUMBER(M182), $B199 * N182, "")</f>
        <v>-19518.716577540108</v>
      </c>
      <c r="Q182" s="235"/>
      <c r="R182" s="235"/>
      <c r="S182" s="235"/>
    </row>
    <row r="183" spans="1:19" ht="17.25" thickBot="1">
      <c r="A183" s="163" t="s">
        <v>122</v>
      </c>
      <c r="B183" s="128">
        <v>66.900000000000006</v>
      </c>
      <c r="C183" s="78">
        <v>-1.32743363E-2</v>
      </c>
      <c r="D183" s="20">
        <v>57.7</v>
      </c>
      <c r="E183" s="21">
        <f t="shared" si="94"/>
        <v>-0.13751868460388642</v>
      </c>
      <c r="F183" s="22">
        <f>IF(ISNUMBER(D183), $B199 * E183, "")</f>
        <v>-13751.868460388641</v>
      </c>
      <c r="G183" s="30">
        <v>57.7</v>
      </c>
      <c r="H183" s="21">
        <f t="shared" si="95"/>
        <v>-0.13751868460388642</v>
      </c>
      <c r="I183" s="105">
        <f>IF(ISNUMBER(G183), $B199 * H183, "")</f>
        <v>-13751.868460388641</v>
      </c>
      <c r="J183" s="20">
        <v>58.2</v>
      </c>
      <c r="K183" s="21">
        <f t="shared" si="96"/>
        <v>-0.1300448430493274</v>
      </c>
      <c r="L183" s="22">
        <f>IF(ISNUMBER(J183), $B199 * K183, "")</f>
        <v>-13004.484304932739</v>
      </c>
      <c r="M183" s="30">
        <v>53.9</v>
      </c>
      <c r="N183" s="21">
        <f t="shared" si="97"/>
        <v>-0.19431988041853521</v>
      </c>
      <c r="O183" s="22">
        <f>IF(ISNUMBER(M183), $B199 * N183, "")</f>
        <v>-19431.988041853521</v>
      </c>
      <c r="Q183" s="235"/>
      <c r="R183" s="235"/>
      <c r="S183" s="235"/>
    </row>
    <row r="184" spans="1:19" ht="17.25" thickBot="1">
      <c r="A184" s="162" t="s">
        <v>82</v>
      </c>
      <c r="B184" s="129">
        <v>1090</v>
      </c>
      <c r="C184" s="80">
        <v>-1.35746606E-2</v>
      </c>
      <c r="D184" s="106">
        <v>947</v>
      </c>
      <c r="E184" s="107">
        <f>IF(ISNUMBER(D184), (D184 - $B184) / $B184, "")</f>
        <v>-0.13119266055045872</v>
      </c>
      <c r="F184" s="108">
        <f>IF(ISNUMBER(D184), $B199 * E184, "")</f>
        <v>-13119.266055045873</v>
      </c>
      <c r="G184" s="109">
        <v>956</v>
      </c>
      <c r="H184" s="107">
        <f>IF(ISNUMBER(G184), (G184 - $B184) / $B184, "")</f>
        <v>-0.12293577981651377</v>
      </c>
      <c r="I184" s="110">
        <f>IF(ISNUMBER(G184), $B199 * H184, "")</f>
        <v>-12293.577981651377</v>
      </c>
      <c r="J184" s="106">
        <v>949</v>
      </c>
      <c r="K184" s="107">
        <f>IF(ISNUMBER(J184), (J184 - $B184) / $B184, "")</f>
        <v>-0.12935779816513762</v>
      </c>
      <c r="L184" s="108">
        <f>IF(ISNUMBER(J184), $B199 * K184, "")</f>
        <v>-12935.779816513763</v>
      </c>
      <c r="M184" s="109">
        <v>900</v>
      </c>
      <c r="N184" s="107">
        <f>IF(ISNUMBER(M184), (M184 - $B184) / $B184, "")</f>
        <v>-0.1743119266055046</v>
      </c>
      <c r="O184" s="108">
        <f>IF(ISNUMBER(M184), $B199 * N184, "")</f>
        <v>-17431.19266055046</v>
      </c>
      <c r="Q184" s="235"/>
      <c r="R184" s="235"/>
      <c r="S184" s="235"/>
    </row>
    <row r="185" spans="1:19" ht="17.25" thickBot="1">
      <c r="A185" s="162" t="s">
        <v>61</v>
      </c>
      <c r="B185" s="126">
        <v>941</v>
      </c>
      <c r="C185" s="77">
        <v>-1.6718913299999999E-2</v>
      </c>
      <c r="D185" s="15">
        <v>816</v>
      </c>
      <c r="E185" s="32">
        <f t="shared" ref="E185:E188" si="98">IF(ISNUMBER(D185), (D185 - $B185) / $B185, "")</f>
        <v>-0.13283740701381508</v>
      </c>
      <c r="F185" s="18">
        <f>IF(ISNUMBER(D185), $B199 * E185, "")</f>
        <v>-13283.740701381508</v>
      </c>
      <c r="G185" s="31">
        <v>822</v>
      </c>
      <c r="H185" s="32">
        <f t="shared" ref="H185:H188" si="99">IF(ISNUMBER(G185), (G185 - $B185) / $B185, "")</f>
        <v>-0.12646121147715197</v>
      </c>
      <c r="I185" s="101">
        <f>IF(ISNUMBER(G185), $B199 * H185, "")</f>
        <v>-12646.121147715197</v>
      </c>
      <c r="J185" s="15">
        <v>825</v>
      </c>
      <c r="K185" s="32">
        <f t="shared" ref="K185:K188" si="100">IF(ISNUMBER(J185), (J185 - $B185) / $B185, "")</f>
        <v>-0.12327311370882041</v>
      </c>
      <c r="L185" s="18">
        <f>IF(ISNUMBER(J185), $B199 * K185, "")</f>
        <v>-12327.31137088204</v>
      </c>
      <c r="M185" s="31">
        <v>758</v>
      </c>
      <c r="N185" s="32">
        <f t="shared" ref="N185:N188" si="101">IF(ISNUMBER(M185), (M185 - $B185) / $B185, "")</f>
        <v>-0.1944739638682253</v>
      </c>
      <c r="O185" s="18">
        <f>IF(ISNUMBER(M185), $B199 * N185, "")</f>
        <v>-19447.396386822529</v>
      </c>
      <c r="Q185" s="235"/>
      <c r="R185" s="235"/>
      <c r="S185" s="235"/>
    </row>
    <row r="186" spans="1:19" ht="17.25" thickBot="1">
      <c r="A186" s="162" t="s">
        <v>102</v>
      </c>
      <c r="B186" s="126">
        <v>73380</v>
      </c>
      <c r="C186" s="77">
        <v>-1.7539161899999999E-2</v>
      </c>
      <c r="D186" s="15">
        <v>64420</v>
      </c>
      <c r="E186" s="32">
        <f t="shared" si="98"/>
        <v>-0.12210411556282366</v>
      </c>
      <c r="F186" s="18">
        <f>IF(ISNUMBER(D186), $B199 * E186, "")</f>
        <v>-12210.411556282366</v>
      </c>
      <c r="G186" s="31">
        <v>64210</v>
      </c>
      <c r="H186" s="32">
        <f t="shared" si="99"/>
        <v>-0.12496593077132734</v>
      </c>
      <c r="I186" s="101">
        <f>IF(ISNUMBER(G186), $B199 * H186, "")</f>
        <v>-12496.593077132733</v>
      </c>
      <c r="J186" s="15">
        <v>64900</v>
      </c>
      <c r="K186" s="32">
        <f t="shared" si="100"/>
        <v>-0.11556282365767238</v>
      </c>
      <c r="L186" s="18">
        <f>IF(ISNUMBER(J186), $B199 * K186, "")</f>
        <v>-11556.282365767238</v>
      </c>
      <c r="M186" s="31">
        <v>59840</v>
      </c>
      <c r="N186" s="32">
        <f t="shared" si="101"/>
        <v>-0.18451894249114201</v>
      </c>
      <c r="O186" s="18">
        <f>IF(ISNUMBER(M186), $B199 * N186, "")</f>
        <v>-18451.894249114201</v>
      </c>
      <c r="Q186" s="235"/>
      <c r="R186" s="235"/>
      <c r="S186" s="235"/>
    </row>
    <row r="187" spans="1:19" ht="17.25" thickBot="1">
      <c r="A187" s="162" t="s">
        <v>54</v>
      </c>
      <c r="B187" s="126">
        <v>262</v>
      </c>
      <c r="C187" s="77">
        <v>-1.8726591800000001E-2</v>
      </c>
      <c r="D187" s="15">
        <v>242</v>
      </c>
      <c r="E187" s="32">
        <f t="shared" si="98"/>
        <v>-7.6335877862595422E-2</v>
      </c>
      <c r="F187" s="18">
        <f>IF(ISNUMBER(D187), $B199 * E187, "")</f>
        <v>-7633.5877862595426</v>
      </c>
      <c r="G187" s="31">
        <v>247</v>
      </c>
      <c r="H187" s="32">
        <f t="shared" si="99"/>
        <v>-5.7251908396946563E-2</v>
      </c>
      <c r="I187" s="101">
        <f>IF(ISNUMBER(G187), $B199 * H187, "")</f>
        <v>-5725.1908396946565</v>
      </c>
      <c r="J187" s="15">
        <v>247</v>
      </c>
      <c r="K187" s="32">
        <f t="shared" si="100"/>
        <v>-5.7251908396946563E-2</v>
      </c>
      <c r="L187" s="18">
        <f>IF(ISNUMBER(J187), $B199 * K187, "")</f>
        <v>-5725.1908396946565</v>
      </c>
      <c r="M187" s="31">
        <v>228</v>
      </c>
      <c r="N187" s="32">
        <f t="shared" si="101"/>
        <v>-0.12977099236641221</v>
      </c>
      <c r="O187" s="18">
        <f>IF(ISNUMBER(M187), $B199 * N187, "")</f>
        <v>-12977.099236641221</v>
      </c>
      <c r="Q187" s="33"/>
      <c r="R187" s="33"/>
    </row>
    <row r="188" spans="1:19" ht="17.25" thickBot="1">
      <c r="A188" s="130" t="s">
        <v>90</v>
      </c>
      <c r="B188" s="131">
        <v>204200</v>
      </c>
      <c r="C188" s="79">
        <v>-1.9212295899999999E-2</v>
      </c>
      <c r="D188" s="24">
        <v>183000</v>
      </c>
      <c r="E188" s="25">
        <f t="shared" si="98"/>
        <v>-0.10381978452497552</v>
      </c>
      <c r="F188" s="104">
        <f>IF(ISNUMBER(D188), $B199 * E188, "")</f>
        <v>-10381.978452497551</v>
      </c>
      <c r="G188" s="102">
        <v>185750</v>
      </c>
      <c r="H188" s="25">
        <f t="shared" si="99"/>
        <v>-9.0352595494613122E-2</v>
      </c>
      <c r="I188" s="103">
        <f>IF(ISNUMBER(G188), $B199 * H188, "")</f>
        <v>-9035.2595494613124</v>
      </c>
      <c r="J188" s="24">
        <v>187000</v>
      </c>
      <c r="K188" s="25">
        <f t="shared" si="100"/>
        <v>-8.4231145935357493E-2</v>
      </c>
      <c r="L188" s="104">
        <f>IF(ISNUMBER(J188), $B199 * K188, "")</f>
        <v>-8423.114593535749</v>
      </c>
      <c r="M188" s="102">
        <v>179400</v>
      </c>
      <c r="N188" s="25">
        <f t="shared" si="101"/>
        <v>-0.12144955925563174</v>
      </c>
      <c r="O188" s="104">
        <f>IF(ISNUMBER(M188), $B199 * N188, "")</f>
        <v>-12144.955925563174</v>
      </c>
      <c r="Q188" s="236"/>
      <c r="R188" s="237"/>
      <c r="S188" s="238"/>
    </row>
    <row r="189" spans="1:19">
      <c r="A189" s="161" t="s">
        <v>188</v>
      </c>
      <c r="B189" s="124">
        <v>12660</v>
      </c>
      <c r="C189" s="76">
        <v>-1.9364833500000001E-2</v>
      </c>
      <c r="D189" s="13">
        <v>10680</v>
      </c>
      <c r="E189" s="14">
        <f>IF(ISNUMBER(D189), (D189 - $B189) / $B189, "")</f>
        <v>-0.15639810426540285</v>
      </c>
      <c r="F189" s="16">
        <f>IF(ISNUMBER(D189), $B199 * E189, "")</f>
        <v>-15639.810426540285</v>
      </c>
      <c r="G189" s="29">
        <v>10720</v>
      </c>
      <c r="H189" s="14">
        <f>IF(ISNUMBER(G189), (G189 - $B189) / $B189, "")</f>
        <v>-0.15323854660347552</v>
      </c>
      <c r="I189" s="100">
        <f>IF(ISNUMBER(G189), $B199 * H189, "")</f>
        <v>-15323.854660347552</v>
      </c>
      <c r="J189" s="13">
        <v>10820</v>
      </c>
      <c r="K189" s="14">
        <f>IF(ISNUMBER(J189), (J189 - $B189) / $B189, "")</f>
        <v>-0.14533965244865718</v>
      </c>
      <c r="L189" s="16">
        <f>IF(ISNUMBER(J189), $B199 * K189, "")</f>
        <v>-14533.965244865718</v>
      </c>
      <c r="M189" s="29">
        <v>10040</v>
      </c>
      <c r="N189" s="14">
        <f>IF(ISNUMBER(M189), (M189 - $B189) / $B189, "")</f>
        <v>-0.20695102685624012</v>
      </c>
      <c r="O189" s="16">
        <f>IF(ISNUMBER(M189), $B199 * N189, "")</f>
        <v>-20695.102685624013</v>
      </c>
      <c r="Q189" s="239"/>
      <c r="R189" s="240"/>
      <c r="S189" s="241"/>
    </row>
    <row r="190" spans="1:19" ht="17.25" thickBot="1">
      <c r="A190" s="162" t="s">
        <v>104</v>
      </c>
      <c r="B190" s="126">
        <v>1265</v>
      </c>
      <c r="C190" s="77">
        <v>-1.9379845E-2</v>
      </c>
      <c r="D190" s="15">
        <v>1095</v>
      </c>
      <c r="E190" s="32">
        <f t="shared" ref="E190:E193" si="102">IF(ISNUMBER(D190), (D190 - $B190) / $B190, "")</f>
        <v>-0.13438735177865613</v>
      </c>
      <c r="F190" s="18">
        <f>IF(ISNUMBER(D190), $B199 * E190, "")</f>
        <v>-13438.735177865612</v>
      </c>
      <c r="G190" s="31">
        <v>1090</v>
      </c>
      <c r="H190" s="32">
        <f t="shared" ref="H190:H193" si="103">IF(ISNUMBER(G190), (G190 - $B190) / $B190, "")</f>
        <v>-0.13833992094861661</v>
      </c>
      <c r="I190" s="101">
        <f>IF(ISNUMBER(G190), $B199 * H190, "")</f>
        <v>-13833.99209486166</v>
      </c>
      <c r="J190" s="15">
        <v>1110</v>
      </c>
      <c r="K190" s="32">
        <f t="shared" ref="K190:K193" si="104">IF(ISNUMBER(J190), (J190 - $B190) / $B190, "")</f>
        <v>-0.1225296442687747</v>
      </c>
      <c r="L190" s="18">
        <f>IF(ISNUMBER(J190), $B199 * K190, "")</f>
        <v>-12252.96442687747</v>
      </c>
      <c r="M190" s="31">
        <v>1040</v>
      </c>
      <c r="N190" s="32">
        <f t="shared" ref="N190:N193" si="105">IF(ISNUMBER(M190), (M190 - $B190) / $B190, "")</f>
        <v>-0.17786561264822134</v>
      </c>
      <c r="O190" s="18">
        <f>IF(ISNUMBER(M190), $B199 * N190, "")</f>
        <v>-17786.561264822136</v>
      </c>
      <c r="Q190" s="242"/>
      <c r="R190" s="243"/>
      <c r="S190" s="244"/>
    </row>
    <row r="191" spans="1:19" ht="17.25" thickBot="1">
      <c r="A191" s="162" t="s">
        <v>65</v>
      </c>
      <c r="B191" s="126">
        <v>36.700000000000003</v>
      </c>
      <c r="C191" s="77">
        <v>-2.13333333E-2</v>
      </c>
      <c r="D191" s="15">
        <v>33.700000000000003</v>
      </c>
      <c r="E191" s="32">
        <f t="shared" si="102"/>
        <v>-8.1743869209809264E-2</v>
      </c>
      <c r="F191" s="18">
        <f>IF(ISNUMBER(D191), $B199 * E191, "")</f>
        <v>-8174.3869209809263</v>
      </c>
      <c r="G191" s="31">
        <v>33.4</v>
      </c>
      <c r="H191" s="32">
        <f t="shared" si="103"/>
        <v>-8.9918256130790297E-2</v>
      </c>
      <c r="I191" s="101">
        <f>IF(ISNUMBER(G191), $B199 * H191, "")</f>
        <v>-8991.8256130790305</v>
      </c>
      <c r="J191" s="15">
        <v>33.700000000000003</v>
      </c>
      <c r="K191" s="32">
        <f t="shared" si="104"/>
        <v>-8.1743869209809264E-2</v>
      </c>
      <c r="L191" s="18">
        <f>IF(ISNUMBER(J191), $B199 * K191, "")</f>
        <v>-8174.3869209809263</v>
      </c>
      <c r="M191" s="31">
        <v>31.2</v>
      </c>
      <c r="N191" s="32">
        <f t="shared" si="105"/>
        <v>-0.14986376021798373</v>
      </c>
      <c r="O191" s="18">
        <f>IF(ISNUMBER(M191), $B199 * N191, "")</f>
        <v>-14986.376021798373</v>
      </c>
      <c r="Q191" s="235"/>
      <c r="R191" s="235"/>
      <c r="S191" s="235"/>
    </row>
    <row r="192" spans="1:19" ht="17.25" thickBot="1">
      <c r="A192" s="162" t="s">
        <v>296</v>
      </c>
      <c r="B192" s="126">
        <v>421</v>
      </c>
      <c r="C192" s="77">
        <v>-2.5462963000000002E-2</v>
      </c>
      <c r="D192" s="15">
        <v>377</v>
      </c>
      <c r="E192" s="32">
        <f t="shared" si="102"/>
        <v>-0.10451306413301663</v>
      </c>
      <c r="F192" s="18">
        <f>IF(ISNUMBER(D192), $B199 * E192, "")</f>
        <v>-10451.306413301663</v>
      </c>
      <c r="G192" s="31">
        <v>380</v>
      </c>
      <c r="H192" s="32">
        <f t="shared" si="103"/>
        <v>-9.7387173396674589E-2</v>
      </c>
      <c r="I192" s="101">
        <f>IF(ISNUMBER(G192), $B199 * H192, "")</f>
        <v>-9738.7173396674589</v>
      </c>
      <c r="J192" s="15">
        <v>384</v>
      </c>
      <c r="K192" s="32">
        <f t="shared" si="104"/>
        <v>-8.7885985748218529E-2</v>
      </c>
      <c r="L192" s="18">
        <f>IF(ISNUMBER(J192), $B199 * K192, "")</f>
        <v>-8788.5985748218536</v>
      </c>
      <c r="M192" s="31">
        <v>355</v>
      </c>
      <c r="N192" s="32">
        <f t="shared" si="105"/>
        <v>-0.15676959619952494</v>
      </c>
      <c r="O192" s="18">
        <f>IF(ISNUMBER(M192), $B199 * N192, "")</f>
        <v>-15676.959619952493</v>
      </c>
      <c r="Q192" s="245"/>
      <c r="R192" s="245"/>
      <c r="S192" s="245"/>
    </row>
    <row r="193" spans="1:19" ht="17.25" thickBot="1">
      <c r="A193" s="163" t="s">
        <v>166</v>
      </c>
      <c r="B193" s="128">
        <v>1315</v>
      </c>
      <c r="C193" s="78">
        <v>-2.5925925900000001E-2</v>
      </c>
      <c r="D193" s="20">
        <v>1130</v>
      </c>
      <c r="E193" s="21">
        <f t="shared" si="102"/>
        <v>-0.14068441064638784</v>
      </c>
      <c r="F193" s="22">
        <f>IF(ISNUMBER(D193), $B199 * E193, "")</f>
        <v>-14068.441064638784</v>
      </c>
      <c r="G193" s="30">
        <v>1115</v>
      </c>
      <c r="H193" s="21">
        <f t="shared" si="103"/>
        <v>-0.15209125475285171</v>
      </c>
      <c r="I193" s="105">
        <f>IF(ISNUMBER(G193), $B199 * H193, "")</f>
        <v>-15209.125475285171</v>
      </c>
      <c r="J193" s="20">
        <v>1145</v>
      </c>
      <c r="K193" s="21">
        <f t="shared" si="104"/>
        <v>-0.12927756653992395</v>
      </c>
      <c r="L193" s="22">
        <f>IF(ISNUMBER(J193), $B199 * K193, "")</f>
        <v>-12927.756653992396</v>
      </c>
      <c r="M193" s="30">
        <v>1085</v>
      </c>
      <c r="N193" s="21">
        <f t="shared" si="105"/>
        <v>-0.17490494296577946</v>
      </c>
      <c r="O193" s="22">
        <f>IF(ISNUMBER(M193), $B199 * N193, "")</f>
        <v>-17490.494296577945</v>
      </c>
      <c r="Q193" s="245"/>
      <c r="R193" s="245"/>
      <c r="S193" s="245"/>
    </row>
    <row r="194" spans="1:19" ht="17.25" thickBot="1">
      <c r="A194" s="162" t="s">
        <v>134</v>
      </c>
      <c r="B194" s="129">
        <v>99.7</v>
      </c>
      <c r="C194" s="80">
        <v>-3.2038835000000002E-2</v>
      </c>
      <c r="D194" s="106">
        <v>85.8</v>
      </c>
      <c r="E194" s="107">
        <f>IF(ISNUMBER(D194), (D194 - $B194) / $B194, "")</f>
        <v>-0.13941825476429293</v>
      </c>
      <c r="F194" s="108">
        <f>IF(ISNUMBER(D194), $B199 * E194, "")</f>
        <v>-13941.825476429292</v>
      </c>
      <c r="G194" s="109">
        <v>87</v>
      </c>
      <c r="H194" s="107">
        <f>IF(ISNUMBER(G194), (G194 - $B194) / $B194, "")</f>
        <v>-0.12738214643931797</v>
      </c>
      <c r="I194" s="110">
        <f>IF(ISNUMBER(G194), $B199 * H194, "")</f>
        <v>-12738.214643931797</v>
      </c>
      <c r="J194" s="106">
        <v>86.5</v>
      </c>
      <c r="K194" s="107">
        <f>IF(ISNUMBER(J194), (J194 - $B194) / $B194, "")</f>
        <v>-0.13239719157472421</v>
      </c>
      <c r="L194" s="108">
        <f>IF(ISNUMBER(J194), $B199 * K194, "")</f>
        <v>-13239.71915747242</v>
      </c>
      <c r="M194" s="109">
        <v>82.2</v>
      </c>
      <c r="N194" s="107">
        <f>IF(ISNUMBER(M194), (M194 - $B194) / $B194, "")</f>
        <v>-0.17552657973921765</v>
      </c>
      <c r="O194" s="108">
        <f>IF(ISNUMBER(M194), $B199 * N194, "")</f>
        <v>-17552.657973921763</v>
      </c>
      <c r="Q194" s="235"/>
      <c r="R194" s="235"/>
      <c r="S194" s="235"/>
    </row>
    <row r="195" spans="1:19" ht="17.25" thickBot="1">
      <c r="A195" s="162" t="s">
        <v>140</v>
      </c>
      <c r="B195" s="126">
        <v>2685</v>
      </c>
      <c r="C195" s="77">
        <v>-4.9557522100000001E-2</v>
      </c>
      <c r="D195" s="15">
        <v>2345</v>
      </c>
      <c r="E195" s="32">
        <f t="shared" ref="E195:E198" si="106">IF(ISNUMBER(D195), (D195 - $B195) / $B195, "")</f>
        <v>-0.1266294227188082</v>
      </c>
      <c r="F195" s="18">
        <f>IF(ISNUMBER(D195), $B199 * E195, "")</f>
        <v>-12662.94227188082</v>
      </c>
      <c r="G195" s="31">
        <v>2300</v>
      </c>
      <c r="H195" s="32">
        <f t="shared" ref="H195:H198" si="107">IF(ISNUMBER(G195), (G195 - $B195) / $B195, "")</f>
        <v>-0.14338919925512103</v>
      </c>
      <c r="I195" s="101">
        <f>IF(ISNUMBER(G195), $B199 * H195, "")</f>
        <v>-14338.919925512104</v>
      </c>
      <c r="J195" s="15">
        <v>2355</v>
      </c>
      <c r="K195" s="32">
        <f t="shared" ref="K195:K198" si="108">IF(ISNUMBER(J195), (J195 - $B195) / $B195, "")</f>
        <v>-0.12290502793296089</v>
      </c>
      <c r="L195" s="18">
        <f>IF(ISNUMBER(J195), $B199 * K195, "")</f>
        <v>-12290.502793296089</v>
      </c>
      <c r="M195" s="31">
        <v>2195</v>
      </c>
      <c r="N195" s="32">
        <f t="shared" ref="N195:N198" si="109">IF(ISNUMBER(M195), (M195 - $B195) / $B195, "")</f>
        <v>-0.18249534450651769</v>
      </c>
      <c r="O195" s="18">
        <f>IF(ISNUMBER(M195), $B199 * N195, "")</f>
        <v>-18249.534450651769</v>
      </c>
      <c r="Q195" s="235"/>
      <c r="R195" s="235"/>
      <c r="S195" s="235"/>
    </row>
    <row r="196" spans="1:19" ht="17.25" thickBot="1">
      <c r="A196" s="162" t="s">
        <v>164</v>
      </c>
      <c r="B196" s="126">
        <v>17850</v>
      </c>
      <c r="C196" s="77">
        <v>-5.8047493399999997E-2</v>
      </c>
      <c r="D196" s="15">
        <v>15820</v>
      </c>
      <c r="E196" s="32">
        <f t="shared" si="106"/>
        <v>-0.11372549019607843</v>
      </c>
      <c r="F196" s="18">
        <f>IF(ISNUMBER(D196), $B199 * E196, "")</f>
        <v>-11372.549019607843</v>
      </c>
      <c r="G196" s="31">
        <v>15790</v>
      </c>
      <c r="H196" s="32">
        <f t="shared" si="107"/>
        <v>-0.115406162464986</v>
      </c>
      <c r="I196" s="101">
        <f>IF(ISNUMBER(G196), $B199 * H196, "")</f>
        <v>-11540.616246498601</v>
      </c>
      <c r="J196" s="15">
        <v>16020</v>
      </c>
      <c r="K196" s="32">
        <f t="shared" si="108"/>
        <v>-0.10252100840336134</v>
      </c>
      <c r="L196" s="18">
        <f>IF(ISNUMBER(J196), $B199 * K196, "")</f>
        <v>-10252.100840336134</v>
      </c>
      <c r="M196" s="31">
        <v>15230</v>
      </c>
      <c r="N196" s="32">
        <f t="shared" si="109"/>
        <v>-0.14677871148459384</v>
      </c>
      <c r="O196" s="18">
        <f>IF(ISNUMBER(M196), $B199 * N196, "")</f>
        <v>-14677.871148459384</v>
      </c>
      <c r="Q196" s="235"/>
      <c r="R196" s="235"/>
      <c r="S196" s="235"/>
    </row>
    <row r="197" spans="1:19">
      <c r="A197" s="162" t="s">
        <v>186</v>
      </c>
      <c r="B197" s="126">
        <v>19.3</v>
      </c>
      <c r="C197" s="77">
        <v>-9.8130841100000005E-2</v>
      </c>
      <c r="D197" s="15">
        <v>16</v>
      </c>
      <c r="E197" s="32">
        <f t="shared" si="106"/>
        <v>-0.17098445595854925</v>
      </c>
      <c r="F197" s="18">
        <f>IF(ISNUMBER(D197), $B199 * E197, "")</f>
        <v>-17098.445595854926</v>
      </c>
      <c r="G197" s="31">
        <v>15.4</v>
      </c>
      <c r="H197" s="32">
        <f t="shared" si="107"/>
        <v>-0.20207253886010365</v>
      </c>
      <c r="I197" s="101">
        <f>IF(ISNUMBER(G197), $B199 * H197, "")</f>
        <v>-20207.253886010367</v>
      </c>
      <c r="J197" s="15">
        <v>15.5</v>
      </c>
      <c r="K197" s="32">
        <f t="shared" si="108"/>
        <v>-0.19689119170984459</v>
      </c>
      <c r="L197" s="18">
        <f>IF(ISNUMBER(J197), $B199 * K197, "")</f>
        <v>-19689.119170984461</v>
      </c>
      <c r="M197" s="31">
        <v>14.5</v>
      </c>
      <c r="N197" s="32">
        <f t="shared" si="109"/>
        <v>-0.24870466321243526</v>
      </c>
      <c r="O197" s="18">
        <f>IF(ISNUMBER(M197), $B199 * N197, "")</f>
        <v>-24870.466321243526</v>
      </c>
      <c r="Q197" s="224"/>
      <c r="R197" s="225"/>
      <c r="S197" s="226"/>
    </row>
    <row r="198" spans="1:19" ht="17.25" thickBot="1">
      <c r="A198" s="130" t="s">
        <v>190</v>
      </c>
      <c r="B198" s="131">
        <v>65050</v>
      </c>
      <c r="C198" s="79">
        <v>-0.12778224730000001</v>
      </c>
      <c r="D198" s="24">
        <v>54000</v>
      </c>
      <c r="E198" s="25">
        <f t="shared" si="106"/>
        <v>-0.16986933128362797</v>
      </c>
      <c r="F198" s="104">
        <f>IF(ISNUMBER(D198), $B199 * E198, "")</f>
        <v>-16986.933128362798</v>
      </c>
      <c r="G198" s="102">
        <v>53540</v>
      </c>
      <c r="H198" s="25">
        <f t="shared" si="107"/>
        <v>-0.17694081475787857</v>
      </c>
      <c r="I198" s="103">
        <f>IF(ISNUMBER(G198), $B199 * H198, "")</f>
        <v>-17694.081475787858</v>
      </c>
      <c r="J198" s="24">
        <v>53030</v>
      </c>
      <c r="K198" s="25">
        <f t="shared" si="108"/>
        <v>-0.18478093774019985</v>
      </c>
      <c r="L198" s="104">
        <f>IF(ISNUMBER(J198), $B199 * K198, "")</f>
        <v>-18478.093774019984</v>
      </c>
      <c r="M198" s="102">
        <v>49950</v>
      </c>
      <c r="N198" s="25">
        <f t="shared" si="109"/>
        <v>-0.23212913143735589</v>
      </c>
      <c r="O198" s="104">
        <f>IF(ISNUMBER(M198), $B199 * N198, "")</f>
        <v>-23212.91314373559</v>
      </c>
      <c r="Q198" s="227"/>
      <c r="R198" s="228"/>
      <c r="S198" s="229"/>
    </row>
    <row r="199" spans="1:19" ht="17.25" thickBot="1">
      <c r="A199" s="132" t="s">
        <v>300</v>
      </c>
      <c r="B199" s="288">
        <f>$B$37</f>
        <v>100000</v>
      </c>
      <c r="C199" s="289"/>
      <c r="D199" s="26" t="s">
        <v>301</v>
      </c>
      <c r="E199" s="27">
        <f>IF(COUNT(E179:E198), SUM(E179:E198) / COUNT(E179:E198), 0)</f>
        <v>-0.12860151713834614</v>
      </c>
      <c r="F199" s="28">
        <f>SUM(F179:F198)</f>
        <v>-257203.03427669225</v>
      </c>
      <c r="G199" s="26" t="s">
        <v>301</v>
      </c>
      <c r="H199" s="27">
        <f>IF(COUNT(H179:H198), SUM(H179:H198) / COUNT(H179:H198), 0)</f>
        <v>-0.12799770086008874</v>
      </c>
      <c r="I199" s="28">
        <f>SUM(I179:I198)</f>
        <v>-255995.4017201775</v>
      </c>
      <c r="J199" s="26" t="s">
        <v>301</v>
      </c>
      <c r="K199" s="27">
        <f>IF(COUNT(K179:K198), SUM(K179:K198) / COUNT(K179:K198), 0)</f>
        <v>-0.12115334975628918</v>
      </c>
      <c r="L199" s="28">
        <f>SUM(L179:L198)</f>
        <v>-242306.6995125784</v>
      </c>
      <c r="M199" s="26" t="s">
        <v>301</v>
      </c>
      <c r="N199" s="27">
        <f>IF(COUNT(N179:N198), SUM(N179:N198) / COUNT(N179:N198), 0)</f>
        <v>-0.1778488293695622</v>
      </c>
      <c r="O199" s="28">
        <f>SUM(O179:O198)</f>
        <v>-355697.65873912442</v>
      </c>
      <c r="Q199" s="230"/>
      <c r="R199" s="231"/>
      <c r="S199" s="232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721ED-BDE4-4250-8018-CE25DDA5E07D}">
  <sheetPr codeName="Sheet15"/>
  <dimension ref="A1:S199"/>
  <sheetViews>
    <sheetView zoomScaleNormal="100" workbookViewId="0">
      <selection activeCell="A22" sqref="A22:A3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6" t="s">
        <v>0</v>
      </c>
      <c r="B1" s="247"/>
      <c r="C1" s="247"/>
      <c r="D1" s="247"/>
      <c r="E1" s="247"/>
      <c r="F1" s="248"/>
      <c r="G1" s="277">
        <v>44356</v>
      </c>
      <c r="H1" s="278"/>
      <c r="I1" s="279"/>
      <c r="J1" s="246" t="s">
        <v>1</v>
      </c>
      <c r="K1" s="247"/>
      <c r="L1" s="247"/>
      <c r="M1" s="247"/>
      <c r="N1" s="247"/>
      <c r="O1" s="248"/>
      <c r="Q1" s="246" t="s">
        <v>2</v>
      </c>
      <c r="R1" s="248"/>
    </row>
    <row r="2" spans="1:19" ht="17.25" customHeight="1">
      <c r="A2" s="117" t="s">
        <v>3</v>
      </c>
      <c r="B2" s="280" t="s">
        <v>8</v>
      </c>
      <c r="C2" s="281"/>
      <c r="D2" s="281"/>
      <c r="E2" s="281"/>
      <c r="F2" s="282"/>
      <c r="G2" s="274" t="s">
        <v>46</v>
      </c>
      <c r="H2" s="275"/>
      <c r="I2" s="276"/>
      <c r="J2" s="1" t="s">
        <v>3</v>
      </c>
      <c r="K2" s="280" t="s">
        <v>350</v>
      </c>
      <c r="L2" s="281"/>
      <c r="M2" s="281"/>
      <c r="N2" s="281"/>
      <c r="O2" s="282"/>
      <c r="Q2" s="2" t="s">
        <v>6</v>
      </c>
      <c r="R2" s="3">
        <v>0.375</v>
      </c>
    </row>
    <row r="3" spans="1:19" ht="17.25" customHeight="1" thickBot="1">
      <c r="A3" s="118" t="s">
        <v>7</v>
      </c>
      <c r="B3" s="271" t="s">
        <v>358</v>
      </c>
      <c r="C3" s="272"/>
      <c r="D3" s="272"/>
      <c r="E3" s="272"/>
      <c r="F3" s="273"/>
      <c r="G3" s="26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114,109 KRW (5.71%)</v>
      </c>
      <c r="H3" s="268"/>
      <c r="I3" s="269"/>
      <c r="J3" s="4" t="s">
        <v>7</v>
      </c>
      <c r="K3" s="271" t="s">
        <v>351</v>
      </c>
      <c r="L3" s="272"/>
      <c r="M3" s="272"/>
      <c r="N3" s="272"/>
      <c r="O3" s="27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1" t="s">
        <v>16</v>
      </c>
      <c r="C4" s="272"/>
      <c r="D4" s="272"/>
      <c r="E4" s="272"/>
      <c r="F4" s="273"/>
      <c r="G4" s="274" t="s">
        <v>44</v>
      </c>
      <c r="H4" s="275"/>
      <c r="I4" s="276"/>
      <c r="J4" s="4" t="s">
        <v>11</v>
      </c>
      <c r="K4" s="271" t="s">
        <v>352</v>
      </c>
      <c r="L4" s="272"/>
      <c r="M4" s="272"/>
      <c r="N4" s="272"/>
      <c r="O4" s="27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1" t="s">
        <v>349</v>
      </c>
      <c r="C5" s="272"/>
      <c r="D5" s="272"/>
      <c r="E5" s="272"/>
      <c r="F5" s="273"/>
      <c r="G5" s="26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65,617 KRW (3.28%)</v>
      </c>
      <c r="H5" s="268"/>
      <c r="I5" s="269"/>
      <c r="J5" s="4" t="s">
        <v>15</v>
      </c>
      <c r="K5" s="271" t="s">
        <v>353</v>
      </c>
      <c r="L5" s="272"/>
      <c r="M5" s="272"/>
      <c r="N5" s="272"/>
      <c r="O5" s="273"/>
    </row>
    <row r="6" spans="1:19">
      <c r="A6" s="118" t="s">
        <v>18</v>
      </c>
      <c r="B6" s="271"/>
      <c r="C6" s="272"/>
      <c r="D6" s="272"/>
      <c r="E6" s="272"/>
      <c r="F6" s="273"/>
      <c r="G6" s="274" t="s">
        <v>45</v>
      </c>
      <c r="H6" s="275"/>
      <c r="I6" s="276"/>
      <c r="J6" s="4" t="s">
        <v>18</v>
      </c>
      <c r="K6" s="271" t="s">
        <v>354</v>
      </c>
      <c r="L6" s="272"/>
      <c r="M6" s="272"/>
      <c r="N6" s="272"/>
      <c r="O6" s="273"/>
    </row>
    <row r="7" spans="1:19" ht="17.25" thickBot="1">
      <c r="A7" s="118" t="s">
        <v>21</v>
      </c>
      <c r="B7" s="271"/>
      <c r="C7" s="272"/>
      <c r="D7" s="272"/>
      <c r="E7" s="272"/>
      <c r="F7" s="273"/>
      <c r="G7" s="26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106,237 KRW (5.31%)</v>
      </c>
      <c r="H7" s="268"/>
      <c r="I7" s="269"/>
      <c r="J7" s="4" t="s">
        <v>21</v>
      </c>
      <c r="K7" s="271" t="s">
        <v>355</v>
      </c>
      <c r="L7" s="272"/>
      <c r="M7" s="272"/>
      <c r="N7" s="272"/>
      <c r="O7" s="273"/>
    </row>
    <row r="8" spans="1:19" ht="17.25" thickBot="1">
      <c r="A8" s="118" t="s">
        <v>24</v>
      </c>
      <c r="B8" s="271"/>
      <c r="C8" s="272"/>
      <c r="D8" s="272"/>
      <c r="E8" s="272"/>
      <c r="F8" s="273"/>
      <c r="G8" s="274" t="s">
        <v>285</v>
      </c>
      <c r="H8" s="275"/>
      <c r="I8" s="276"/>
      <c r="J8" s="4" t="s">
        <v>24</v>
      </c>
      <c r="K8" s="271"/>
      <c r="L8" s="272"/>
      <c r="M8" s="272"/>
      <c r="N8" s="272"/>
      <c r="O8" s="273"/>
      <c r="Q8" s="246" t="s">
        <v>27</v>
      </c>
      <c r="R8" s="248"/>
    </row>
    <row r="9" spans="1:19" ht="17.25" thickBot="1">
      <c r="A9" s="118" t="s">
        <v>28</v>
      </c>
      <c r="B9" s="271"/>
      <c r="C9" s="272"/>
      <c r="D9" s="272"/>
      <c r="E9" s="272"/>
      <c r="F9" s="273"/>
      <c r="G9" s="26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123,219 KRW (6.16%)</v>
      </c>
      <c r="H9" s="268"/>
      <c r="I9" s="269"/>
      <c r="J9" s="4" t="s">
        <v>28</v>
      </c>
      <c r="K9" s="271"/>
      <c r="L9" s="272"/>
      <c r="M9" s="272"/>
      <c r="N9" s="272"/>
      <c r="O9" s="273"/>
      <c r="Q9" s="2" t="s">
        <v>29</v>
      </c>
      <c r="R9" s="6">
        <v>10</v>
      </c>
    </row>
    <row r="10" spans="1:19">
      <c r="A10" s="118" t="s">
        <v>30</v>
      </c>
      <c r="B10" s="271"/>
      <c r="C10" s="272"/>
      <c r="D10" s="272"/>
      <c r="E10" s="272"/>
      <c r="F10" s="273"/>
      <c r="G10" s="274" t="s">
        <v>47</v>
      </c>
      <c r="H10" s="275"/>
      <c r="I10" s="276"/>
      <c r="J10" s="4" t="s">
        <v>30</v>
      </c>
      <c r="K10" s="271" t="s">
        <v>356</v>
      </c>
      <c r="L10" s="272"/>
      <c r="M10" s="272"/>
      <c r="N10" s="272"/>
      <c r="O10" s="273"/>
      <c r="Q10" s="2" t="s">
        <v>31</v>
      </c>
      <c r="R10" s="6">
        <v>100</v>
      </c>
    </row>
    <row r="11" spans="1:19" ht="17.25" thickBot="1">
      <c r="A11" s="119" t="s">
        <v>32</v>
      </c>
      <c r="B11" s="264" t="s">
        <v>357</v>
      </c>
      <c r="C11" s="265"/>
      <c r="D11" s="265"/>
      <c r="E11" s="265"/>
      <c r="F11" s="266"/>
      <c r="G11" s="26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20,752 KRW (4.15%)</v>
      </c>
      <c r="H11" s="268"/>
      <c r="I11" s="269"/>
      <c r="J11" s="7" t="s">
        <v>32</v>
      </c>
      <c r="K11" s="264" t="s">
        <v>348</v>
      </c>
      <c r="L11" s="265"/>
      <c r="M11" s="265"/>
      <c r="N11" s="265"/>
      <c r="O11" s="266"/>
      <c r="Q11" s="65" t="s">
        <v>33</v>
      </c>
      <c r="R11" s="8">
        <v>1000</v>
      </c>
    </row>
    <row r="12" spans="1:19" ht="17.25" thickBot="1"/>
    <row r="13" spans="1:19" ht="17.25" customHeight="1" thickBot="1">
      <c r="A13" s="246" t="s">
        <v>34</v>
      </c>
      <c r="B13" s="247"/>
      <c r="C13" s="247"/>
      <c r="D13" s="247"/>
      <c r="E13" s="247"/>
      <c r="F13" s="247"/>
      <c r="G13" s="247"/>
      <c r="H13" s="247"/>
      <c r="I13" s="247"/>
      <c r="J13" s="247"/>
      <c r="K13" s="247"/>
      <c r="L13" s="247"/>
      <c r="M13" s="247"/>
      <c r="N13" s="247"/>
      <c r="O13" s="248"/>
      <c r="Q13" s="245"/>
      <c r="R13" s="245"/>
      <c r="S13" s="245"/>
    </row>
    <row r="14" spans="1:19" ht="17.25" customHeight="1" thickBot="1">
      <c r="A14" s="192" t="s">
        <v>35</v>
      </c>
      <c r="B14" s="246" t="s">
        <v>36</v>
      </c>
      <c r="C14" s="248"/>
      <c r="D14" s="246" t="s">
        <v>37</v>
      </c>
      <c r="E14" s="247"/>
      <c r="F14" s="248"/>
      <c r="G14" s="249">
        <f>_xlfn.IFNA(VLOOKUP(B14, 현재가테이블!$B$2:$D$200, 2, FALSE), "-")</f>
        <v>45335000</v>
      </c>
      <c r="H14" s="250"/>
      <c r="I14" s="251"/>
      <c r="J14" s="246" t="s">
        <v>38</v>
      </c>
      <c r="K14" s="247"/>
      <c r="L14" s="248"/>
      <c r="M14" s="252">
        <f>_xlfn.IFNA(VLOOKUP(B14, 현재가테이블!$B$2:$D$200, 3, FALSE), "-")</f>
        <v>-2.27209037E-2</v>
      </c>
      <c r="N14" s="253"/>
      <c r="O14" s="254"/>
      <c r="Q14" s="245"/>
      <c r="R14" s="245"/>
      <c r="S14" s="245"/>
    </row>
    <row r="15" spans="1:19" ht="17.25" customHeight="1" thickBot="1">
      <c r="A15" s="283" t="s">
        <v>39</v>
      </c>
      <c r="B15" s="284" t="str">
        <f>TEXT($G$1, "[$-ko-KR]yyyy-mm-dd(ddd) ") &amp; "오전 00:00"</f>
        <v>2021-06-09(수) 오전 00:00</v>
      </c>
      <c r="C15" s="285"/>
      <c r="D15" s="259" t="str">
        <f>TEXT($G$1, "[$-ko-KR]yyyy-mm-dd(ddd) ") &amp; "오후 14:00"</f>
        <v>2021-06-09(수) 오후 14:00</v>
      </c>
      <c r="E15" s="260"/>
      <c r="F15" s="261"/>
      <c r="G15" s="259" t="str">
        <f>TEXT($G$1, "[$-ko-KR]yyyy-mm-dd(ddd) ") &amp; "오후 19:00"</f>
        <v>2021-06-09(수) 오후 19:00</v>
      </c>
      <c r="H15" s="260"/>
      <c r="I15" s="261"/>
      <c r="J15" s="259" t="str">
        <f>TEXT($G$1, "[$-ko-KR]yyyy-mm-dd(ddd) ") &amp; "오후 21:00"</f>
        <v>2021-06-09(수) 오후 21:00</v>
      </c>
      <c r="K15" s="260"/>
      <c r="L15" s="261"/>
      <c r="M15" s="259" t="str">
        <f>TEXT($G$1+1, "[$-ko-KR]yyyy-mm-dd(ddd) ") &amp; "오전 00:00"</f>
        <v>2021-06-10(목) 오전 00:00</v>
      </c>
      <c r="N15" s="260"/>
      <c r="O15" s="261"/>
      <c r="Q15" s="245"/>
      <c r="R15" s="245"/>
      <c r="S15" s="245"/>
    </row>
    <row r="16" spans="1:19" ht="17.25" customHeight="1" thickBot="1">
      <c r="A16" s="28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3" t="s">
        <v>37</v>
      </c>
      <c r="H16" s="194" t="s">
        <v>40</v>
      </c>
      <c r="I16" s="19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5"/>
      <c r="R16" s="235"/>
      <c r="S16" s="235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82.2</v>
      </c>
      <c r="C17" s="76">
        <f>IF(NOT(ISBLANK(_xlfn.IFNA(VLOOKUP($A17, $A$40:$O$199, 3, FALSE), ))), _xlfn.IFNA(VLOOKUP($A17, $A$40:$O$199, 3, FALSE), ), "")</f>
        <v>-0.1132686084</v>
      </c>
      <c r="D17" s="13">
        <f>IF(NOT(ISBLANK(_xlfn.IFNA(VLOOKUP($A17, $A$40:$O$199, 4, FALSE), ))), _xlfn.IFNA(VLOOKUP($A17, $A$40:$O$199, 4, FALSE), ), "")</f>
        <v>81.2</v>
      </c>
      <c r="E17" s="14">
        <f>IF(NOT(ISBLANK(_xlfn.IFNA(VLOOKUP($A17, $A$40:$O$199, 5, FALSE), ))), _xlfn.IFNA(VLOOKUP($A17, $A$40:$O$199, 5, FALSE), ), "")</f>
        <v>-1.21654501216545E-2</v>
      </c>
      <c r="F17" s="16">
        <f>IF(NOT(ISBLANK(_xlfn.IFNA(VLOOKUP($A17, $A$40:$O$199, 6, FALSE), ))), _xlfn.IFNA(VLOOKUP($A17, $A$40:$O$199, 6, FALSE), ), "")</f>
        <v>-1216.5450121654501</v>
      </c>
      <c r="G17" s="29">
        <f>IF(NOT(ISBLANK(_xlfn.IFNA(VLOOKUP($A17, $A$40:$O$199, 7, FALSE), ))), _xlfn.IFNA(VLOOKUP($A17, $A$40:$O$199, 7, FALSE), ), "")</f>
        <v>82.4</v>
      </c>
      <c r="H17" s="14">
        <f>IF(NOT(ISBLANK(_xlfn.IFNA(VLOOKUP($A17, $A$40:$O$199, 8, FALSE), ))), _xlfn.IFNA(VLOOKUP($A17, $A$40:$O$199, 8, FALSE), ), "")</f>
        <v>2.4330900243309346E-3</v>
      </c>
      <c r="I17" s="100">
        <f>IF(NOT(ISBLANK(_xlfn.IFNA(VLOOKUP($A17, $A$40:$O$199, 9, FALSE), ))), _xlfn.IFNA(VLOOKUP($A17, $A$40:$O$199, 9, FALSE), ), "")</f>
        <v>243.30900243309347</v>
      </c>
      <c r="J17" s="13">
        <f>IF(NOT(ISBLANK(_xlfn.IFNA(VLOOKUP($A17, $A$40:$O$199, 10, FALSE), ))), _xlfn.IFNA(VLOOKUP($A17, $A$40:$O$199, 10, FALSE), ), "")</f>
        <v>85.1</v>
      </c>
      <c r="K17" s="14">
        <f>IF(NOT(ISBLANK(_xlfn.IFNA(VLOOKUP($A17, $A$40:$O$199, 11, FALSE), ))), _xlfn.IFNA(VLOOKUP($A17, $A$40:$O$199, 11, FALSE), ), "")</f>
        <v>3.5279805352797948E-2</v>
      </c>
      <c r="L17" s="16">
        <f>IF(NOT(ISBLANK(_xlfn.IFNA(VLOOKUP($A17, $A$40:$O$199, 12, FALSE), ))), _xlfn.IFNA(VLOOKUP($A17, $A$40:$O$199, 12, FALSE), ), "")</f>
        <v>3527.9805352797948</v>
      </c>
      <c r="M17" s="29">
        <f>IF(NOT(ISBLANK(_xlfn.IFNA(VLOOKUP($A17, $A$40:$O$199, 13, FALSE), ))), _xlfn.IFNA(VLOOKUP($A17, $A$40:$O$199, 13, FALSE), ), "")</f>
        <v>84.4</v>
      </c>
      <c r="N17" s="14">
        <f>IF(NOT(ISBLANK(_xlfn.IFNA(VLOOKUP($A17, $A$40:$O$199, 14, FALSE), ))), _xlfn.IFNA(VLOOKUP($A17, $A$40:$O$199, 14, FALSE), ), "")</f>
        <v>2.6763990267639936E-2</v>
      </c>
      <c r="O17" s="16">
        <f>IF(NOT(ISBLANK(_xlfn.IFNA(VLOOKUP($A17, $A$40:$O$199, 15, FALSE), ))), _xlfn.IFNA(VLOOKUP($A17, $A$40:$O$199, 15, FALSE), ), "")</f>
        <v>2676.3990267639938</v>
      </c>
      <c r="Q17" s="245"/>
      <c r="R17" s="245"/>
      <c r="S17" s="245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62</v>
      </c>
      <c r="C18" s="77">
        <f t="shared" ref="C18:C36" si="1">IF(NOT(ISBLANK(_xlfn.IFNA(VLOOKUP($A18, $A$40:$O$199, 3, FALSE), ))), _xlfn.IFNA(VLOOKUP($A18, $A$40:$O$199, 3, FALSE), ), "")</f>
        <v>-0.14127423820000001</v>
      </c>
      <c r="D18" s="15">
        <f t="shared" ref="D18:D36" si="2">IF(NOT(ISBLANK(_xlfn.IFNA(VLOOKUP($A18, $A$40:$O$199, 4, FALSE), ))), _xlfn.IFNA(VLOOKUP($A18, $A$40:$O$199, 4, FALSE), ), "")</f>
        <v>62.9</v>
      </c>
      <c r="E18" s="32">
        <f t="shared" ref="E18:E36" si="3">IF(NOT(ISBLANK(_xlfn.IFNA(VLOOKUP($A18, $A$40:$O$199, 5, FALSE), ))), _xlfn.IFNA(VLOOKUP($A18, $A$40:$O$199, 5, FALSE), ), "")</f>
        <v>1.4516129032258041E-2</v>
      </c>
      <c r="F18" s="18">
        <f t="shared" ref="F18:F36" si="4">IF(NOT(ISBLANK(_xlfn.IFNA(VLOOKUP($A18, $A$40:$O$199, 6, FALSE), ))), _xlfn.IFNA(VLOOKUP($A18, $A$40:$O$199, 6, FALSE), ), "")</f>
        <v>1451.6129032258041</v>
      </c>
      <c r="G18" s="31">
        <f t="shared" ref="G18:G36" si="5">IF(NOT(ISBLANK(_xlfn.IFNA(VLOOKUP($A18, $A$40:$O$199, 7, FALSE), ))), _xlfn.IFNA(VLOOKUP($A18, $A$40:$O$199, 7, FALSE), ), "")</f>
        <v>63.4</v>
      </c>
      <c r="H18" s="32">
        <f t="shared" ref="H18:H36" si="6">IF(NOT(ISBLANK(_xlfn.IFNA(VLOOKUP($A18, $A$40:$O$199, 8, FALSE), ))), _xlfn.IFNA(VLOOKUP($A18, $A$40:$O$199, 8, FALSE), ), "")</f>
        <v>2.25806451612903E-2</v>
      </c>
      <c r="I18" s="101">
        <f t="shared" ref="I18:I36" si="7">IF(NOT(ISBLANK(_xlfn.IFNA(VLOOKUP($A18, $A$40:$O$199, 9, FALSE), ))), _xlfn.IFNA(VLOOKUP($A18, $A$40:$O$199, 9, FALSE), ), "")</f>
        <v>2258.0645161290299</v>
      </c>
      <c r="J18" s="15">
        <f t="shared" ref="J18:J36" si="8">IF(NOT(ISBLANK(_xlfn.IFNA(VLOOKUP($A18, $A$40:$O$199, 10, FALSE), ))), _xlfn.IFNA(VLOOKUP($A18, $A$40:$O$199, 10, FALSE), ), "")</f>
        <v>64.7</v>
      </c>
      <c r="K18" s="32">
        <f t="shared" ref="K18:K36" si="9">IF(NOT(ISBLANK(_xlfn.IFNA(VLOOKUP($A18, $A$40:$O$199, 11, FALSE), ))), _xlfn.IFNA(VLOOKUP($A18, $A$40:$O$199, 11, FALSE), ), "")</f>
        <v>4.3548387096774242E-2</v>
      </c>
      <c r="L18" s="18">
        <f t="shared" ref="L18:L36" si="10">IF(NOT(ISBLANK(_xlfn.IFNA(VLOOKUP($A18, $A$40:$O$199, 12, FALSE), ))), _xlfn.IFNA(VLOOKUP($A18, $A$40:$O$199, 12, FALSE), ), "")</f>
        <v>4354.838709677424</v>
      </c>
      <c r="M18" s="31">
        <f t="shared" ref="M18:M36" si="11">IF(NOT(ISBLANK(_xlfn.IFNA(VLOOKUP($A18, $A$40:$O$199, 13, FALSE), ))), _xlfn.IFNA(VLOOKUP($A18, $A$40:$O$199, 13, FALSE), ), "")</f>
        <v>63.8</v>
      </c>
      <c r="N18" s="32">
        <f t="shared" ref="N18:N36" si="12">IF(NOT(ISBLANK(_xlfn.IFNA(VLOOKUP($A18, $A$40:$O$199, 14, FALSE), ))), _xlfn.IFNA(VLOOKUP($A18, $A$40:$O$199, 14, FALSE), ), "")</f>
        <v>2.9032258064516082E-2</v>
      </c>
      <c r="O18" s="18">
        <f t="shared" ref="O18:O36" si="13">IF(NOT(ISBLANK(_xlfn.IFNA(VLOOKUP($A18, $A$40:$O$199, 15, FALSE), ))), _xlfn.IFNA(VLOOKUP($A18, $A$40:$O$199, 15, FALSE), ), "")</f>
        <v>2903.2258064516082</v>
      </c>
      <c r="Q18" s="245"/>
      <c r="R18" s="245"/>
      <c r="S18" s="245"/>
    </row>
    <row r="19" spans="1:19" ht="17.25" customHeight="1" thickBot="1">
      <c r="A19" s="162" t="s">
        <v>202</v>
      </c>
      <c r="B19" s="126">
        <f t="shared" si="0"/>
        <v>102</v>
      </c>
      <c r="C19" s="77">
        <f t="shared" si="1"/>
        <v>-0.1130434783</v>
      </c>
      <c r="D19" s="15">
        <f t="shared" si="2"/>
        <v>104</v>
      </c>
      <c r="E19" s="32">
        <f t="shared" si="3"/>
        <v>1.9607843137254902E-2</v>
      </c>
      <c r="F19" s="18">
        <f t="shared" si="4"/>
        <v>1960.7843137254902</v>
      </c>
      <c r="G19" s="31">
        <f t="shared" si="5"/>
        <v>104</v>
      </c>
      <c r="H19" s="32">
        <f t="shared" si="6"/>
        <v>1.9607843137254902E-2</v>
      </c>
      <c r="I19" s="101">
        <f t="shared" si="7"/>
        <v>1960.7843137254902</v>
      </c>
      <c r="J19" s="15">
        <f t="shared" si="8"/>
        <v>106</v>
      </c>
      <c r="K19" s="32">
        <f t="shared" si="9"/>
        <v>3.9215686274509803E-2</v>
      </c>
      <c r="L19" s="18">
        <f t="shared" si="10"/>
        <v>3921.5686274509803</v>
      </c>
      <c r="M19" s="31">
        <f t="shared" si="11"/>
        <v>105</v>
      </c>
      <c r="N19" s="32">
        <f t="shared" si="12"/>
        <v>2.9411764705882353E-2</v>
      </c>
      <c r="O19" s="18">
        <f t="shared" si="13"/>
        <v>2941.1764705882351</v>
      </c>
      <c r="Q19" s="235"/>
      <c r="R19" s="235"/>
      <c r="S19" s="235"/>
    </row>
    <row r="20" spans="1:19" ht="17.25" customHeight="1" thickBot="1">
      <c r="A20" s="162" t="s">
        <v>120</v>
      </c>
      <c r="B20" s="126">
        <f t="shared" si="0"/>
        <v>126</v>
      </c>
      <c r="C20" s="77">
        <f t="shared" si="1"/>
        <v>-5.2631578900000003E-2</v>
      </c>
      <c r="D20" s="15">
        <f t="shared" si="2"/>
        <v>128</v>
      </c>
      <c r="E20" s="32">
        <f t="shared" si="3"/>
        <v>1.5873015873015872E-2</v>
      </c>
      <c r="F20" s="18">
        <f t="shared" si="4"/>
        <v>1587.3015873015872</v>
      </c>
      <c r="G20" s="31">
        <f t="shared" si="5"/>
        <v>133</v>
      </c>
      <c r="H20" s="32">
        <f t="shared" si="6"/>
        <v>5.5555555555555552E-2</v>
      </c>
      <c r="I20" s="101">
        <f t="shared" si="7"/>
        <v>5555.5555555555557</v>
      </c>
      <c r="J20" s="15">
        <f t="shared" si="8"/>
        <v>135</v>
      </c>
      <c r="K20" s="32">
        <f t="shared" si="9"/>
        <v>7.1428571428571425E-2</v>
      </c>
      <c r="L20" s="18">
        <f t="shared" si="10"/>
        <v>7142.8571428571422</v>
      </c>
      <c r="M20" s="31">
        <f t="shared" si="11"/>
        <v>134</v>
      </c>
      <c r="N20" s="32">
        <f t="shared" si="12"/>
        <v>6.3492063492063489E-2</v>
      </c>
      <c r="O20" s="18">
        <f t="shared" si="13"/>
        <v>6349.2063492063489</v>
      </c>
      <c r="Q20" s="235"/>
      <c r="R20" s="235"/>
      <c r="S20" s="235"/>
    </row>
    <row r="21" spans="1:19" ht="17.25" customHeight="1" thickBot="1">
      <c r="A21" s="163" t="s">
        <v>246</v>
      </c>
      <c r="B21" s="128">
        <f t="shared" si="0"/>
        <v>255</v>
      </c>
      <c r="C21" s="78">
        <f t="shared" si="1"/>
        <v>-0.14429530199999999</v>
      </c>
      <c r="D21" s="20">
        <f t="shared" si="2"/>
        <v>280</v>
      </c>
      <c r="E21" s="21">
        <f t="shared" si="3"/>
        <v>9.8039215686274508E-2</v>
      </c>
      <c r="F21" s="22">
        <f t="shared" si="4"/>
        <v>9803.9215686274511</v>
      </c>
      <c r="G21" s="30">
        <f t="shared" si="5"/>
        <v>266</v>
      </c>
      <c r="H21" s="21">
        <f t="shared" si="6"/>
        <v>4.3137254901960784E-2</v>
      </c>
      <c r="I21" s="105">
        <f t="shared" si="7"/>
        <v>4313.7254901960787</v>
      </c>
      <c r="J21" s="20">
        <f t="shared" si="8"/>
        <v>273</v>
      </c>
      <c r="K21" s="21">
        <f t="shared" si="9"/>
        <v>7.0588235294117646E-2</v>
      </c>
      <c r="L21" s="22">
        <f t="shared" si="10"/>
        <v>7058.8235294117649</v>
      </c>
      <c r="M21" s="30">
        <f t="shared" si="11"/>
        <v>270</v>
      </c>
      <c r="N21" s="21">
        <f t="shared" si="12"/>
        <v>5.8823529411764705E-2</v>
      </c>
      <c r="O21" s="22">
        <f t="shared" si="13"/>
        <v>5882.3529411764703</v>
      </c>
      <c r="Q21" s="235"/>
      <c r="R21" s="235"/>
      <c r="S21" s="235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5"/>
      <c r="R22" s="235"/>
      <c r="S22" s="235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5"/>
      <c r="R23" s="235"/>
      <c r="S23" s="235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5"/>
      <c r="R24" s="235"/>
      <c r="S24" s="235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6"/>
      <c r="R26" s="237"/>
      <c r="S26" s="238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9"/>
      <c r="R27" s="240"/>
      <c r="S27" s="241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2"/>
      <c r="R28" s="243"/>
      <c r="S28" s="244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5"/>
      <c r="R29" s="235"/>
      <c r="S29" s="235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5"/>
      <c r="R30" s="245"/>
      <c r="S30" s="245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5"/>
      <c r="R31" s="245"/>
      <c r="S31" s="24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5"/>
      <c r="R32" s="235"/>
      <c r="S32" s="235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5"/>
      <c r="R33" s="235"/>
      <c r="S33" s="235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5"/>
      <c r="R34" s="235"/>
      <c r="S34" s="235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4"/>
      <c r="R35" s="225"/>
      <c r="S35" s="22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7"/>
      <c r="R36" s="228"/>
      <c r="S36" s="229"/>
    </row>
    <row r="37" spans="1:19" ht="17.25" customHeight="1" thickBot="1">
      <c r="A37" s="132" t="s">
        <v>42</v>
      </c>
      <c r="B37" s="288">
        <v>100000</v>
      </c>
      <c r="C37" s="289"/>
      <c r="D37" s="26" t="s">
        <v>43</v>
      </c>
      <c r="E37" s="27">
        <f>IF(COUNT(E17:E36), SUM(E17:E36) / COUNT(E17:E36), 0)</f>
        <v>2.7174150721429764E-2</v>
      </c>
      <c r="F37" s="28">
        <f>SUM(F17:F36)</f>
        <v>13587.075360714884</v>
      </c>
      <c r="G37" s="26" t="s">
        <v>43</v>
      </c>
      <c r="H37" s="27">
        <f>IF(COUNT(H17:H36), SUM(H17:H36) / COUNT(H17:H36), 0)</f>
        <v>2.8662877756078498E-2</v>
      </c>
      <c r="I37" s="28">
        <f>SUM(I17:I36)</f>
        <v>14331.438878039249</v>
      </c>
      <c r="J37" s="26" t="s">
        <v>43</v>
      </c>
      <c r="K37" s="27">
        <f>IF(COUNT(K17:K36), SUM(K17:K36) / COUNT(K17:K36), 0)</f>
        <v>5.2012137089354218E-2</v>
      </c>
      <c r="L37" s="28">
        <f>SUM(L17:L36)</f>
        <v>26006.068544677106</v>
      </c>
      <c r="M37" s="26" t="s">
        <v>43</v>
      </c>
      <c r="N37" s="27">
        <f>IF(COUNT(N17:N36), SUM(N17:N36) / COUNT(N17:N36), 0)</f>
        <v>4.1504721188373318E-2</v>
      </c>
      <c r="O37" s="28">
        <f>SUM(O17:O36)</f>
        <v>20752.360594186655</v>
      </c>
      <c r="Q37" s="230"/>
      <c r="R37" s="231"/>
      <c r="S37" s="232"/>
    </row>
    <row r="38" spans="1:19" ht="17.25" customHeight="1"/>
    <row r="39" spans="1:19" ht="17.25" customHeight="1" thickBot="1"/>
    <row r="40" spans="1:19" ht="17.25" customHeight="1" thickBot="1">
      <c r="A40" s="246" t="s">
        <v>44</v>
      </c>
      <c r="B40" s="247"/>
      <c r="C40" s="247"/>
      <c r="D40" s="247"/>
      <c r="E40" s="247"/>
      <c r="F40" s="247"/>
      <c r="G40" s="247"/>
      <c r="H40" s="247"/>
      <c r="I40" s="247"/>
      <c r="J40" s="247"/>
      <c r="K40" s="247"/>
      <c r="L40" s="247"/>
      <c r="M40" s="247"/>
      <c r="N40" s="247"/>
      <c r="O40" s="248"/>
      <c r="Q40" s="245"/>
      <c r="R40" s="245"/>
      <c r="S40" s="245"/>
    </row>
    <row r="41" spans="1:19" ht="17.25" customHeight="1" thickBot="1">
      <c r="A41" s="192" t="s">
        <v>297</v>
      </c>
      <c r="B41" s="246" t="s">
        <v>49</v>
      </c>
      <c r="C41" s="248"/>
      <c r="D41" s="246" t="s">
        <v>58</v>
      </c>
      <c r="E41" s="247"/>
      <c r="F41" s="248"/>
      <c r="G41" s="249">
        <f>_xlfn.IFNA(VLOOKUP(B41, 현재가테이블!$B$2:$D$200, 2, FALSE), "-")</f>
        <v>45335000</v>
      </c>
      <c r="H41" s="250"/>
      <c r="I41" s="251"/>
      <c r="J41" s="246" t="s">
        <v>59</v>
      </c>
      <c r="K41" s="247"/>
      <c r="L41" s="248"/>
      <c r="M41" s="252">
        <f>_xlfn.IFNA(VLOOKUP(B41, 현재가테이블!$B$2:$D$200, 3, FALSE), "-")</f>
        <v>-2.27209037E-2</v>
      </c>
      <c r="N41" s="253"/>
      <c r="O41" s="254"/>
      <c r="Q41" s="245"/>
      <c r="R41" s="245"/>
      <c r="S41" s="245"/>
    </row>
    <row r="42" spans="1:19" ht="17.25" customHeight="1" thickBot="1">
      <c r="A42" s="290" t="s">
        <v>55</v>
      </c>
      <c r="B42" s="286" t="str">
        <f>TEXT($G$1, "[$-ko-KR]yyyy-mm-dd(ddd) ") &amp; "오전 00:00"</f>
        <v>2021-06-09(수) 오전 00:00</v>
      </c>
      <c r="C42" s="287"/>
      <c r="D42" s="259" t="str">
        <f>TEXT($G$1, "[$-ko-KR]yyyy-mm-dd(ddd) ") &amp; "오후 14:00"</f>
        <v>2021-06-09(수) 오후 14:00</v>
      </c>
      <c r="E42" s="260"/>
      <c r="F42" s="261"/>
      <c r="G42" s="259" t="str">
        <f>TEXT($G$1, "[$-ko-KR]yyyy-mm-dd(ddd) ") &amp; "오후 19:00"</f>
        <v>2021-06-09(수) 오후 19:00</v>
      </c>
      <c r="H42" s="260"/>
      <c r="I42" s="261"/>
      <c r="J42" s="259" t="str">
        <f>TEXT($G$1, "[$-ko-KR]yyyy-mm-dd(ddd) ") &amp; "오후 21:00"</f>
        <v>2021-06-09(수) 오후 21:00</v>
      </c>
      <c r="K42" s="260"/>
      <c r="L42" s="261"/>
      <c r="M42" s="259" t="str">
        <f>TEXT($G$1+1, "[$-ko-KR]yyyy-mm-dd(ddd) ") &amp; "오전 00:00"</f>
        <v>2021-06-10(목) 오전 00:00</v>
      </c>
      <c r="N42" s="260"/>
      <c r="O42" s="261"/>
      <c r="Q42" s="245"/>
      <c r="R42" s="245"/>
      <c r="S42" s="245"/>
    </row>
    <row r="43" spans="1:19" ht="17.25" customHeight="1" thickBot="1">
      <c r="A43" s="291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93" t="s">
        <v>58</v>
      </c>
      <c r="H43" s="194" t="s">
        <v>298</v>
      </c>
      <c r="I43" s="195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5"/>
      <c r="R43" s="235"/>
      <c r="S43" s="235"/>
    </row>
    <row r="44" spans="1:19" ht="17.25" customHeight="1" thickBot="1">
      <c r="A44" s="161" t="s">
        <v>236</v>
      </c>
      <c r="B44" s="124">
        <v>50.6</v>
      </c>
      <c r="C44" s="76">
        <v>-1.171875E-2</v>
      </c>
      <c r="D44" s="13">
        <v>50.8</v>
      </c>
      <c r="E44" s="14">
        <f>IF(ISNUMBER(D44), (D44 - $B44) / $B44, "")</f>
        <v>3.9525691699603899E-3</v>
      </c>
      <c r="F44" s="16">
        <f>IF(ISNUMBER(D44), $B64 * E44, "")</f>
        <v>395.25691699603897</v>
      </c>
      <c r="G44" s="29">
        <v>51.1</v>
      </c>
      <c r="H44" s="14">
        <f>IF(ISNUMBER(G44), (G44 - $B44) / $B44, "")</f>
        <v>9.881422924901186E-3</v>
      </c>
      <c r="I44" s="100">
        <f>IF(ISNUMBER(G44), $B64 * H44, "")</f>
        <v>988.14229249011862</v>
      </c>
      <c r="J44" s="13">
        <v>51</v>
      </c>
      <c r="K44" s="14">
        <f>IF(ISNUMBER(J44), (J44 - $B44) / $B44, "")</f>
        <v>7.9051383399209203E-3</v>
      </c>
      <c r="L44" s="16">
        <f>IF(ISNUMBER(J44), $B64 * K44, "")</f>
        <v>790.51383399209203</v>
      </c>
      <c r="M44" s="29">
        <v>51.3</v>
      </c>
      <c r="N44" s="14">
        <f>IF(ISNUMBER(M44), (M44 - $B44) / $B44, "")</f>
        <v>1.3833992094861575E-2</v>
      </c>
      <c r="O44" s="16">
        <f>IF(ISNUMBER(M44), $B64 * N44, "")</f>
        <v>1383.3992094861576</v>
      </c>
      <c r="Q44" s="245"/>
      <c r="R44" s="245"/>
      <c r="S44" s="245"/>
    </row>
    <row r="45" spans="1:19" ht="17.25" customHeight="1" thickBot="1">
      <c r="A45" s="162" t="s">
        <v>196</v>
      </c>
      <c r="B45" s="126">
        <v>10.7</v>
      </c>
      <c r="C45" s="77">
        <v>-3.6036036E-2</v>
      </c>
      <c r="D45" s="15">
        <v>10.5</v>
      </c>
      <c r="E45" s="32">
        <f t="shared" ref="E45:E48" si="14">IF(ISNUMBER(D45), (D45 - $B45) / $B45, "")</f>
        <v>-1.8691588785046665E-2</v>
      </c>
      <c r="F45" s="18">
        <f>IF(ISNUMBER(D45), $B64 * E45, "")</f>
        <v>-1869.1588785046665</v>
      </c>
      <c r="G45" s="31">
        <v>10.5</v>
      </c>
      <c r="H45" s="32">
        <f t="shared" ref="H45:H48" si="15">IF(ISNUMBER(G45), (G45 - $B45) / $B45, "")</f>
        <v>-1.8691588785046665E-2</v>
      </c>
      <c r="I45" s="101">
        <f>IF(ISNUMBER(G45), $B64 * H45, "")</f>
        <v>-1869.1588785046665</v>
      </c>
      <c r="J45" s="15">
        <v>10.8</v>
      </c>
      <c r="K45" s="32">
        <f t="shared" ref="K45:K48" si="16">IF(ISNUMBER(J45), (J45 - $B45) / $B45, "")</f>
        <v>9.3457943925234974E-3</v>
      </c>
      <c r="L45" s="18">
        <f>IF(ISNUMBER(J45), $B64 * K45, "")</f>
        <v>934.57943925234974</v>
      </c>
      <c r="M45" s="31">
        <v>10.6</v>
      </c>
      <c r="N45" s="32">
        <f t="shared" ref="N45:N48" si="17">IF(ISNUMBER(M45), (M45 - $B45) / $B45, "")</f>
        <v>-9.3457943925233326E-3</v>
      </c>
      <c r="O45" s="18">
        <f>IF(ISNUMBER(M45), $B64 * N45, "")</f>
        <v>-934.57943925233326</v>
      </c>
      <c r="Q45" s="245"/>
      <c r="R45" s="245"/>
      <c r="S45" s="245"/>
    </row>
    <row r="46" spans="1:19" ht="17.25" customHeight="1" thickBot="1">
      <c r="A46" s="162" t="s">
        <v>100</v>
      </c>
      <c r="B46" s="126">
        <v>4.0599999999999996</v>
      </c>
      <c r="C46" s="77">
        <v>-3.7914691899999999E-2</v>
      </c>
      <c r="D46" s="15">
        <v>4.1500000000000004</v>
      </c>
      <c r="E46" s="32">
        <f t="shared" si="14"/>
        <v>2.2167487684729249E-2</v>
      </c>
      <c r="F46" s="18">
        <f>IF(ISNUMBER(D46), $B64 * E46, "")</f>
        <v>2216.7487684729249</v>
      </c>
      <c r="G46" s="31">
        <v>4.1900000000000004</v>
      </c>
      <c r="H46" s="32">
        <f t="shared" si="15"/>
        <v>3.2019704433497734E-2</v>
      </c>
      <c r="I46" s="101">
        <f>IF(ISNUMBER(G46), $B64 * H46, "")</f>
        <v>3201.9704433497732</v>
      </c>
      <c r="J46" s="15">
        <v>4.29</v>
      </c>
      <c r="K46" s="32">
        <f t="shared" si="16"/>
        <v>5.665024630541883E-2</v>
      </c>
      <c r="L46" s="18">
        <f>IF(ISNUMBER(J46), $B64 * K46, "")</f>
        <v>5665.0246305418832</v>
      </c>
      <c r="M46" s="31">
        <v>4.18</v>
      </c>
      <c r="N46" s="32">
        <f t="shared" si="17"/>
        <v>2.9556650246305449E-2</v>
      </c>
      <c r="O46" s="18">
        <f>IF(ISNUMBER(M46), $B64 * N46, "")</f>
        <v>2955.6650246305448</v>
      </c>
      <c r="Q46" s="235"/>
      <c r="R46" s="235"/>
      <c r="S46" s="235"/>
    </row>
    <row r="47" spans="1:19" ht="17.25" customHeight="1" thickBot="1">
      <c r="A47" s="162" t="s">
        <v>156</v>
      </c>
      <c r="B47" s="126">
        <v>79.900000000000006</v>
      </c>
      <c r="C47" s="77">
        <v>-3.9663461499999997E-2</v>
      </c>
      <c r="D47" s="15">
        <v>81.7</v>
      </c>
      <c r="E47" s="32">
        <f t="shared" si="14"/>
        <v>2.2528160200250277E-2</v>
      </c>
      <c r="F47" s="18">
        <f>IF(ISNUMBER(D47), $B64 * E47, "")</f>
        <v>2252.8160200250277</v>
      </c>
      <c r="G47" s="31">
        <v>82.9</v>
      </c>
      <c r="H47" s="32">
        <f t="shared" si="15"/>
        <v>3.7546933667083851E-2</v>
      </c>
      <c r="I47" s="101">
        <f>IF(ISNUMBER(G47), $B64 * H47, "")</f>
        <v>3754.6933667083849</v>
      </c>
      <c r="J47" s="15">
        <v>85.3</v>
      </c>
      <c r="K47" s="32">
        <f t="shared" si="16"/>
        <v>6.7584480600750826E-2</v>
      </c>
      <c r="L47" s="18">
        <f>IF(ISNUMBER(J47), $B64 * K47, "")</f>
        <v>6758.448060075083</v>
      </c>
      <c r="M47" s="31">
        <v>83.2</v>
      </c>
      <c r="N47" s="32">
        <f t="shared" si="17"/>
        <v>4.1301627033792199E-2</v>
      </c>
      <c r="O47" s="18">
        <f>IF(ISNUMBER(M47), $B64 * N47, "")</f>
        <v>4130.1627033792201</v>
      </c>
      <c r="Q47" s="235"/>
      <c r="R47" s="235"/>
      <c r="S47" s="235"/>
    </row>
    <row r="48" spans="1:19" ht="17.25" customHeight="1" thickBot="1">
      <c r="A48" s="163" t="s">
        <v>172</v>
      </c>
      <c r="B48" s="128">
        <v>13.5</v>
      </c>
      <c r="C48" s="78">
        <v>-4.9295774600000002E-2</v>
      </c>
      <c r="D48" s="20">
        <v>13.4</v>
      </c>
      <c r="E48" s="21">
        <f t="shared" si="14"/>
        <v>-7.4074074074073808E-3</v>
      </c>
      <c r="F48" s="22">
        <f>IF(ISNUMBER(D48), $B64 * E48, "")</f>
        <v>-740.74074074073803</v>
      </c>
      <c r="G48" s="30">
        <v>13.3</v>
      </c>
      <c r="H48" s="21">
        <f t="shared" si="15"/>
        <v>-1.4814814814814762E-2</v>
      </c>
      <c r="I48" s="105">
        <f>IF(ISNUMBER(G48), $B64 * H48, "")</f>
        <v>-1481.4814814814761</v>
      </c>
      <c r="J48" s="20">
        <v>13.5</v>
      </c>
      <c r="K48" s="21">
        <f t="shared" si="16"/>
        <v>0</v>
      </c>
      <c r="L48" s="22">
        <f>IF(ISNUMBER(J48), $B64 * K48, "")</f>
        <v>0</v>
      </c>
      <c r="M48" s="30">
        <v>13.4</v>
      </c>
      <c r="N48" s="21">
        <f t="shared" si="17"/>
        <v>-7.4074074074073808E-3</v>
      </c>
      <c r="O48" s="22">
        <f>IF(ISNUMBER(M48), $B64 * N48, "")</f>
        <v>-740.74074074073803</v>
      </c>
      <c r="Q48" s="235"/>
      <c r="R48" s="235"/>
      <c r="S48" s="235"/>
    </row>
    <row r="49" spans="1:19" ht="17.25" customHeight="1" thickBot="1">
      <c r="A49" s="162" t="s">
        <v>278</v>
      </c>
      <c r="B49" s="129">
        <v>70.900000000000006</v>
      </c>
      <c r="C49" s="80">
        <v>-5.5925432800000001E-2</v>
      </c>
      <c r="D49" s="106">
        <v>73.099999999999994</v>
      </c>
      <c r="E49" s="107">
        <f>IF(ISNUMBER(D49), (D49 - $B49) / $B49, "")</f>
        <v>3.1029619181946241E-2</v>
      </c>
      <c r="F49" s="108">
        <f>IF(ISNUMBER(D49), $B64 * E49, "")</f>
        <v>3102.9619181946241</v>
      </c>
      <c r="G49" s="109">
        <v>74.7</v>
      </c>
      <c r="H49" s="107">
        <f>IF(ISNUMBER(G49), (G49 - $B49) / $B49, "")</f>
        <v>5.3596614950634655E-2</v>
      </c>
      <c r="I49" s="110">
        <f>IF(ISNUMBER(G49), $B64 * H49, "")</f>
        <v>5359.6614950634657</v>
      </c>
      <c r="J49" s="106">
        <v>76.3</v>
      </c>
      <c r="K49" s="107">
        <f>IF(ISNUMBER(J49), (J49 - $B49) / $B49, "")</f>
        <v>7.6163610719322858E-2</v>
      </c>
      <c r="L49" s="108">
        <f>IF(ISNUMBER(J49), $B64 * K49, "")</f>
        <v>7616.361071932286</v>
      </c>
      <c r="M49" s="109">
        <v>75.5</v>
      </c>
      <c r="N49" s="107">
        <f>IF(ISNUMBER(M49), (M49 - $B49) / $B49, "")</f>
        <v>6.4880112834978756E-2</v>
      </c>
      <c r="O49" s="108">
        <f>IF(ISNUMBER(M49), $B64 * N49, "")</f>
        <v>6488.0112834978754</v>
      </c>
      <c r="Q49" s="235"/>
      <c r="R49" s="235"/>
      <c r="S49" s="235"/>
    </row>
    <row r="50" spans="1:19" ht="17.25" customHeight="1" thickBot="1">
      <c r="A50" s="162" t="s">
        <v>154</v>
      </c>
      <c r="B50" s="126">
        <v>9.8800000000000008</v>
      </c>
      <c r="C50" s="77">
        <v>-8.5185185199999999E-2</v>
      </c>
      <c r="D50" s="15">
        <v>9.99</v>
      </c>
      <c r="E50" s="32">
        <f t="shared" ref="E50:E53" si="18">IF(ISNUMBER(D50), (D50 - $B50) / $B50, "")</f>
        <v>1.1133603238866339E-2</v>
      </c>
      <c r="F50" s="18">
        <f>IF(ISNUMBER(D50), $B64 * E50, "")</f>
        <v>1113.360323886634</v>
      </c>
      <c r="G50" s="31">
        <v>9.99</v>
      </c>
      <c r="H50" s="32">
        <f t="shared" ref="H50:H53" si="19">IF(ISNUMBER(G50), (G50 - $B50) / $B50, "")</f>
        <v>1.1133603238866339E-2</v>
      </c>
      <c r="I50" s="101">
        <f>IF(ISNUMBER(G50), $B64 * H50, "")</f>
        <v>1113.360323886634</v>
      </c>
      <c r="J50" s="15">
        <v>10.1</v>
      </c>
      <c r="K50" s="32">
        <f t="shared" ref="K50:K53" si="20">IF(ISNUMBER(J50), (J50 - $B50) / $B50, "")</f>
        <v>2.2267206477732678E-2</v>
      </c>
      <c r="L50" s="18">
        <f>IF(ISNUMBER(J50), $B64 * K50, "")</f>
        <v>2226.720647773268</v>
      </c>
      <c r="M50" s="31">
        <v>10</v>
      </c>
      <c r="N50" s="32">
        <f t="shared" ref="N50:N53" si="21">IF(ISNUMBER(M50), (M50 - $B50) / $B50, "")</f>
        <v>1.2145748987854171E-2</v>
      </c>
      <c r="O50" s="18">
        <f>IF(ISNUMBER(M50), $B64 * N50, "")</f>
        <v>1214.5748987854172</v>
      </c>
      <c r="Q50" s="235"/>
      <c r="R50" s="235"/>
      <c r="S50" s="235"/>
    </row>
    <row r="51" spans="1:19" ht="17.25" customHeight="1" thickBot="1">
      <c r="A51" s="162" t="s">
        <v>222</v>
      </c>
      <c r="B51" s="126">
        <v>10.1</v>
      </c>
      <c r="C51" s="77">
        <v>-9.0090090100000006E-2</v>
      </c>
      <c r="D51" s="15">
        <v>10.1</v>
      </c>
      <c r="E51" s="32">
        <f t="shared" si="18"/>
        <v>0</v>
      </c>
      <c r="F51" s="18">
        <f>IF(ISNUMBER(D51), $B64 * E51, "")</f>
        <v>0</v>
      </c>
      <c r="G51" s="31">
        <v>10.199999999999999</v>
      </c>
      <c r="H51" s="32">
        <f t="shared" si="19"/>
        <v>9.9009900990098664E-3</v>
      </c>
      <c r="I51" s="101">
        <f>IF(ISNUMBER(G51), $B64 * H51, "")</f>
        <v>990.09900990098663</v>
      </c>
      <c r="J51" s="15">
        <v>10.4</v>
      </c>
      <c r="K51" s="32">
        <f t="shared" si="20"/>
        <v>2.9702970297029774E-2</v>
      </c>
      <c r="L51" s="18">
        <f>IF(ISNUMBER(J51), $B64 * K51, "")</f>
        <v>2970.2970297029774</v>
      </c>
      <c r="M51" s="31">
        <v>10.3</v>
      </c>
      <c r="N51" s="32">
        <f t="shared" si="21"/>
        <v>1.980198019801991E-2</v>
      </c>
      <c r="O51" s="18">
        <f>IF(ISNUMBER(M51), $B64 * N51, "")</f>
        <v>1980.198019801991</v>
      </c>
      <c r="Q51" s="235"/>
      <c r="R51" s="235"/>
      <c r="S51" s="235"/>
    </row>
    <row r="52" spans="1:19" ht="17.25" customHeight="1" thickBot="1">
      <c r="A52" s="162" t="s">
        <v>65</v>
      </c>
      <c r="B52" s="126">
        <v>31.2</v>
      </c>
      <c r="C52" s="77">
        <v>-0.10086455330000001</v>
      </c>
      <c r="D52" s="15">
        <v>32.200000000000003</v>
      </c>
      <c r="E52" s="32">
        <f t="shared" si="18"/>
        <v>3.2051282051282166E-2</v>
      </c>
      <c r="F52" s="18">
        <f>IF(ISNUMBER(D52), $B64 * E52, "")</f>
        <v>3205.1282051282165</v>
      </c>
      <c r="G52" s="31">
        <v>32.700000000000003</v>
      </c>
      <c r="H52" s="32">
        <f t="shared" si="19"/>
        <v>4.8076923076923191E-2</v>
      </c>
      <c r="I52" s="101">
        <f>IF(ISNUMBER(G52), $B64 * H52, "")</f>
        <v>4807.6923076923194</v>
      </c>
      <c r="J52" s="15">
        <v>33.4</v>
      </c>
      <c r="K52" s="32">
        <f t="shared" si="20"/>
        <v>7.0512820512820498E-2</v>
      </c>
      <c r="L52" s="18">
        <f>IF(ISNUMBER(J52), $B64 * K52, "")</f>
        <v>7051.2820512820499</v>
      </c>
      <c r="M52" s="31">
        <v>32.299999999999997</v>
      </c>
      <c r="N52" s="32">
        <f t="shared" si="21"/>
        <v>3.5256410256410187E-2</v>
      </c>
      <c r="O52" s="18">
        <f>IF(ISNUMBER(M52), $B64 * N52, "")</f>
        <v>3525.6410256410186</v>
      </c>
      <c r="Q52" s="33"/>
      <c r="R52" s="33"/>
    </row>
    <row r="53" spans="1:19" ht="17.25" customHeight="1" thickBot="1">
      <c r="A53" s="130" t="s">
        <v>152</v>
      </c>
      <c r="B53" s="131">
        <v>17.2</v>
      </c>
      <c r="C53" s="79">
        <v>-0.10416666669999999</v>
      </c>
      <c r="D53" s="24">
        <v>18.2</v>
      </c>
      <c r="E53" s="25">
        <f t="shared" si="18"/>
        <v>5.8139534883720929E-2</v>
      </c>
      <c r="F53" s="104">
        <f>IF(ISNUMBER(D53), $B64 * E53, "")</f>
        <v>5813.9534883720926</v>
      </c>
      <c r="G53" s="102">
        <v>18.3</v>
      </c>
      <c r="H53" s="25">
        <f t="shared" si="19"/>
        <v>6.3953488372093109E-2</v>
      </c>
      <c r="I53" s="103">
        <f>IF(ISNUMBER(G53), $B64 * H53, "")</f>
        <v>6395.3488372093107</v>
      </c>
      <c r="J53" s="24">
        <v>18.899999999999999</v>
      </c>
      <c r="K53" s="25">
        <f t="shared" si="20"/>
        <v>9.8837209302325549E-2</v>
      </c>
      <c r="L53" s="104">
        <f>IF(ISNUMBER(J53), $B64 * K53, "")</f>
        <v>9883.7209302325555</v>
      </c>
      <c r="M53" s="102">
        <v>18.399999999999999</v>
      </c>
      <c r="N53" s="25">
        <f t="shared" si="21"/>
        <v>6.9767441860465074E-2</v>
      </c>
      <c r="O53" s="104">
        <f>IF(ISNUMBER(M53), $B64 * N53, "")</f>
        <v>6976.7441860465078</v>
      </c>
      <c r="Q53" s="236"/>
      <c r="R53" s="237"/>
      <c r="S53" s="238"/>
    </row>
    <row r="54" spans="1:19" ht="17.25" customHeight="1">
      <c r="A54" s="161" t="s">
        <v>168</v>
      </c>
      <c r="B54" s="124">
        <v>88.2</v>
      </c>
      <c r="C54" s="76">
        <v>-0.1108870968</v>
      </c>
      <c r="D54" s="13">
        <v>89.5</v>
      </c>
      <c r="E54" s="14">
        <f>IF(ISNUMBER(D54), (D54 - $B54) / $B54, "")</f>
        <v>1.4739229024943278E-2</v>
      </c>
      <c r="F54" s="16">
        <f>IF(ISNUMBER(D54), $B64 * E54, "")</f>
        <v>1473.9229024943279</v>
      </c>
      <c r="G54" s="29">
        <v>90.2</v>
      </c>
      <c r="H54" s="14">
        <f>IF(ISNUMBER(G54), (G54 - $B54) / $B54, "")</f>
        <v>2.2675736961451247E-2</v>
      </c>
      <c r="I54" s="100">
        <f>IF(ISNUMBER(G54), $B64 * H54, "")</f>
        <v>2267.5736961451248</v>
      </c>
      <c r="J54" s="13">
        <v>93.5</v>
      </c>
      <c r="K54" s="14">
        <f>IF(ISNUMBER(J54), (J54 - $B54) / $B54, "")</f>
        <v>6.009070294784577E-2</v>
      </c>
      <c r="L54" s="16">
        <f>IF(ISNUMBER(J54), $B64 * K54, "")</f>
        <v>6009.0702947845766</v>
      </c>
      <c r="M54" s="29">
        <v>91.8</v>
      </c>
      <c r="N54" s="14">
        <f>IF(ISNUMBER(M54), (M54 - $B54) / $B54, "")</f>
        <v>4.0816326530612179E-2</v>
      </c>
      <c r="O54" s="16">
        <f>IF(ISNUMBER(M54), $B64 * N54, "")</f>
        <v>4081.6326530612178</v>
      </c>
      <c r="Q54" s="239"/>
      <c r="R54" s="240"/>
      <c r="S54" s="241"/>
    </row>
    <row r="55" spans="1:19" ht="17.25" customHeight="1" thickBot="1">
      <c r="A55" s="162" t="s">
        <v>218</v>
      </c>
      <c r="B55" s="126">
        <v>14.2</v>
      </c>
      <c r="C55" s="77">
        <v>-0.1125</v>
      </c>
      <c r="D55" s="15">
        <v>14.2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14.3</v>
      </c>
      <c r="H55" s="32">
        <f t="shared" ref="H55:H58" si="23">IF(ISNUMBER(G55), (G55 - $B55) / $B55, "")</f>
        <v>7.0422535211268613E-3</v>
      </c>
      <c r="I55" s="101">
        <f>IF(ISNUMBER(G55), $B64 * H55, "")</f>
        <v>704.2253521126861</v>
      </c>
      <c r="J55" s="15">
        <v>14.6</v>
      </c>
      <c r="K55" s="32">
        <f t="shared" ref="K55:K58" si="24">IF(ISNUMBER(J55), (J55 - $B55) / $B55, "")</f>
        <v>2.8169014084507067E-2</v>
      </c>
      <c r="L55" s="18">
        <f>IF(ISNUMBER(J55), $B64 * K55, "")</f>
        <v>2816.9014084507066</v>
      </c>
      <c r="M55" s="31">
        <v>14.4</v>
      </c>
      <c r="N55" s="32">
        <f t="shared" ref="N55:N58" si="25">IF(ISNUMBER(M55), (M55 - $B55) / $B55, "")</f>
        <v>1.4084507042253596E-2</v>
      </c>
      <c r="O55" s="18">
        <f>IF(ISNUMBER(M55), $B64 * N55, "")</f>
        <v>1408.4507042253597</v>
      </c>
      <c r="Q55" s="242"/>
      <c r="R55" s="243"/>
      <c r="S55" s="244"/>
    </row>
    <row r="56" spans="1:19" ht="17.25" customHeight="1" thickBot="1">
      <c r="A56" s="162" t="s">
        <v>134</v>
      </c>
      <c r="B56" s="126">
        <v>82.2</v>
      </c>
      <c r="C56" s="77">
        <v>-0.1132686084</v>
      </c>
      <c r="D56" s="15">
        <v>81.2</v>
      </c>
      <c r="E56" s="32">
        <f t="shared" si="22"/>
        <v>-1.21654501216545E-2</v>
      </c>
      <c r="F56" s="18">
        <f>IF(ISNUMBER(D56), $B64 * E56, "")</f>
        <v>-1216.5450121654501</v>
      </c>
      <c r="G56" s="31">
        <v>82.4</v>
      </c>
      <c r="H56" s="32">
        <f t="shared" si="23"/>
        <v>2.4330900243309346E-3</v>
      </c>
      <c r="I56" s="101">
        <f>IF(ISNUMBER(G56), $B64 * H56, "")</f>
        <v>243.30900243309347</v>
      </c>
      <c r="J56" s="15">
        <v>85.1</v>
      </c>
      <c r="K56" s="32">
        <f t="shared" si="24"/>
        <v>3.5279805352797948E-2</v>
      </c>
      <c r="L56" s="18">
        <f>IF(ISNUMBER(J56), $B64 * K56, "")</f>
        <v>3527.9805352797948</v>
      </c>
      <c r="M56" s="31">
        <v>84.4</v>
      </c>
      <c r="N56" s="32">
        <f t="shared" si="25"/>
        <v>2.6763990267639936E-2</v>
      </c>
      <c r="O56" s="18">
        <f>IF(ISNUMBER(M56), $B64 * N56, "")</f>
        <v>2676.3990267639938</v>
      </c>
      <c r="Q56" s="235"/>
      <c r="R56" s="235"/>
      <c r="S56" s="235"/>
    </row>
    <row r="57" spans="1:19" ht="17.25" customHeight="1" thickBot="1">
      <c r="A57" s="162" t="s">
        <v>126</v>
      </c>
      <c r="B57" s="126">
        <v>24.1</v>
      </c>
      <c r="C57" s="77">
        <v>-0.1172161172</v>
      </c>
      <c r="D57" s="15">
        <v>24.5</v>
      </c>
      <c r="E57" s="32">
        <f t="shared" si="22"/>
        <v>1.6597510373443924E-2</v>
      </c>
      <c r="F57" s="18">
        <f>IF(ISNUMBER(D57), $B64 * E57, "")</f>
        <v>1659.7510373443924</v>
      </c>
      <c r="G57" s="31">
        <v>24.7</v>
      </c>
      <c r="H57" s="32">
        <f t="shared" si="23"/>
        <v>2.4896265560165887E-2</v>
      </c>
      <c r="I57" s="101">
        <f>IF(ISNUMBER(G57), $B64 * H57, "")</f>
        <v>2489.6265560165884</v>
      </c>
      <c r="J57" s="15">
        <v>25.6</v>
      </c>
      <c r="K57" s="32">
        <f t="shared" si="24"/>
        <v>6.2240663900414932E-2</v>
      </c>
      <c r="L57" s="18">
        <f>IF(ISNUMBER(J57), $B64 * K57, "")</f>
        <v>6224.0663900414929</v>
      </c>
      <c r="M57" s="31">
        <v>25.1</v>
      </c>
      <c r="N57" s="32">
        <f t="shared" si="25"/>
        <v>4.1493775933609957E-2</v>
      </c>
      <c r="O57" s="18">
        <f>IF(ISNUMBER(M57), $B64 * N57, "")</f>
        <v>4149.3775933609959</v>
      </c>
      <c r="Q57" s="245"/>
      <c r="R57" s="245"/>
      <c r="S57" s="245"/>
    </row>
    <row r="58" spans="1:19" ht="17.25" customHeight="1" thickBot="1">
      <c r="A58" s="163" t="s">
        <v>264</v>
      </c>
      <c r="B58" s="128">
        <v>71.8</v>
      </c>
      <c r="C58" s="78">
        <v>-0.12009803920000001</v>
      </c>
      <c r="D58" s="20">
        <v>73.099999999999994</v>
      </c>
      <c r="E58" s="21">
        <f t="shared" si="22"/>
        <v>1.8105849582172664E-2</v>
      </c>
      <c r="F58" s="22">
        <f>IF(ISNUMBER(D58), $B64 * E58, "")</f>
        <v>1810.5849582172664</v>
      </c>
      <c r="G58" s="30">
        <v>74.8</v>
      </c>
      <c r="H58" s="21">
        <f t="shared" si="23"/>
        <v>4.1782729805013928E-2</v>
      </c>
      <c r="I58" s="105">
        <f>IF(ISNUMBER(G58), $B64 * H58, "")</f>
        <v>4178.2729805013932</v>
      </c>
      <c r="J58" s="20">
        <v>77.5</v>
      </c>
      <c r="K58" s="21">
        <f t="shared" si="24"/>
        <v>7.9387186629526499E-2</v>
      </c>
      <c r="L58" s="22">
        <f>IF(ISNUMBER(J58), $B64 * K58, "")</f>
        <v>7938.7186629526495</v>
      </c>
      <c r="M58" s="30">
        <v>76.2</v>
      </c>
      <c r="N58" s="21">
        <f t="shared" si="25"/>
        <v>6.1281337047353841E-2</v>
      </c>
      <c r="O58" s="22">
        <f>IF(ISNUMBER(M58), $B64 * N58, "")</f>
        <v>6128.1337047353845</v>
      </c>
      <c r="Q58" s="245"/>
      <c r="R58" s="245"/>
      <c r="S58" s="245"/>
    </row>
    <row r="59" spans="1:19" ht="17.25" customHeight="1" thickBot="1">
      <c r="A59" s="162" t="s">
        <v>254</v>
      </c>
      <c r="B59" s="129">
        <v>42.2</v>
      </c>
      <c r="C59" s="80">
        <v>-0.1226611227</v>
      </c>
      <c r="D59" s="106">
        <v>42.8</v>
      </c>
      <c r="E59" s="107">
        <f>IF(ISNUMBER(D59), (D59 - $B59) / $B59, "")</f>
        <v>1.421800947867285E-2</v>
      </c>
      <c r="F59" s="108">
        <f>IF(ISNUMBER(D59), $B64 * E59, "")</f>
        <v>1421.800947867285</v>
      </c>
      <c r="G59" s="109">
        <v>43.4</v>
      </c>
      <c r="H59" s="107">
        <f>IF(ISNUMBER(G59), (G59 - $B59) / $B59, "")</f>
        <v>2.843601895734587E-2</v>
      </c>
      <c r="I59" s="110">
        <f>IF(ISNUMBER(G59), $B64 * H59, "")</f>
        <v>2843.6018957345868</v>
      </c>
      <c r="J59" s="106">
        <v>44.2</v>
      </c>
      <c r="K59" s="107">
        <f>IF(ISNUMBER(J59), (J59 - $B59) / $B59, "")</f>
        <v>4.7393364928909949E-2</v>
      </c>
      <c r="L59" s="108">
        <f>IF(ISNUMBER(J59), $B64 * K59, "")</f>
        <v>4739.336492890995</v>
      </c>
      <c r="M59" s="109">
        <v>44</v>
      </c>
      <c r="N59" s="107">
        <f>IF(ISNUMBER(M59), (M59 - $B59) / $B59, "")</f>
        <v>4.2654028436018884E-2</v>
      </c>
      <c r="O59" s="108">
        <f>IF(ISNUMBER(M59), $B64 * N59, "")</f>
        <v>4265.402843601888</v>
      </c>
      <c r="Q59" s="235"/>
      <c r="R59" s="235"/>
      <c r="S59" s="235"/>
    </row>
    <row r="60" spans="1:19" ht="17.25" customHeight="1" thickBot="1">
      <c r="A60" s="162" t="s">
        <v>266</v>
      </c>
      <c r="B60" s="126">
        <v>48.3</v>
      </c>
      <c r="C60" s="77">
        <v>-0.12658227850000001</v>
      </c>
      <c r="D60" s="15">
        <v>49.3</v>
      </c>
      <c r="E60" s="32">
        <f t="shared" ref="E60:E63" si="26">IF(ISNUMBER(D60), (D60 - $B60) / $B60, "")</f>
        <v>2.0703933747412008E-2</v>
      </c>
      <c r="F60" s="18">
        <f>IF(ISNUMBER(D60), $B64 * E60, "")</f>
        <v>2070.3933747412007</v>
      </c>
      <c r="G60" s="31">
        <v>50.3</v>
      </c>
      <c r="H60" s="32">
        <f t="shared" ref="H60:H63" si="27">IF(ISNUMBER(G60), (G60 - $B60) / $B60, "")</f>
        <v>4.1407867494824016E-2</v>
      </c>
      <c r="I60" s="101">
        <f>IF(ISNUMBER(G60), $B64 * H60, "")</f>
        <v>4140.7867494824013</v>
      </c>
      <c r="J60" s="15">
        <v>51.1</v>
      </c>
      <c r="K60" s="32">
        <f t="shared" ref="K60:K63" si="28">IF(ISNUMBER(J60), (J60 - $B60) / $B60, "")</f>
        <v>5.7971014492753714E-2</v>
      </c>
      <c r="L60" s="18">
        <f>IF(ISNUMBER(J60), $B64 * K60, "")</f>
        <v>5797.1014492753711</v>
      </c>
      <c r="M60" s="31">
        <v>51</v>
      </c>
      <c r="N60" s="32">
        <f t="shared" ref="N60:N63" si="29">IF(ISNUMBER(M60), (M60 - $B60) / $B60, "")</f>
        <v>5.5900621118012486E-2</v>
      </c>
      <c r="O60" s="18">
        <f>IF(ISNUMBER(M60), $B64 * N60, "")</f>
        <v>5590.0621118012486</v>
      </c>
      <c r="Q60" s="235"/>
      <c r="R60" s="235"/>
      <c r="S60" s="235"/>
    </row>
    <row r="61" spans="1:19" ht="17.25" customHeight="1" thickBot="1">
      <c r="A61" s="162" t="s">
        <v>260</v>
      </c>
      <c r="B61" s="126">
        <v>59.7</v>
      </c>
      <c r="C61" s="77">
        <v>-0.13352685049999999</v>
      </c>
      <c r="D61" s="15">
        <v>59.9</v>
      </c>
      <c r="E61" s="32">
        <f t="shared" si="26"/>
        <v>3.3500837520937308E-3</v>
      </c>
      <c r="F61" s="18">
        <f>IF(ISNUMBER(D61), $B64 * E61, "")</f>
        <v>335.00837520937307</v>
      </c>
      <c r="G61" s="31">
        <v>60.5</v>
      </c>
      <c r="H61" s="32">
        <f t="shared" si="27"/>
        <v>1.3400335008375161E-2</v>
      </c>
      <c r="I61" s="101">
        <f>IF(ISNUMBER(G61), $B64 * H61, "")</f>
        <v>1340.0335008375162</v>
      </c>
      <c r="J61" s="15">
        <v>61.7</v>
      </c>
      <c r="K61" s="32">
        <f t="shared" si="28"/>
        <v>3.350083752093802E-2</v>
      </c>
      <c r="L61" s="18">
        <f>IF(ISNUMBER(J61), $B64 * K61, "")</f>
        <v>3350.0837520938021</v>
      </c>
      <c r="M61" s="31">
        <v>60.8</v>
      </c>
      <c r="N61" s="32">
        <f t="shared" si="29"/>
        <v>1.8425460636515817E-2</v>
      </c>
      <c r="O61" s="18">
        <f>IF(ISNUMBER(M61), $B64 * N61, "")</f>
        <v>1842.5460636515818</v>
      </c>
      <c r="Q61" s="235"/>
      <c r="R61" s="235"/>
      <c r="S61" s="235"/>
    </row>
    <row r="62" spans="1:19" ht="17.25" customHeight="1">
      <c r="A62" s="162" t="s">
        <v>268</v>
      </c>
      <c r="B62" s="126">
        <v>43.3</v>
      </c>
      <c r="C62" s="77">
        <v>-0.13400000000000001</v>
      </c>
      <c r="D62" s="15">
        <v>43.8</v>
      </c>
      <c r="E62" s="32">
        <f t="shared" si="26"/>
        <v>1.1547344110854504E-2</v>
      </c>
      <c r="F62" s="18">
        <f>IF(ISNUMBER(D62), $B64 * E62, "")</f>
        <v>1154.7344110854503</v>
      </c>
      <c r="G62" s="31">
        <v>44.4</v>
      </c>
      <c r="H62" s="32">
        <f t="shared" si="27"/>
        <v>2.5404157043879941E-2</v>
      </c>
      <c r="I62" s="101">
        <f>IF(ISNUMBER(G62), $B64 * H62, "")</f>
        <v>2540.4157043879941</v>
      </c>
      <c r="J62" s="15">
        <v>45.1</v>
      </c>
      <c r="K62" s="32">
        <f t="shared" si="28"/>
        <v>4.1570438799076313E-2</v>
      </c>
      <c r="L62" s="18">
        <f>IF(ISNUMBER(J62), $B64 * K62, "")</f>
        <v>4157.043879907631</v>
      </c>
      <c r="M62" s="31">
        <v>44.7</v>
      </c>
      <c r="N62" s="32">
        <f t="shared" si="29"/>
        <v>3.2332563510392744E-2</v>
      </c>
      <c r="O62" s="18">
        <f>IF(ISNUMBER(M62), $B64 * N62, "")</f>
        <v>3233.2563510392743</v>
      </c>
      <c r="Q62" s="224"/>
      <c r="R62" s="225"/>
      <c r="S62" s="226"/>
    </row>
    <row r="63" spans="1:19" ht="17.25" customHeight="1" thickBot="1">
      <c r="A63" s="130" t="s">
        <v>214</v>
      </c>
      <c r="B63" s="131">
        <v>11.4</v>
      </c>
      <c r="C63" s="79">
        <v>-0.13636363639999999</v>
      </c>
      <c r="D63" s="24">
        <v>11.6</v>
      </c>
      <c r="E63" s="25">
        <f t="shared" si="26"/>
        <v>1.7543859649122744E-2</v>
      </c>
      <c r="F63" s="104">
        <f>IF(ISNUMBER(D63), $B64 * E63, "")</f>
        <v>1754.3859649122744</v>
      </c>
      <c r="G63" s="102">
        <v>11.8</v>
      </c>
      <c r="H63" s="25">
        <f t="shared" si="27"/>
        <v>3.5087719298245647E-2</v>
      </c>
      <c r="I63" s="103">
        <f>IF(ISNUMBER(G63), $B64 * H63, "")</f>
        <v>3508.7719298245647</v>
      </c>
      <c r="J63" s="24">
        <v>12.1</v>
      </c>
      <c r="K63" s="25">
        <f t="shared" si="28"/>
        <v>6.1403508771929759E-2</v>
      </c>
      <c r="L63" s="104">
        <f>IF(ISNUMBER(J63), $B64 * K63, "")</f>
        <v>6140.3508771929755</v>
      </c>
      <c r="M63" s="102">
        <v>12</v>
      </c>
      <c r="N63" s="25">
        <f t="shared" si="29"/>
        <v>5.263157894736839E-2</v>
      </c>
      <c r="O63" s="104">
        <f>IF(ISNUMBER(M63), $B64 * N63, "")</f>
        <v>5263.1578947368389</v>
      </c>
      <c r="Q63" s="227"/>
      <c r="R63" s="228"/>
      <c r="S63" s="229"/>
    </row>
    <row r="64" spans="1:19" ht="17.25" customHeight="1" thickBot="1">
      <c r="A64" s="132" t="s">
        <v>300</v>
      </c>
      <c r="B64" s="288">
        <f>$B$37</f>
        <v>100000</v>
      </c>
      <c r="C64" s="289"/>
      <c r="D64" s="26" t="s">
        <v>301</v>
      </c>
      <c r="E64" s="27">
        <f>IF(COUNT(E44:E63), SUM(E44:E63) / COUNT(E44:E63), 0)</f>
        <v>1.2977181490768135E-2</v>
      </c>
      <c r="F64" s="28">
        <f>SUM(F44:F63)</f>
        <v>25954.362981536276</v>
      </c>
      <c r="G64" s="26" t="s">
        <v>301</v>
      </c>
      <c r="H64" s="27">
        <f>IF(COUNT(H44:H63), SUM(H44:H63) / COUNT(H44:H63), 0)</f>
        <v>2.3758472541895399E-2</v>
      </c>
      <c r="I64" s="28">
        <f>SUM(I44:I63)</f>
        <v>47516.945083790808</v>
      </c>
      <c r="J64" s="26" t="s">
        <v>301</v>
      </c>
      <c r="K64" s="27">
        <f>IF(COUNT(K44:K63), SUM(K44:K63) / COUNT(K44:K63), 0)</f>
        <v>4.729880071882727E-2</v>
      </c>
      <c r="L64" s="28">
        <f>SUM(L44:L63)</f>
        <v>94597.601437654565</v>
      </c>
      <c r="M64" s="26" t="s">
        <v>301</v>
      </c>
      <c r="N64" s="27">
        <f>IF(COUNT(N44:N63), SUM(N44:N63) / COUNT(N44:N63), 0)</f>
        <v>3.2808747559126723E-2</v>
      </c>
      <c r="O64" s="28">
        <f>SUM(O44:O63)</f>
        <v>65617.495118253428</v>
      </c>
      <c r="Q64" s="230"/>
      <c r="R64" s="231"/>
      <c r="S64" s="232"/>
    </row>
    <row r="65" spans="1:19" ht="17.25" customHeight="1"/>
    <row r="66" spans="1:19" ht="17.25" customHeight="1" thickBot="1"/>
    <row r="67" spans="1:19" ht="17.25" thickBot="1">
      <c r="A67" s="246" t="s">
        <v>45</v>
      </c>
      <c r="B67" s="247"/>
      <c r="C67" s="247"/>
      <c r="D67" s="247"/>
      <c r="E67" s="247"/>
      <c r="F67" s="247"/>
      <c r="G67" s="247"/>
      <c r="H67" s="247"/>
      <c r="I67" s="247"/>
      <c r="J67" s="247"/>
      <c r="K67" s="247"/>
      <c r="L67" s="247"/>
      <c r="M67" s="247"/>
      <c r="N67" s="247"/>
      <c r="O67" s="248"/>
      <c r="Q67" s="245"/>
      <c r="R67" s="245"/>
      <c r="S67" s="245"/>
    </row>
    <row r="68" spans="1:19" ht="17.25" thickBot="1">
      <c r="A68" s="192" t="s">
        <v>297</v>
      </c>
      <c r="B68" s="246" t="s">
        <v>49</v>
      </c>
      <c r="C68" s="248"/>
      <c r="D68" s="246" t="s">
        <v>58</v>
      </c>
      <c r="E68" s="247"/>
      <c r="F68" s="248"/>
      <c r="G68" s="249">
        <f>_xlfn.IFNA(VLOOKUP(B68, 현재가테이블!$B$2:$D$200, 2, FALSE), "-")</f>
        <v>45335000</v>
      </c>
      <c r="H68" s="250"/>
      <c r="I68" s="251"/>
      <c r="J68" s="246" t="s">
        <v>59</v>
      </c>
      <c r="K68" s="247"/>
      <c r="L68" s="248"/>
      <c r="M68" s="252">
        <f>_xlfn.IFNA(VLOOKUP(B68, 현재가테이블!$B$2:$D$200, 3, FALSE), "-")</f>
        <v>-2.27209037E-2</v>
      </c>
      <c r="N68" s="253"/>
      <c r="O68" s="254"/>
      <c r="Q68" s="245"/>
      <c r="R68" s="245"/>
      <c r="S68" s="245"/>
    </row>
    <row r="69" spans="1:19" ht="17.25" thickBot="1">
      <c r="A69" s="290" t="s">
        <v>55</v>
      </c>
      <c r="B69" s="286" t="str">
        <f>TEXT($G$1, "[$-ko-KR]yyyy-mm-dd(ddd) ") &amp; "오전 00:00"</f>
        <v>2021-06-09(수) 오전 00:00</v>
      </c>
      <c r="C69" s="287"/>
      <c r="D69" s="259" t="str">
        <f>TEXT($G$1, "[$-ko-KR]yyyy-mm-dd(ddd) ") &amp; "오후 14:00"</f>
        <v>2021-06-09(수) 오후 14:00</v>
      </c>
      <c r="E69" s="260"/>
      <c r="F69" s="261"/>
      <c r="G69" s="259" t="str">
        <f>TEXT($G$1, "[$-ko-KR]yyyy-mm-dd(ddd) ") &amp; "오후 19:00"</f>
        <v>2021-06-09(수) 오후 19:00</v>
      </c>
      <c r="H69" s="260"/>
      <c r="I69" s="261"/>
      <c r="J69" s="259" t="str">
        <f>TEXT($G$1, "[$-ko-KR]yyyy-mm-dd(ddd) ") &amp; "오후 21:00"</f>
        <v>2021-06-09(수) 오후 21:00</v>
      </c>
      <c r="K69" s="260"/>
      <c r="L69" s="261"/>
      <c r="M69" s="259" t="str">
        <f>TEXT($G$1+1, "[$-ko-KR]yyyy-mm-dd(ddd) ") &amp; "오전 00:00"</f>
        <v>2021-06-10(목) 오전 00:00</v>
      </c>
      <c r="N69" s="260"/>
      <c r="O69" s="261"/>
      <c r="Q69" s="245"/>
      <c r="R69" s="245"/>
      <c r="S69" s="245"/>
    </row>
    <row r="70" spans="1:19" ht="17.25" thickBot="1">
      <c r="A70" s="291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93" t="s">
        <v>58</v>
      </c>
      <c r="H70" s="194" t="s">
        <v>298</v>
      </c>
      <c r="I70" s="195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5"/>
      <c r="R70" s="235"/>
      <c r="S70" s="235"/>
    </row>
    <row r="71" spans="1:19" ht="17.25" thickBot="1">
      <c r="A71" s="161" t="s">
        <v>142</v>
      </c>
      <c r="B71" s="124">
        <v>616</v>
      </c>
      <c r="C71" s="76">
        <v>0.16226415089999999</v>
      </c>
      <c r="D71" s="13">
        <v>715</v>
      </c>
      <c r="E71" s="14">
        <f>IF(ISNUMBER(D71), (D71 - $B71) / $B71, "")</f>
        <v>0.16071428571428573</v>
      </c>
      <c r="F71" s="16">
        <f>IF(ISNUMBER(D71), $B91 * E71, "")</f>
        <v>16071.428571428572</v>
      </c>
      <c r="G71" s="29">
        <v>740</v>
      </c>
      <c r="H71" s="14">
        <f>IF(ISNUMBER(G71), (G71 - $B71) / $B71, "")</f>
        <v>0.20129870129870131</v>
      </c>
      <c r="I71" s="100">
        <f>IF(ISNUMBER(G71), $B91 * H71, "")</f>
        <v>20129.870129870131</v>
      </c>
      <c r="J71" s="13">
        <v>708</v>
      </c>
      <c r="K71" s="14">
        <f>IF(ISNUMBER(J71), (J71 - $B71) / $B71, "")</f>
        <v>0.14935064935064934</v>
      </c>
      <c r="L71" s="16">
        <f>IF(ISNUMBER(J71), $B91 * K71, "")</f>
        <v>14935.064935064935</v>
      </c>
      <c r="M71" s="29">
        <v>709</v>
      </c>
      <c r="N71" s="14">
        <f>IF(ISNUMBER(M71), (M71 - $B71) / $B71, "")</f>
        <v>0.15097402597402598</v>
      </c>
      <c r="O71" s="16">
        <f>IF(ISNUMBER(M71), $B91 * N71, "")</f>
        <v>15097.402597402599</v>
      </c>
      <c r="Q71" s="245"/>
      <c r="R71" s="245"/>
      <c r="S71" s="245"/>
    </row>
    <row r="72" spans="1:19" ht="17.25" thickBot="1">
      <c r="A72" s="162" t="s">
        <v>216</v>
      </c>
      <c r="B72" s="126">
        <v>256</v>
      </c>
      <c r="C72" s="77">
        <v>-3.8910505999999998E-3</v>
      </c>
      <c r="D72" s="15">
        <v>242</v>
      </c>
      <c r="E72" s="32">
        <f t="shared" ref="E72:E75" si="30">IF(ISNUMBER(D72), (D72 - $B72) / $B72, "")</f>
        <v>-5.46875E-2</v>
      </c>
      <c r="F72" s="18">
        <f>IF(ISNUMBER(D72), $B91 * E72, "")</f>
        <v>-5468.75</v>
      </c>
      <c r="G72" s="31">
        <v>244</v>
      </c>
      <c r="H72" s="32">
        <f t="shared" ref="H72:H75" si="31">IF(ISNUMBER(G72), (G72 - $B72) / $B72, "")</f>
        <v>-4.6875E-2</v>
      </c>
      <c r="I72" s="101">
        <f>IF(ISNUMBER(G72), $B91 * H72, "")</f>
        <v>-4687.5</v>
      </c>
      <c r="J72" s="15">
        <v>251</v>
      </c>
      <c r="K72" s="32">
        <f t="shared" ref="K72:K75" si="32">IF(ISNUMBER(J72), (J72 - $B72) / $B72, "")</f>
        <v>-1.953125E-2</v>
      </c>
      <c r="L72" s="18">
        <f>IF(ISNUMBER(J72), $B91 * K72, "")</f>
        <v>-1953.125</v>
      </c>
      <c r="M72" s="31">
        <v>248</v>
      </c>
      <c r="N72" s="32">
        <f t="shared" ref="N72:N75" si="33">IF(ISNUMBER(M72), (M72 - $B72) / $B72, "")</f>
        <v>-3.125E-2</v>
      </c>
      <c r="O72" s="18">
        <f>IF(ISNUMBER(M72), $B91 * N72, "")</f>
        <v>-3125</v>
      </c>
      <c r="Q72" s="245"/>
      <c r="R72" s="245"/>
      <c r="S72" s="245"/>
    </row>
    <row r="73" spans="1:19" ht="17.25" thickBot="1">
      <c r="A73" s="162" t="s">
        <v>112</v>
      </c>
      <c r="B73" s="126">
        <v>168</v>
      </c>
      <c r="C73" s="77">
        <v>-4.5454545499999999E-2</v>
      </c>
      <c r="D73" s="15">
        <v>171</v>
      </c>
      <c r="E73" s="32">
        <f t="shared" si="30"/>
        <v>1.7857142857142856E-2</v>
      </c>
      <c r="F73" s="18">
        <f>IF(ISNUMBER(D73), $B91 * E73, "")</f>
        <v>1785.7142857142856</v>
      </c>
      <c r="G73" s="31">
        <v>171</v>
      </c>
      <c r="H73" s="32">
        <f t="shared" si="31"/>
        <v>1.7857142857142856E-2</v>
      </c>
      <c r="I73" s="101">
        <f>IF(ISNUMBER(G73), $B91 * H73, "")</f>
        <v>1785.7142857142856</v>
      </c>
      <c r="J73" s="15">
        <v>172</v>
      </c>
      <c r="K73" s="32">
        <f t="shared" si="32"/>
        <v>2.3809523809523808E-2</v>
      </c>
      <c r="L73" s="18">
        <f>IF(ISNUMBER(J73), $B91 * K73, "")</f>
        <v>2380.9523809523807</v>
      </c>
      <c r="M73" s="31">
        <v>173</v>
      </c>
      <c r="N73" s="32">
        <f t="shared" si="33"/>
        <v>2.976190476190476E-2</v>
      </c>
      <c r="O73" s="18">
        <f>IF(ISNUMBER(M73), $B91 * N73, "")</f>
        <v>2976.1904761904761</v>
      </c>
      <c r="Q73" s="235"/>
      <c r="R73" s="235"/>
      <c r="S73" s="235"/>
    </row>
    <row r="74" spans="1:19" ht="17.25" thickBot="1">
      <c r="A74" s="162" t="s">
        <v>120</v>
      </c>
      <c r="B74" s="126">
        <v>126</v>
      </c>
      <c r="C74" s="77">
        <v>-5.2631578900000003E-2</v>
      </c>
      <c r="D74" s="15">
        <v>128</v>
      </c>
      <c r="E74" s="32">
        <f t="shared" si="30"/>
        <v>1.5873015873015872E-2</v>
      </c>
      <c r="F74" s="18">
        <f>IF(ISNUMBER(D74), $B91 * E74, "")</f>
        <v>1587.3015873015872</v>
      </c>
      <c r="G74" s="31">
        <v>133</v>
      </c>
      <c r="H74" s="32">
        <f t="shared" si="31"/>
        <v>5.5555555555555552E-2</v>
      </c>
      <c r="I74" s="101">
        <f>IF(ISNUMBER(G74), $B91 * H74, "")</f>
        <v>5555.5555555555557</v>
      </c>
      <c r="J74" s="15">
        <v>135</v>
      </c>
      <c r="K74" s="32">
        <f t="shared" si="32"/>
        <v>7.1428571428571425E-2</v>
      </c>
      <c r="L74" s="18">
        <f>IF(ISNUMBER(J74), $B91 * K74, "")</f>
        <v>7142.8571428571422</v>
      </c>
      <c r="M74" s="31">
        <v>134</v>
      </c>
      <c r="N74" s="32">
        <f t="shared" si="33"/>
        <v>6.3492063492063489E-2</v>
      </c>
      <c r="O74" s="18">
        <f>IF(ISNUMBER(M74), $B91 * N74, "")</f>
        <v>6349.2063492063489</v>
      </c>
      <c r="Q74" s="235"/>
      <c r="R74" s="235"/>
      <c r="S74" s="235"/>
    </row>
    <row r="75" spans="1:19" ht="17.25" thickBot="1">
      <c r="A75" s="163" t="s">
        <v>54</v>
      </c>
      <c r="B75" s="128">
        <v>228</v>
      </c>
      <c r="C75" s="78">
        <v>-5.7851239700000001E-2</v>
      </c>
      <c r="D75" s="20">
        <v>238</v>
      </c>
      <c r="E75" s="21">
        <f t="shared" si="30"/>
        <v>4.3859649122807015E-2</v>
      </c>
      <c r="F75" s="22">
        <f>IF(ISNUMBER(D75), $B91 * E75, "")</f>
        <v>4385.9649122807014</v>
      </c>
      <c r="G75" s="30">
        <v>237</v>
      </c>
      <c r="H75" s="21">
        <f t="shared" si="31"/>
        <v>3.9473684210526314E-2</v>
      </c>
      <c r="I75" s="105">
        <f>IF(ISNUMBER(G75), $B91 * H75, "")</f>
        <v>3947.3684210526312</v>
      </c>
      <c r="J75" s="20">
        <v>246</v>
      </c>
      <c r="K75" s="21">
        <f t="shared" si="32"/>
        <v>7.8947368421052627E-2</v>
      </c>
      <c r="L75" s="22">
        <f>IF(ISNUMBER(J75), $B91 * K75, "")</f>
        <v>7894.7368421052624</v>
      </c>
      <c r="M75" s="30">
        <v>237</v>
      </c>
      <c r="N75" s="21">
        <f t="shared" si="33"/>
        <v>3.9473684210526314E-2</v>
      </c>
      <c r="O75" s="22">
        <f>IF(ISNUMBER(M75), $B91 * N75, "")</f>
        <v>3947.3684210526312</v>
      </c>
      <c r="Q75" s="235"/>
      <c r="R75" s="235"/>
      <c r="S75" s="235"/>
    </row>
    <row r="76" spans="1:19" ht="17.25" thickBot="1">
      <c r="A76" s="162" t="s">
        <v>92</v>
      </c>
      <c r="B76" s="129">
        <v>946</v>
      </c>
      <c r="C76" s="80">
        <v>-5.8706467700000001E-2</v>
      </c>
      <c r="D76" s="106">
        <v>976</v>
      </c>
      <c r="E76" s="107">
        <f>IF(ISNUMBER(D76), (D76 - $B76) / $B76, "")</f>
        <v>3.1712473572938688E-2</v>
      </c>
      <c r="F76" s="108">
        <f>IF(ISNUMBER(D76), $B91 * E76, "")</f>
        <v>3171.2473572938688</v>
      </c>
      <c r="G76" s="109">
        <v>988</v>
      </c>
      <c r="H76" s="107">
        <f>IF(ISNUMBER(G76), (G76 - $B76) / $B76, "")</f>
        <v>4.4397463002114168E-2</v>
      </c>
      <c r="I76" s="110">
        <f>IF(ISNUMBER(G76), $B91 * H76, "")</f>
        <v>4439.7463002114164</v>
      </c>
      <c r="J76" s="106">
        <v>1010</v>
      </c>
      <c r="K76" s="107">
        <f>IF(ISNUMBER(J76), (J76 - $B76) / $B76, "")</f>
        <v>6.765327695560254E-2</v>
      </c>
      <c r="L76" s="108">
        <f>IF(ISNUMBER(J76), $B91 * K76, "")</f>
        <v>6765.3276955602541</v>
      </c>
      <c r="M76" s="109">
        <v>986</v>
      </c>
      <c r="N76" s="107">
        <f>IF(ISNUMBER(M76), (M76 - $B76) / $B76, "")</f>
        <v>4.2283298097251586E-2</v>
      </c>
      <c r="O76" s="108">
        <f>IF(ISNUMBER(M76), $B91 * N76, "")</f>
        <v>4228.3298097251582</v>
      </c>
      <c r="Q76" s="235"/>
      <c r="R76" s="235"/>
      <c r="S76" s="235"/>
    </row>
    <row r="77" spans="1:19" ht="17.25" thickBot="1">
      <c r="A77" s="162" t="s">
        <v>51</v>
      </c>
      <c r="B77" s="126">
        <v>374</v>
      </c>
      <c r="C77" s="77">
        <v>-7.1960297800000003E-2</v>
      </c>
      <c r="D77" s="15">
        <v>382</v>
      </c>
      <c r="E77" s="32">
        <f t="shared" ref="E77:E80" si="34">IF(ISNUMBER(D77), (D77 - $B77) / $B77, "")</f>
        <v>2.1390374331550801E-2</v>
      </c>
      <c r="F77" s="18">
        <f>IF(ISNUMBER(D77), $B91 * E77, "")</f>
        <v>2139.0374331550802</v>
      </c>
      <c r="G77" s="31">
        <v>384</v>
      </c>
      <c r="H77" s="32">
        <f t="shared" ref="H77:H80" si="35">IF(ISNUMBER(G77), (G77 - $B77) / $B77, "")</f>
        <v>2.6737967914438502E-2</v>
      </c>
      <c r="I77" s="101">
        <f>IF(ISNUMBER(G77), $B91 * H77, "")</f>
        <v>2673.79679144385</v>
      </c>
      <c r="J77" s="15">
        <v>401</v>
      </c>
      <c r="K77" s="32">
        <f t="shared" ref="K77:K80" si="36">IF(ISNUMBER(J77), (J77 - $B77) / $B77, "")</f>
        <v>7.2192513368983954E-2</v>
      </c>
      <c r="L77" s="18">
        <f>IF(ISNUMBER(J77), $B91 * K77, "")</f>
        <v>7219.2513368983955</v>
      </c>
      <c r="M77" s="31">
        <v>390</v>
      </c>
      <c r="N77" s="32">
        <f t="shared" ref="N77:N80" si="37">IF(ISNUMBER(M77), (M77 - $B77) / $B77, "")</f>
        <v>4.2780748663101602E-2</v>
      </c>
      <c r="O77" s="18">
        <f>IF(ISNUMBER(M77), $B91 * N77, "")</f>
        <v>4278.0748663101604</v>
      </c>
      <c r="Q77" s="235"/>
      <c r="R77" s="235"/>
      <c r="S77" s="235"/>
    </row>
    <row r="78" spans="1:19" ht="17.25" thickBot="1">
      <c r="A78" s="162" t="s">
        <v>148</v>
      </c>
      <c r="B78" s="126">
        <v>102</v>
      </c>
      <c r="C78" s="77">
        <v>-7.2727272699999998E-2</v>
      </c>
      <c r="D78" s="15">
        <v>102</v>
      </c>
      <c r="E78" s="32">
        <f t="shared" si="34"/>
        <v>0</v>
      </c>
      <c r="F78" s="18">
        <f>IF(ISNUMBER(D78), $B91 * E78, "")</f>
        <v>0</v>
      </c>
      <c r="G78" s="31">
        <v>103</v>
      </c>
      <c r="H78" s="32">
        <f t="shared" si="35"/>
        <v>9.8039215686274508E-3</v>
      </c>
      <c r="I78" s="101">
        <f>IF(ISNUMBER(G78), $B91 * H78, "")</f>
        <v>980.39215686274508</v>
      </c>
      <c r="J78" s="15">
        <v>108</v>
      </c>
      <c r="K78" s="32">
        <f t="shared" si="36"/>
        <v>5.8823529411764705E-2</v>
      </c>
      <c r="L78" s="18">
        <f>IF(ISNUMBER(J78), $B91 * K78, "")</f>
        <v>5882.3529411764703</v>
      </c>
      <c r="M78" s="31">
        <v>103</v>
      </c>
      <c r="N78" s="32">
        <f t="shared" si="37"/>
        <v>9.8039215686274508E-3</v>
      </c>
      <c r="O78" s="18">
        <f>IF(ISNUMBER(M78), $B91 * N78, "")</f>
        <v>980.39215686274508</v>
      </c>
      <c r="Q78" s="235"/>
      <c r="R78" s="235"/>
      <c r="S78" s="235"/>
    </row>
    <row r="79" spans="1:19" ht="17.25" thickBot="1">
      <c r="A79" s="162" t="s">
        <v>250</v>
      </c>
      <c r="B79" s="126">
        <v>109</v>
      </c>
      <c r="C79" s="77">
        <v>-7.6271186399999996E-2</v>
      </c>
      <c r="D79" s="15">
        <v>108</v>
      </c>
      <c r="E79" s="32">
        <f t="shared" si="34"/>
        <v>-9.1743119266055051E-3</v>
      </c>
      <c r="F79" s="18">
        <f>IF(ISNUMBER(D79), $B91 * E79, "")</f>
        <v>-917.43119266055055</v>
      </c>
      <c r="G79" s="31">
        <v>110</v>
      </c>
      <c r="H79" s="32">
        <f t="shared" si="35"/>
        <v>9.1743119266055051E-3</v>
      </c>
      <c r="I79" s="101">
        <f>IF(ISNUMBER(G79), $B91 * H79, "")</f>
        <v>917.43119266055055</v>
      </c>
      <c r="J79" s="15">
        <v>112</v>
      </c>
      <c r="K79" s="32">
        <f t="shared" si="36"/>
        <v>2.7522935779816515E-2</v>
      </c>
      <c r="L79" s="18">
        <f>IF(ISNUMBER(J79), $B91 * K79, "")</f>
        <v>2752.2935779816517</v>
      </c>
      <c r="M79" s="31">
        <v>111</v>
      </c>
      <c r="N79" s="32">
        <f t="shared" si="37"/>
        <v>1.834862385321101E-2</v>
      </c>
      <c r="O79" s="18">
        <f>IF(ISNUMBER(M79), $B91 * N79, "")</f>
        <v>1834.8623853211011</v>
      </c>
      <c r="Q79" s="33"/>
      <c r="R79" s="33"/>
    </row>
    <row r="80" spans="1:19" ht="17.25" thickBot="1">
      <c r="A80" s="130" t="s">
        <v>57</v>
      </c>
      <c r="B80" s="131">
        <v>183</v>
      </c>
      <c r="C80" s="79">
        <v>-8.0402010100000004E-2</v>
      </c>
      <c r="D80" s="24">
        <v>187</v>
      </c>
      <c r="E80" s="25">
        <f t="shared" si="34"/>
        <v>2.185792349726776E-2</v>
      </c>
      <c r="F80" s="104">
        <f>IF(ISNUMBER(D80), $B91 * E80, "")</f>
        <v>2185.7923497267761</v>
      </c>
      <c r="G80" s="102">
        <v>190</v>
      </c>
      <c r="H80" s="25">
        <f t="shared" si="35"/>
        <v>3.825136612021858E-2</v>
      </c>
      <c r="I80" s="103">
        <f>IF(ISNUMBER(G80), $B91 * H80, "")</f>
        <v>3825.1366120218581</v>
      </c>
      <c r="J80" s="24">
        <v>193</v>
      </c>
      <c r="K80" s="25">
        <f t="shared" si="36"/>
        <v>5.4644808743169397E-2</v>
      </c>
      <c r="L80" s="104">
        <f>IF(ISNUMBER(J80), $B91 * K80, "")</f>
        <v>5464.4808743169397</v>
      </c>
      <c r="M80" s="102">
        <v>191</v>
      </c>
      <c r="N80" s="25">
        <f t="shared" si="37"/>
        <v>4.3715846994535519E-2</v>
      </c>
      <c r="O80" s="104">
        <f>IF(ISNUMBER(M80), $B91 * N80, "")</f>
        <v>4371.5846994535523</v>
      </c>
      <c r="Q80" s="236"/>
      <c r="R80" s="237"/>
      <c r="S80" s="238"/>
    </row>
    <row r="81" spans="1:19">
      <c r="A81" s="161" t="s">
        <v>296</v>
      </c>
      <c r="B81" s="124">
        <v>355</v>
      </c>
      <c r="C81" s="76">
        <v>-8.2687338499999999E-2</v>
      </c>
      <c r="D81" s="13">
        <v>369</v>
      </c>
      <c r="E81" s="14">
        <f>IF(ISNUMBER(D81), (D81 - $B81) / $B81, "")</f>
        <v>3.9436619718309862E-2</v>
      </c>
      <c r="F81" s="16">
        <f>IF(ISNUMBER(D81), $B91 * E81, "")</f>
        <v>3943.6619718309862</v>
      </c>
      <c r="G81" s="29">
        <v>371</v>
      </c>
      <c r="H81" s="14">
        <f>IF(ISNUMBER(G81), (G81 - $B81) / $B81, "")</f>
        <v>4.507042253521127E-2</v>
      </c>
      <c r="I81" s="100">
        <f>IF(ISNUMBER(G81), $B91 * H81, "")</f>
        <v>4507.0422535211273</v>
      </c>
      <c r="J81" s="13">
        <v>385</v>
      </c>
      <c r="K81" s="14">
        <f>IF(ISNUMBER(J81), (J81 - $B81) / $B81, "")</f>
        <v>8.4507042253521125E-2</v>
      </c>
      <c r="L81" s="16">
        <f>IF(ISNUMBER(J81), $B91 * K81, "")</f>
        <v>8450.7042253521122</v>
      </c>
      <c r="M81" s="29">
        <v>373</v>
      </c>
      <c r="N81" s="14">
        <f>IF(ISNUMBER(M81), (M81 - $B81) / $B81, "")</f>
        <v>5.0704225352112678E-2</v>
      </c>
      <c r="O81" s="16">
        <f>IF(ISNUMBER(M81), $B91 * N81, "")</f>
        <v>5070.422535211268</v>
      </c>
      <c r="Q81" s="239"/>
      <c r="R81" s="240"/>
      <c r="S81" s="241"/>
    </row>
    <row r="82" spans="1:19" ht="17.25" thickBot="1">
      <c r="A82" s="162" t="s">
        <v>136</v>
      </c>
      <c r="B82" s="126">
        <v>118</v>
      </c>
      <c r="C82" s="77">
        <v>-8.5271317799999996E-2</v>
      </c>
      <c r="D82" s="15">
        <v>124</v>
      </c>
      <c r="E82" s="32">
        <f t="shared" ref="E82:E85" si="38">IF(ISNUMBER(D82), (D82 - $B82) / $B82, "")</f>
        <v>5.0847457627118647E-2</v>
      </c>
      <c r="F82" s="18">
        <f>IF(ISNUMBER(D82), $B91 * E82, "")</f>
        <v>5084.7457627118647</v>
      </c>
      <c r="G82" s="31">
        <v>127</v>
      </c>
      <c r="H82" s="32">
        <f t="shared" ref="H82:H85" si="39">IF(ISNUMBER(G82), (G82 - $B82) / $B82, "")</f>
        <v>7.6271186440677971E-2</v>
      </c>
      <c r="I82" s="101">
        <f>IF(ISNUMBER(G82), $B91 * H82, "")</f>
        <v>7627.1186440677975</v>
      </c>
      <c r="J82" s="15">
        <v>130</v>
      </c>
      <c r="K82" s="32">
        <f t="shared" ref="K82:K85" si="40">IF(ISNUMBER(J82), (J82 - $B82) / $B82, "")</f>
        <v>0.10169491525423729</v>
      </c>
      <c r="L82" s="18">
        <f>IF(ISNUMBER(J82), $B91 * K82, "")</f>
        <v>10169.491525423729</v>
      </c>
      <c r="M82" s="31">
        <v>125</v>
      </c>
      <c r="N82" s="32">
        <f t="shared" ref="N82:N85" si="41">IF(ISNUMBER(M82), (M82 - $B82) / $B82, "")</f>
        <v>5.9322033898305086E-2</v>
      </c>
      <c r="O82" s="18">
        <f>IF(ISNUMBER(M82), $B91 * N82, "")</f>
        <v>5932.203389830509</v>
      </c>
      <c r="Q82" s="242"/>
      <c r="R82" s="243"/>
      <c r="S82" s="244"/>
    </row>
    <row r="83" spans="1:19" ht="17.25" thickBot="1">
      <c r="A83" s="162" t="s">
        <v>176</v>
      </c>
      <c r="B83" s="126">
        <v>982</v>
      </c>
      <c r="C83" s="77">
        <v>-8.6511627899999999E-2</v>
      </c>
      <c r="D83" s="15">
        <v>1010</v>
      </c>
      <c r="E83" s="32">
        <f t="shared" si="38"/>
        <v>2.8513238289205704E-2</v>
      </c>
      <c r="F83" s="18">
        <f>IF(ISNUMBER(D83), $B91 * E83, "")</f>
        <v>2851.3238289205706</v>
      </c>
      <c r="G83" s="31">
        <v>1030</v>
      </c>
      <c r="H83" s="32">
        <f t="shared" si="39"/>
        <v>4.8879837067209775E-2</v>
      </c>
      <c r="I83" s="101">
        <f>IF(ISNUMBER(G83), $B91 * H83, "")</f>
        <v>4887.9837067209774</v>
      </c>
      <c r="J83" s="15">
        <v>1060</v>
      </c>
      <c r="K83" s="32">
        <f t="shared" si="40"/>
        <v>7.9429735234215884E-2</v>
      </c>
      <c r="L83" s="18">
        <f>IF(ISNUMBER(J83), $B91 * K83, "")</f>
        <v>7942.9735234215887</v>
      </c>
      <c r="M83" s="31">
        <v>1015</v>
      </c>
      <c r="N83" s="32">
        <f t="shared" si="41"/>
        <v>3.360488798370672E-2</v>
      </c>
      <c r="O83" s="18">
        <f>IF(ISNUMBER(M83), $B91 * N83, "")</f>
        <v>3360.4887983706722</v>
      </c>
      <c r="Q83" s="235"/>
      <c r="R83" s="235"/>
      <c r="S83" s="235"/>
    </row>
    <row r="84" spans="1:19" ht="17.25" thickBot="1">
      <c r="A84" s="162" t="s">
        <v>80</v>
      </c>
      <c r="B84" s="126">
        <v>730</v>
      </c>
      <c r="C84" s="77">
        <v>-9.5415117699999996E-2</v>
      </c>
      <c r="D84" s="15">
        <v>750</v>
      </c>
      <c r="E84" s="32">
        <f t="shared" si="38"/>
        <v>2.7397260273972601E-2</v>
      </c>
      <c r="F84" s="18">
        <f>IF(ISNUMBER(D84), $B91 * E84, "")</f>
        <v>2739.7260273972602</v>
      </c>
      <c r="G84" s="31">
        <v>762</v>
      </c>
      <c r="H84" s="32">
        <f t="shared" si="39"/>
        <v>4.3835616438356165E-2</v>
      </c>
      <c r="I84" s="101">
        <f>IF(ISNUMBER(G84), $B91 * H84, "")</f>
        <v>4383.5616438356165</v>
      </c>
      <c r="J84" s="15">
        <v>788</v>
      </c>
      <c r="K84" s="32">
        <f t="shared" si="40"/>
        <v>7.9452054794520555E-2</v>
      </c>
      <c r="L84" s="18">
        <f>IF(ISNUMBER(J84), $B91 * K84, "")</f>
        <v>7945.2054794520554</v>
      </c>
      <c r="M84" s="31">
        <v>773</v>
      </c>
      <c r="N84" s="32">
        <f t="shared" si="41"/>
        <v>5.8904109589041097E-2</v>
      </c>
      <c r="O84" s="18">
        <f>IF(ISNUMBER(M84), $B91 * N84, "")</f>
        <v>5890.41095890411</v>
      </c>
      <c r="Q84" s="245"/>
      <c r="R84" s="245"/>
      <c r="S84" s="245"/>
    </row>
    <row r="85" spans="1:19" ht="17.25" thickBot="1">
      <c r="A85" s="163" t="s">
        <v>132</v>
      </c>
      <c r="B85" s="128">
        <v>121</v>
      </c>
      <c r="C85" s="78">
        <v>-9.7014925399999993E-2</v>
      </c>
      <c r="D85" s="20">
        <v>125</v>
      </c>
      <c r="E85" s="21">
        <f t="shared" si="38"/>
        <v>3.3057851239669422E-2</v>
      </c>
      <c r="F85" s="22">
        <f>IF(ISNUMBER(D85), $B91 * E85, "")</f>
        <v>3305.7851239669421</v>
      </c>
      <c r="G85" s="30">
        <v>129</v>
      </c>
      <c r="H85" s="21">
        <f t="shared" si="39"/>
        <v>6.6115702479338845E-2</v>
      </c>
      <c r="I85" s="105">
        <f>IF(ISNUMBER(G85), $B91 * H85, "")</f>
        <v>6611.5702479338843</v>
      </c>
      <c r="J85" s="20">
        <v>135</v>
      </c>
      <c r="K85" s="21">
        <f t="shared" si="40"/>
        <v>0.11570247933884298</v>
      </c>
      <c r="L85" s="22">
        <f>IF(ISNUMBER(J85), $B91 * K85, "")</f>
        <v>11570.247933884299</v>
      </c>
      <c r="M85" s="30">
        <v>129</v>
      </c>
      <c r="N85" s="21">
        <f t="shared" si="41"/>
        <v>6.6115702479338845E-2</v>
      </c>
      <c r="O85" s="22">
        <f>IF(ISNUMBER(M85), $B91 * N85, "")</f>
        <v>6611.5702479338843</v>
      </c>
      <c r="Q85" s="245"/>
      <c r="R85" s="245"/>
      <c r="S85" s="245"/>
    </row>
    <row r="86" spans="1:19" ht="17.25" thickBot="1">
      <c r="A86" s="162" t="s">
        <v>270</v>
      </c>
      <c r="B86" s="129">
        <v>304</v>
      </c>
      <c r="C86" s="80">
        <v>-0.100591716</v>
      </c>
      <c r="D86" s="106">
        <v>331</v>
      </c>
      <c r="E86" s="107">
        <f>IF(ISNUMBER(D86), (D86 - $B86) / $B86, "")</f>
        <v>8.8815789473684209E-2</v>
      </c>
      <c r="F86" s="108">
        <f>IF(ISNUMBER(D86), $B91 * E86, "")</f>
        <v>8881.5789473684217</v>
      </c>
      <c r="G86" s="109">
        <v>328</v>
      </c>
      <c r="H86" s="107">
        <f>IF(ISNUMBER(G86), (G86 - $B86) / $B86, "")</f>
        <v>7.8947368421052627E-2</v>
      </c>
      <c r="I86" s="110">
        <f>IF(ISNUMBER(G86), $B91 * H86, "")</f>
        <v>7894.7368421052624</v>
      </c>
      <c r="J86" s="106">
        <v>333</v>
      </c>
      <c r="K86" s="107">
        <f>IF(ISNUMBER(J86), (J86 - $B86) / $B86, "")</f>
        <v>9.5394736842105268E-2</v>
      </c>
      <c r="L86" s="108">
        <f>IF(ISNUMBER(J86), $B91 * K86, "")</f>
        <v>9539.4736842105267</v>
      </c>
      <c r="M86" s="109">
        <v>335</v>
      </c>
      <c r="N86" s="107">
        <f>IF(ISNUMBER(M86), (M86 - $B86) / $B86, "")</f>
        <v>0.10197368421052631</v>
      </c>
      <c r="O86" s="108">
        <f>IF(ISNUMBER(M86), $B91 * N86, "")</f>
        <v>10197.368421052632</v>
      </c>
      <c r="Q86" s="235"/>
      <c r="R86" s="235"/>
      <c r="S86" s="235"/>
    </row>
    <row r="87" spans="1:19" ht="17.25" thickBot="1">
      <c r="A87" s="162" t="s">
        <v>170</v>
      </c>
      <c r="B87" s="126">
        <v>249</v>
      </c>
      <c r="C87" s="77">
        <v>-0.1010830325</v>
      </c>
      <c r="D87" s="15">
        <v>261</v>
      </c>
      <c r="E87" s="32">
        <f t="shared" ref="E87:E90" si="42">IF(ISNUMBER(D87), (D87 - $B87) / $B87, "")</f>
        <v>4.8192771084337352E-2</v>
      </c>
      <c r="F87" s="18">
        <f>IF(ISNUMBER(D87), $B91 * E87, "")</f>
        <v>4819.2771084337355</v>
      </c>
      <c r="G87" s="31">
        <v>260</v>
      </c>
      <c r="H87" s="32">
        <f t="shared" ref="H87:H90" si="43">IF(ISNUMBER(G87), (G87 - $B87) / $B87, "")</f>
        <v>4.4176706827309238E-2</v>
      </c>
      <c r="I87" s="101">
        <f>IF(ISNUMBER(G87), $B91 * H87, "")</f>
        <v>4417.6706827309235</v>
      </c>
      <c r="J87" s="15">
        <v>269</v>
      </c>
      <c r="K87" s="32">
        <f t="shared" ref="K87:K90" si="44">IF(ISNUMBER(J87), (J87 - $B87) / $B87, "")</f>
        <v>8.0321285140562249E-2</v>
      </c>
      <c r="L87" s="18">
        <f>IF(ISNUMBER(J87), $B91 * K87, "")</f>
        <v>8032.128514056225</v>
      </c>
      <c r="M87" s="31">
        <v>261</v>
      </c>
      <c r="N87" s="32">
        <f t="shared" ref="N87:N90" si="45">IF(ISNUMBER(M87), (M87 - $B87) / $B87, "")</f>
        <v>4.8192771084337352E-2</v>
      </c>
      <c r="O87" s="18">
        <f>IF(ISNUMBER(M87), $B91 * N87, "")</f>
        <v>4819.2771084337355</v>
      </c>
      <c r="Q87" s="235"/>
      <c r="R87" s="235"/>
      <c r="S87" s="235"/>
    </row>
    <row r="88" spans="1:19" ht="17.25" thickBot="1">
      <c r="A88" s="162" t="s">
        <v>106</v>
      </c>
      <c r="B88" s="126">
        <v>996</v>
      </c>
      <c r="C88" s="77">
        <v>-0.1027027027</v>
      </c>
      <c r="D88" s="15">
        <v>1110</v>
      </c>
      <c r="E88" s="32">
        <f t="shared" si="42"/>
        <v>0.1144578313253012</v>
      </c>
      <c r="F88" s="18">
        <f>IF(ISNUMBER(D88), $B91 * E88, "")</f>
        <v>11445.783132530119</v>
      </c>
      <c r="G88" s="31">
        <v>1080</v>
      </c>
      <c r="H88" s="32">
        <f t="shared" si="43"/>
        <v>8.4337349397590355E-2</v>
      </c>
      <c r="I88" s="101">
        <f>IF(ISNUMBER(G88), $B91 * H88, "")</f>
        <v>8433.7349397590351</v>
      </c>
      <c r="J88" s="15">
        <v>1115</v>
      </c>
      <c r="K88" s="32">
        <f t="shared" si="44"/>
        <v>0.11947791164658635</v>
      </c>
      <c r="L88" s="18">
        <f>IF(ISNUMBER(J88), $B91 * K88, "")</f>
        <v>11947.791164658634</v>
      </c>
      <c r="M88" s="31">
        <v>1075</v>
      </c>
      <c r="N88" s="32">
        <f t="shared" si="45"/>
        <v>7.9317269076305222E-2</v>
      </c>
      <c r="O88" s="18">
        <f>IF(ISNUMBER(M88), $B91 * N88, "")</f>
        <v>7931.726907630522</v>
      </c>
      <c r="Q88" s="235"/>
      <c r="R88" s="235"/>
      <c r="S88" s="235"/>
    </row>
    <row r="89" spans="1:19">
      <c r="A89" s="162" t="s">
        <v>82</v>
      </c>
      <c r="B89" s="126">
        <v>900</v>
      </c>
      <c r="C89" s="77">
        <v>-0.1044776119</v>
      </c>
      <c r="D89" s="15">
        <v>923</v>
      </c>
      <c r="E89" s="32">
        <f t="shared" si="42"/>
        <v>2.5555555555555557E-2</v>
      </c>
      <c r="F89" s="18">
        <f>IF(ISNUMBER(D89), $B91 * E89, "")</f>
        <v>2555.5555555555557</v>
      </c>
      <c r="G89" s="31">
        <v>955</v>
      </c>
      <c r="H89" s="32">
        <f t="shared" si="43"/>
        <v>6.1111111111111109E-2</v>
      </c>
      <c r="I89" s="101">
        <f>IF(ISNUMBER(G89), $B91 * H89, "")</f>
        <v>6111.1111111111113</v>
      </c>
      <c r="J89" s="15">
        <v>984</v>
      </c>
      <c r="K89" s="32">
        <f t="shared" si="44"/>
        <v>9.3333333333333338E-2</v>
      </c>
      <c r="L89" s="18">
        <f>IF(ISNUMBER(J89), $B91 * K89, "")</f>
        <v>9333.3333333333339</v>
      </c>
      <c r="M89" s="31">
        <v>978</v>
      </c>
      <c r="N89" s="32">
        <f t="shared" si="45"/>
        <v>8.666666666666667E-2</v>
      </c>
      <c r="O89" s="18">
        <f>IF(ISNUMBER(M89), $B91 * N89, "")</f>
        <v>8666.6666666666661</v>
      </c>
      <c r="Q89" s="224"/>
      <c r="R89" s="225"/>
      <c r="S89" s="226"/>
    </row>
    <row r="90" spans="1:19" ht="17.25" thickBot="1">
      <c r="A90" s="130" t="s">
        <v>128</v>
      </c>
      <c r="B90" s="131">
        <v>308</v>
      </c>
      <c r="C90" s="79">
        <v>-0.1046511628</v>
      </c>
      <c r="D90" s="24">
        <v>331</v>
      </c>
      <c r="E90" s="25">
        <f t="shared" si="42"/>
        <v>7.4675324675324672E-2</v>
      </c>
      <c r="F90" s="104">
        <f>IF(ISNUMBER(D90), $B91 * E90, "")</f>
        <v>7467.5324675324673</v>
      </c>
      <c r="G90" s="102">
        <v>328</v>
      </c>
      <c r="H90" s="25">
        <f t="shared" si="43"/>
        <v>6.4935064935064929E-2</v>
      </c>
      <c r="I90" s="103">
        <f>IF(ISNUMBER(G90), $B91 * H90, "")</f>
        <v>6493.5064935064929</v>
      </c>
      <c r="J90" s="24">
        <v>338</v>
      </c>
      <c r="K90" s="25">
        <f t="shared" si="44"/>
        <v>9.7402597402597407E-2</v>
      </c>
      <c r="L90" s="104">
        <f>IF(ISNUMBER(J90), $B91 * K90, "")</f>
        <v>9740.2597402597403</v>
      </c>
      <c r="M90" s="102">
        <v>329</v>
      </c>
      <c r="N90" s="25">
        <f t="shared" si="45"/>
        <v>6.8181818181818177E-2</v>
      </c>
      <c r="O90" s="104">
        <f>IF(ISNUMBER(M90), $B91 * N90, "")</f>
        <v>6818.181818181818</v>
      </c>
      <c r="Q90" s="227"/>
      <c r="R90" s="228"/>
      <c r="S90" s="229"/>
    </row>
    <row r="91" spans="1:19" ht="17.25" thickBot="1">
      <c r="A91" s="132" t="s">
        <v>300</v>
      </c>
      <c r="B91" s="288">
        <f>$B$37</f>
        <v>100000</v>
      </c>
      <c r="C91" s="289"/>
      <c r="D91" s="26" t="s">
        <v>301</v>
      </c>
      <c r="E91" s="27">
        <f>IF(COUNT(E71:E90), SUM(E71:E90) / COUNT(E71:E90), 0)</f>
        <v>3.901763761524412E-2</v>
      </c>
      <c r="F91" s="28">
        <f>SUM(F71:F90)</f>
        <v>78035.275230488245</v>
      </c>
      <c r="G91" s="26" t="s">
        <v>301</v>
      </c>
      <c r="H91" s="27">
        <f>IF(COUNT(H71:H90), SUM(H71:H90) / COUNT(H71:H90), 0)</f>
        <v>5.0467774005342622E-2</v>
      </c>
      <c r="I91" s="28">
        <f>SUM(I71:I90)</f>
        <v>100935.54801068525</v>
      </c>
      <c r="J91" s="26" t="s">
        <v>301</v>
      </c>
      <c r="K91" s="27">
        <f>IF(COUNT(K71:K90), SUM(K71:K90) / COUNT(K71:K90), 0)</f>
        <v>7.6577900925482834E-2</v>
      </c>
      <c r="L91" s="28">
        <f>SUM(L71:L90)</f>
        <v>153155.80185096565</v>
      </c>
      <c r="M91" s="26" t="s">
        <v>301</v>
      </c>
      <c r="N91" s="27">
        <f>IF(COUNT(N71:N90), SUM(N71:N90) / COUNT(N71:N90), 0)</f>
        <v>5.3118364306870301E-2</v>
      </c>
      <c r="O91" s="28">
        <f>SUM(O71:O90)</f>
        <v>106236.72861374059</v>
      </c>
      <c r="Q91" s="230"/>
      <c r="R91" s="231"/>
      <c r="S91" s="232"/>
    </row>
    <row r="93" spans="1:19" ht="17.25" thickBot="1"/>
    <row r="94" spans="1:19" ht="17.25" thickBot="1">
      <c r="A94" s="246" t="s">
        <v>46</v>
      </c>
      <c r="B94" s="247"/>
      <c r="C94" s="247"/>
      <c r="D94" s="247"/>
      <c r="E94" s="247"/>
      <c r="F94" s="247"/>
      <c r="G94" s="247"/>
      <c r="H94" s="247"/>
      <c r="I94" s="247"/>
      <c r="J94" s="247"/>
      <c r="K94" s="247"/>
      <c r="L94" s="247"/>
      <c r="M94" s="247"/>
      <c r="N94" s="247"/>
      <c r="O94" s="248"/>
      <c r="Q94" s="245"/>
      <c r="R94" s="245"/>
      <c r="S94" s="245"/>
    </row>
    <row r="95" spans="1:19" ht="17.25" thickBot="1">
      <c r="A95" s="192" t="s">
        <v>297</v>
      </c>
      <c r="B95" s="246" t="s">
        <v>49</v>
      </c>
      <c r="C95" s="248"/>
      <c r="D95" s="246" t="s">
        <v>58</v>
      </c>
      <c r="E95" s="247"/>
      <c r="F95" s="248"/>
      <c r="G95" s="249">
        <f>_xlfn.IFNA(VLOOKUP(B95, 현재가테이블!$B$2:$D$200, 2, FALSE), "-")</f>
        <v>45335000</v>
      </c>
      <c r="H95" s="250"/>
      <c r="I95" s="251"/>
      <c r="J95" s="246" t="s">
        <v>59</v>
      </c>
      <c r="K95" s="247"/>
      <c r="L95" s="248"/>
      <c r="M95" s="252">
        <f>_xlfn.IFNA(VLOOKUP(B95, 현재가테이블!$B$2:$D$200, 3, FALSE), "-")</f>
        <v>-2.27209037E-2</v>
      </c>
      <c r="N95" s="253"/>
      <c r="O95" s="254"/>
      <c r="Q95" s="245"/>
      <c r="R95" s="245"/>
      <c r="S95" s="245"/>
    </row>
    <row r="96" spans="1:19" ht="17.25" thickBot="1">
      <c r="A96" s="290" t="s">
        <v>55</v>
      </c>
      <c r="B96" s="286" t="str">
        <f>TEXT($G$1, "[$-ko-KR]yyyy-mm-dd(ddd) ") &amp; "오전 00:00"</f>
        <v>2021-06-09(수) 오전 00:00</v>
      </c>
      <c r="C96" s="287"/>
      <c r="D96" s="259" t="str">
        <f>TEXT($G$1, "[$-ko-KR]yyyy-mm-dd(ddd) ") &amp; "오후 14:00"</f>
        <v>2021-06-09(수) 오후 14:00</v>
      </c>
      <c r="E96" s="260"/>
      <c r="F96" s="261"/>
      <c r="G96" s="259" t="str">
        <f>TEXT($G$1, "[$-ko-KR]yyyy-mm-dd(ddd) ") &amp; "오후 19:00"</f>
        <v>2021-06-09(수) 오후 19:00</v>
      </c>
      <c r="H96" s="260"/>
      <c r="I96" s="261"/>
      <c r="J96" s="259" t="str">
        <f>TEXT($G$1, "[$-ko-KR]yyyy-mm-dd(ddd) ") &amp; "오후 21:00"</f>
        <v>2021-06-09(수) 오후 21:00</v>
      </c>
      <c r="K96" s="260"/>
      <c r="L96" s="261"/>
      <c r="M96" s="259" t="str">
        <f>TEXT($G$1+1, "[$-ko-KR]yyyy-mm-dd(ddd) ") &amp; "오전 00:00"</f>
        <v>2021-06-10(목) 오전 00:00</v>
      </c>
      <c r="N96" s="260"/>
      <c r="O96" s="261"/>
      <c r="Q96" s="245"/>
      <c r="R96" s="245"/>
      <c r="S96" s="245"/>
    </row>
    <row r="97" spans="1:19" ht="17.25" thickBot="1">
      <c r="A97" s="291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93" t="s">
        <v>58</v>
      </c>
      <c r="H97" s="194" t="s">
        <v>298</v>
      </c>
      <c r="I97" s="195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5"/>
      <c r="R97" s="235"/>
      <c r="S97" s="235"/>
    </row>
    <row r="98" spans="1:19" ht="17.25" thickBot="1">
      <c r="A98" s="161" t="s">
        <v>142</v>
      </c>
      <c r="B98" s="124">
        <v>616</v>
      </c>
      <c r="C98" s="76">
        <v>0.16226415089999999</v>
      </c>
      <c r="D98" s="13">
        <v>715</v>
      </c>
      <c r="E98" s="14">
        <f>IF(ISNUMBER(D98), (D98 - $B98) / $B98, "")</f>
        <v>0.16071428571428573</v>
      </c>
      <c r="F98" s="16">
        <f>IF(ISNUMBER(D98), $B118 * E98, "")</f>
        <v>16071.428571428572</v>
      </c>
      <c r="G98" s="29">
        <v>740</v>
      </c>
      <c r="H98" s="14">
        <f>IF(ISNUMBER(G98), (G98 - $B98) / $B98, "")</f>
        <v>0.20129870129870131</v>
      </c>
      <c r="I98" s="100">
        <f>IF(ISNUMBER(G98), $B118 * H98, "")</f>
        <v>20129.870129870131</v>
      </c>
      <c r="J98" s="13">
        <v>708</v>
      </c>
      <c r="K98" s="14">
        <f>IF(ISNUMBER(J98), (J98 - $B98) / $B98, "")</f>
        <v>0.14935064935064934</v>
      </c>
      <c r="L98" s="16">
        <f>IF(ISNUMBER(J98), $B118 * K98, "")</f>
        <v>14935.064935064935</v>
      </c>
      <c r="M98" s="29">
        <v>709</v>
      </c>
      <c r="N98" s="14">
        <f>IF(ISNUMBER(M98), (M98 - $B98) / $B98, "")</f>
        <v>0.15097402597402598</v>
      </c>
      <c r="O98" s="16">
        <f>IF(ISNUMBER(M98), $B118 * N98, "")</f>
        <v>15097.402597402599</v>
      </c>
      <c r="Q98" s="245"/>
      <c r="R98" s="245"/>
      <c r="S98" s="245"/>
    </row>
    <row r="99" spans="1:19" ht="17.25" thickBot="1">
      <c r="A99" s="162" t="s">
        <v>108</v>
      </c>
      <c r="B99" s="126">
        <v>31370</v>
      </c>
      <c r="C99" s="77">
        <v>0.1112291888</v>
      </c>
      <c r="D99" s="15">
        <v>32300</v>
      </c>
      <c r="E99" s="32">
        <f t="shared" ref="E99:E102" si="46">IF(ISNUMBER(D99), (D99 - $B99) / $B99, "")</f>
        <v>2.9646158750398471E-2</v>
      </c>
      <c r="F99" s="18">
        <f>IF(ISNUMBER(D99), $B118 * E99, "")</f>
        <v>2964.6158750398472</v>
      </c>
      <c r="G99" s="31">
        <v>33520</v>
      </c>
      <c r="H99" s="32">
        <f t="shared" ref="H99:H102" si="47">IF(ISNUMBER(G99), (G99 - $B99) / $B99, "")</f>
        <v>6.853681861651259E-2</v>
      </c>
      <c r="I99" s="101">
        <f>IF(ISNUMBER(G99), $B118 * H99, "")</f>
        <v>6853.6818616512592</v>
      </c>
      <c r="J99" s="15">
        <v>33180</v>
      </c>
      <c r="K99" s="32">
        <f t="shared" ref="K99:K102" si="48">IF(ISNUMBER(J99), (J99 - $B99) / $B99, "")</f>
        <v>5.7698437998087347E-2</v>
      </c>
      <c r="L99" s="18">
        <f>IF(ISNUMBER(J99), $B118 * K99, "")</f>
        <v>5769.8437998087347</v>
      </c>
      <c r="M99" s="31">
        <v>32230</v>
      </c>
      <c r="N99" s="32">
        <f t="shared" ref="N99:N102" si="49">IF(ISNUMBER(M99), (M99 - $B99) / $B99, "")</f>
        <v>2.7414727446605038E-2</v>
      </c>
      <c r="O99" s="18">
        <f>IF(ISNUMBER(M99), $B118 * N99, "")</f>
        <v>2741.4727446605038</v>
      </c>
      <c r="Q99" s="245"/>
      <c r="R99" s="245"/>
      <c r="S99" s="245"/>
    </row>
    <row r="100" spans="1:19" ht="17.25" thickBot="1">
      <c r="A100" s="162" t="s">
        <v>216</v>
      </c>
      <c r="B100" s="126">
        <v>256</v>
      </c>
      <c r="C100" s="77">
        <v>-3.8910505999999998E-3</v>
      </c>
      <c r="D100" s="15">
        <v>242</v>
      </c>
      <c r="E100" s="32">
        <f t="shared" si="46"/>
        <v>-5.46875E-2</v>
      </c>
      <c r="F100" s="18">
        <f>IF(ISNUMBER(D100), $B118 * E100, "")</f>
        <v>-5468.75</v>
      </c>
      <c r="G100" s="31">
        <v>244</v>
      </c>
      <c r="H100" s="32">
        <f t="shared" si="47"/>
        <v>-4.6875E-2</v>
      </c>
      <c r="I100" s="101">
        <f>IF(ISNUMBER(G100), $B118 * H100, "")</f>
        <v>-4687.5</v>
      </c>
      <c r="J100" s="15">
        <v>251</v>
      </c>
      <c r="K100" s="32">
        <f t="shared" si="48"/>
        <v>-1.953125E-2</v>
      </c>
      <c r="L100" s="18">
        <f>IF(ISNUMBER(J100), $B118 * K100, "")</f>
        <v>-1953.125</v>
      </c>
      <c r="M100" s="31">
        <v>248</v>
      </c>
      <c r="N100" s="32">
        <f t="shared" si="49"/>
        <v>-3.125E-2</v>
      </c>
      <c r="O100" s="18">
        <f>IF(ISNUMBER(M100), $B118 * N100, "")</f>
        <v>-3125</v>
      </c>
      <c r="Q100" s="235"/>
      <c r="R100" s="235"/>
      <c r="S100" s="235"/>
    </row>
    <row r="101" spans="1:19" ht="17.25" thickBot="1">
      <c r="A101" s="162" t="s">
        <v>236</v>
      </c>
      <c r="B101" s="126">
        <v>50.6</v>
      </c>
      <c r="C101" s="77">
        <v>-1.171875E-2</v>
      </c>
      <c r="D101" s="15">
        <v>50.8</v>
      </c>
      <c r="E101" s="32">
        <f t="shared" si="46"/>
        <v>3.9525691699603899E-3</v>
      </c>
      <c r="F101" s="18">
        <f>IF(ISNUMBER(D101), $B118 * E101, "")</f>
        <v>395.25691699603897</v>
      </c>
      <c r="G101" s="31">
        <v>51.1</v>
      </c>
      <c r="H101" s="32">
        <f t="shared" si="47"/>
        <v>9.881422924901186E-3</v>
      </c>
      <c r="I101" s="101">
        <f>IF(ISNUMBER(G101), $B118 * H101, "")</f>
        <v>988.14229249011862</v>
      </c>
      <c r="J101" s="15">
        <v>51</v>
      </c>
      <c r="K101" s="32">
        <f t="shared" si="48"/>
        <v>7.9051383399209203E-3</v>
      </c>
      <c r="L101" s="18">
        <f>IF(ISNUMBER(J101), $B118 * K101, "")</f>
        <v>790.51383399209203</v>
      </c>
      <c r="M101" s="31">
        <v>51.3</v>
      </c>
      <c r="N101" s="32">
        <f t="shared" si="49"/>
        <v>1.3833992094861575E-2</v>
      </c>
      <c r="O101" s="18">
        <f>IF(ISNUMBER(M101), $B118 * N101, "")</f>
        <v>1383.3992094861576</v>
      </c>
      <c r="Q101" s="235"/>
      <c r="R101" s="235"/>
      <c r="S101" s="235"/>
    </row>
    <row r="102" spans="1:19" ht="17.25" thickBot="1">
      <c r="A102" s="163" t="s">
        <v>114</v>
      </c>
      <c r="B102" s="128">
        <v>9865</v>
      </c>
      <c r="C102" s="78">
        <v>-2.32673267E-2</v>
      </c>
      <c r="D102" s="20">
        <v>10400</v>
      </c>
      <c r="E102" s="21">
        <f t="shared" si="46"/>
        <v>5.4232133806386217E-2</v>
      </c>
      <c r="F102" s="22">
        <f>IF(ISNUMBER(D102), $B118 * E102, "")</f>
        <v>5423.2133806386219</v>
      </c>
      <c r="G102" s="30">
        <v>10720</v>
      </c>
      <c r="H102" s="21">
        <f t="shared" si="47"/>
        <v>8.6670045615813485E-2</v>
      </c>
      <c r="I102" s="105">
        <f>IF(ISNUMBER(G102), $B118 * H102, "")</f>
        <v>8667.0045615813488</v>
      </c>
      <c r="J102" s="20">
        <v>10900</v>
      </c>
      <c r="K102" s="21">
        <f t="shared" si="48"/>
        <v>0.10491637100861632</v>
      </c>
      <c r="L102" s="22">
        <f>IF(ISNUMBER(J102), $B118 * K102, "")</f>
        <v>10491.637100861632</v>
      </c>
      <c r="M102" s="30">
        <v>10700</v>
      </c>
      <c r="N102" s="21">
        <f t="shared" si="49"/>
        <v>8.4642676127724276E-2</v>
      </c>
      <c r="O102" s="22">
        <f>IF(ISNUMBER(M102), $B118 * N102, "")</f>
        <v>8464.267612772428</v>
      </c>
      <c r="Q102" s="235"/>
      <c r="R102" s="235"/>
      <c r="S102" s="235"/>
    </row>
    <row r="103" spans="1:19" ht="17.25" thickBot="1">
      <c r="A103" s="162" t="s">
        <v>196</v>
      </c>
      <c r="B103" s="129">
        <v>10.7</v>
      </c>
      <c r="C103" s="80">
        <v>-3.6036036E-2</v>
      </c>
      <c r="D103" s="106">
        <v>10.5</v>
      </c>
      <c r="E103" s="107">
        <f>IF(ISNUMBER(D103), (D103 - $B103) / $B103, "")</f>
        <v>-1.8691588785046665E-2</v>
      </c>
      <c r="F103" s="108">
        <f>IF(ISNUMBER(D103), $B118 * E103, "")</f>
        <v>-1869.1588785046665</v>
      </c>
      <c r="G103" s="109">
        <v>10.5</v>
      </c>
      <c r="H103" s="107">
        <f>IF(ISNUMBER(G103), (G103 - $B103) / $B103, "")</f>
        <v>-1.8691588785046665E-2</v>
      </c>
      <c r="I103" s="110">
        <f>IF(ISNUMBER(G103), $B118 * H103, "")</f>
        <v>-1869.1588785046665</v>
      </c>
      <c r="J103" s="106">
        <v>10.8</v>
      </c>
      <c r="K103" s="107">
        <f>IF(ISNUMBER(J103), (J103 - $B103) / $B103, "")</f>
        <v>9.3457943925234974E-3</v>
      </c>
      <c r="L103" s="108">
        <f>IF(ISNUMBER(J103), $B118 * K103, "")</f>
        <v>934.57943925234974</v>
      </c>
      <c r="M103" s="109">
        <v>10.6</v>
      </c>
      <c r="N103" s="107">
        <f>IF(ISNUMBER(M103), (M103 - $B103) / $B103, "")</f>
        <v>-9.3457943925233326E-3</v>
      </c>
      <c r="O103" s="108">
        <f>IF(ISNUMBER(M103), $B118 * N103, "")</f>
        <v>-934.57943925233326</v>
      </c>
      <c r="Q103" s="235"/>
      <c r="R103" s="235"/>
      <c r="S103" s="235"/>
    </row>
    <row r="104" spans="1:19" ht="17.25" thickBot="1">
      <c r="A104" s="162" t="s">
        <v>100</v>
      </c>
      <c r="B104" s="126">
        <v>4.0599999999999996</v>
      </c>
      <c r="C104" s="77">
        <v>-3.7914691899999999E-2</v>
      </c>
      <c r="D104" s="15">
        <v>4.1500000000000004</v>
      </c>
      <c r="E104" s="32">
        <f t="shared" ref="E104:E107" si="50">IF(ISNUMBER(D104), (D104 - $B104) / $B104, "")</f>
        <v>2.2167487684729249E-2</v>
      </c>
      <c r="F104" s="18">
        <f>IF(ISNUMBER(D104), $B118 * E104, "")</f>
        <v>2216.7487684729249</v>
      </c>
      <c r="G104" s="31">
        <v>4.1900000000000004</v>
      </c>
      <c r="H104" s="32">
        <f t="shared" ref="H104:H107" si="51">IF(ISNUMBER(G104), (G104 - $B104) / $B104, "")</f>
        <v>3.2019704433497734E-2</v>
      </c>
      <c r="I104" s="101">
        <f>IF(ISNUMBER(G104), $B118 * H104, "")</f>
        <v>3201.9704433497732</v>
      </c>
      <c r="J104" s="15">
        <v>4.29</v>
      </c>
      <c r="K104" s="32">
        <f t="shared" ref="K104:K107" si="52">IF(ISNUMBER(J104), (J104 - $B104) / $B104, "")</f>
        <v>5.665024630541883E-2</v>
      </c>
      <c r="L104" s="18">
        <f>IF(ISNUMBER(J104), $B118 * K104, "")</f>
        <v>5665.0246305418832</v>
      </c>
      <c r="M104" s="31">
        <v>4.18</v>
      </c>
      <c r="N104" s="32">
        <f t="shared" ref="N104:N107" si="53">IF(ISNUMBER(M104), (M104 - $B104) / $B104, "")</f>
        <v>2.9556650246305449E-2</v>
      </c>
      <c r="O104" s="18">
        <f>IF(ISNUMBER(M104), $B118 * N104, "")</f>
        <v>2955.6650246305448</v>
      </c>
      <c r="Q104" s="235"/>
      <c r="R104" s="235"/>
      <c r="S104" s="235"/>
    </row>
    <row r="105" spans="1:19" ht="17.25" thickBot="1">
      <c r="A105" s="162" t="s">
        <v>156</v>
      </c>
      <c r="B105" s="126">
        <v>79.900000000000006</v>
      </c>
      <c r="C105" s="77">
        <v>-3.9663461499999997E-2</v>
      </c>
      <c r="D105" s="15">
        <v>81.7</v>
      </c>
      <c r="E105" s="32">
        <f t="shared" si="50"/>
        <v>2.2528160200250277E-2</v>
      </c>
      <c r="F105" s="18">
        <f>IF(ISNUMBER(D105), $B118 * E105, "")</f>
        <v>2252.8160200250277</v>
      </c>
      <c r="G105" s="31">
        <v>82.9</v>
      </c>
      <c r="H105" s="32">
        <f t="shared" si="51"/>
        <v>3.7546933667083851E-2</v>
      </c>
      <c r="I105" s="101">
        <f>IF(ISNUMBER(G105), $B118 * H105, "")</f>
        <v>3754.6933667083849</v>
      </c>
      <c r="J105" s="15">
        <v>85.3</v>
      </c>
      <c r="K105" s="32">
        <f t="shared" si="52"/>
        <v>6.7584480600750826E-2</v>
      </c>
      <c r="L105" s="18">
        <f>IF(ISNUMBER(J105), $B118 * K105, "")</f>
        <v>6758.448060075083</v>
      </c>
      <c r="M105" s="31">
        <v>83.2</v>
      </c>
      <c r="N105" s="32">
        <f t="shared" si="53"/>
        <v>4.1301627033792199E-2</v>
      </c>
      <c r="O105" s="18">
        <f>IF(ISNUMBER(M105), $B118 * N105, "")</f>
        <v>4130.1627033792201</v>
      </c>
      <c r="Q105" s="235"/>
      <c r="R105" s="235"/>
      <c r="S105" s="235"/>
    </row>
    <row r="106" spans="1:19" ht="17.25" thickBot="1">
      <c r="A106" s="162" t="s">
        <v>112</v>
      </c>
      <c r="B106" s="126">
        <v>168</v>
      </c>
      <c r="C106" s="77">
        <v>-4.5454545499999999E-2</v>
      </c>
      <c r="D106" s="15">
        <v>171</v>
      </c>
      <c r="E106" s="32">
        <f t="shared" si="50"/>
        <v>1.7857142857142856E-2</v>
      </c>
      <c r="F106" s="18">
        <f>IF(ISNUMBER(D106), $B118 * E106, "")</f>
        <v>1785.7142857142856</v>
      </c>
      <c r="G106" s="31">
        <v>171</v>
      </c>
      <c r="H106" s="32">
        <f t="shared" si="51"/>
        <v>1.7857142857142856E-2</v>
      </c>
      <c r="I106" s="101">
        <f>IF(ISNUMBER(G106), $B118 * H106, "")</f>
        <v>1785.7142857142856</v>
      </c>
      <c r="J106" s="15">
        <v>172</v>
      </c>
      <c r="K106" s="32">
        <f t="shared" si="52"/>
        <v>2.3809523809523808E-2</v>
      </c>
      <c r="L106" s="18">
        <f>IF(ISNUMBER(J106), $B118 * K106, "")</f>
        <v>2380.9523809523807</v>
      </c>
      <c r="M106" s="31">
        <v>173</v>
      </c>
      <c r="N106" s="32">
        <f t="shared" si="53"/>
        <v>2.976190476190476E-2</v>
      </c>
      <c r="O106" s="18">
        <f>IF(ISNUMBER(M106), $B118 * N106, "")</f>
        <v>2976.1904761904761</v>
      </c>
      <c r="Q106" s="33"/>
      <c r="R106" s="33"/>
    </row>
    <row r="107" spans="1:19" ht="17.25" thickBot="1">
      <c r="A107" s="130" t="s">
        <v>94</v>
      </c>
      <c r="B107" s="131">
        <v>56390</v>
      </c>
      <c r="C107" s="79">
        <v>-4.9232844400000003E-2</v>
      </c>
      <c r="D107" s="24">
        <v>72050</v>
      </c>
      <c r="E107" s="25">
        <f t="shared" si="50"/>
        <v>0.27770881361943606</v>
      </c>
      <c r="F107" s="104">
        <f>IF(ISNUMBER(D107), $B118 * E107, "")</f>
        <v>27770.881361943604</v>
      </c>
      <c r="G107" s="102">
        <v>74200</v>
      </c>
      <c r="H107" s="25">
        <f t="shared" si="51"/>
        <v>0.31583614115978009</v>
      </c>
      <c r="I107" s="103">
        <f>IF(ISNUMBER(G107), $B118 * H107, "")</f>
        <v>31583.614115978009</v>
      </c>
      <c r="J107" s="24">
        <v>77510</v>
      </c>
      <c r="K107" s="25">
        <f t="shared" si="52"/>
        <v>0.37453449193119348</v>
      </c>
      <c r="L107" s="104">
        <f>IF(ISNUMBER(J107), $B118 * K107, "")</f>
        <v>37453.449193119348</v>
      </c>
      <c r="M107" s="102">
        <v>73990</v>
      </c>
      <c r="N107" s="25">
        <f t="shared" si="53"/>
        <v>0.31211207660932788</v>
      </c>
      <c r="O107" s="104">
        <f>IF(ISNUMBER(M107), $B118 * N107, "")</f>
        <v>31211.207660932789</v>
      </c>
      <c r="Q107" s="236"/>
      <c r="R107" s="237"/>
      <c r="S107" s="238"/>
    </row>
    <row r="108" spans="1:19">
      <c r="A108" s="161" t="s">
        <v>172</v>
      </c>
      <c r="B108" s="124">
        <v>13.5</v>
      </c>
      <c r="C108" s="76">
        <v>-4.9295774600000002E-2</v>
      </c>
      <c r="D108" s="13">
        <v>13.4</v>
      </c>
      <c r="E108" s="14">
        <f>IF(ISNUMBER(D108), (D108 - $B108) / $B108, "")</f>
        <v>-7.4074074074073808E-3</v>
      </c>
      <c r="F108" s="16">
        <f>IF(ISNUMBER(D108), $B118 * E108, "")</f>
        <v>-740.74074074073803</v>
      </c>
      <c r="G108" s="29">
        <v>13.3</v>
      </c>
      <c r="H108" s="14">
        <f>IF(ISNUMBER(G108), (G108 - $B108) / $B108, "")</f>
        <v>-1.4814814814814762E-2</v>
      </c>
      <c r="I108" s="100">
        <f>IF(ISNUMBER(G108), $B118 * H108, "")</f>
        <v>-1481.4814814814761</v>
      </c>
      <c r="J108" s="13">
        <v>13.5</v>
      </c>
      <c r="K108" s="14">
        <f>IF(ISNUMBER(J108), (J108 - $B108) / $B108, "")</f>
        <v>0</v>
      </c>
      <c r="L108" s="16">
        <f>IF(ISNUMBER(J108), $B118 * K108, "")</f>
        <v>0</v>
      </c>
      <c r="M108" s="29">
        <v>13.4</v>
      </c>
      <c r="N108" s="14">
        <f>IF(ISNUMBER(M108), (M108 - $B108) / $B108, "")</f>
        <v>-7.4074074074073808E-3</v>
      </c>
      <c r="O108" s="16">
        <f>IF(ISNUMBER(M108), $B118 * N108, "")</f>
        <v>-740.74074074073803</v>
      </c>
      <c r="Q108" s="239"/>
      <c r="R108" s="240"/>
      <c r="S108" s="241"/>
    </row>
    <row r="109" spans="1:19" ht="17.25" thickBot="1">
      <c r="A109" s="162" t="s">
        <v>120</v>
      </c>
      <c r="B109" s="126">
        <v>126</v>
      </c>
      <c r="C109" s="77">
        <v>-5.2631578900000003E-2</v>
      </c>
      <c r="D109" s="15">
        <v>128</v>
      </c>
      <c r="E109" s="32">
        <f t="shared" ref="E109:E112" si="54">IF(ISNUMBER(D109), (D109 - $B109) / $B109, "")</f>
        <v>1.5873015873015872E-2</v>
      </c>
      <c r="F109" s="18">
        <f>IF(ISNUMBER(D109), $B118 * E109, "")</f>
        <v>1587.3015873015872</v>
      </c>
      <c r="G109" s="31">
        <v>133</v>
      </c>
      <c r="H109" s="32">
        <f t="shared" ref="H109:H112" si="55">IF(ISNUMBER(G109), (G109 - $B109) / $B109, "")</f>
        <v>5.5555555555555552E-2</v>
      </c>
      <c r="I109" s="101">
        <f>IF(ISNUMBER(G109), $B118 * H109, "")</f>
        <v>5555.5555555555557</v>
      </c>
      <c r="J109" s="15">
        <v>135</v>
      </c>
      <c r="K109" s="32">
        <f t="shared" ref="K109:K112" si="56">IF(ISNUMBER(J109), (J109 - $B109) / $B109, "")</f>
        <v>7.1428571428571425E-2</v>
      </c>
      <c r="L109" s="18">
        <f>IF(ISNUMBER(J109), $B118 * K109, "")</f>
        <v>7142.8571428571422</v>
      </c>
      <c r="M109" s="31">
        <v>134</v>
      </c>
      <c r="N109" s="32">
        <f t="shared" ref="N109:N112" si="57">IF(ISNUMBER(M109), (M109 - $B109) / $B109, "")</f>
        <v>6.3492063492063489E-2</v>
      </c>
      <c r="O109" s="18">
        <f>IF(ISNUMBER(M109), $B118 * N109, "")</f>
        <v>6349.2063492063489</v>
      </c>
      <c r="Q109" s="242"/>
      <c r="R109" s="243"/>
      <c r="S109" s="244"/>
    </row>
    <row r="110" spans="1:19" ht="17.25" thickBot="1">
      <c r="A110" s="162" t="s">
        <v>278</v>
      </c>
      <c r="B110" s="126">
        <v>70.900000000000006</v>
      </c>
      <c r="C110" s="77">
        <v>-5.5925432800000001E-2</v>
      </c>
      <c r="D110" s="15">
        <v>73.099999999999994</v>
      </c>
      <c r="E110" s="32">
        <f t="shared" si="54"/>
        <v>3.1029619181946241E-2</v>
      </c>
      <c r="F110" s="18">
        <f>IF(ISNUMBER(D110), $B118 * E110, "")</f>
        <v>3102.9619181946241</v>
      </c>
      <c r="G110" s="31">
        <v>74.7</v>
      </c>
      <c r="H110" s="32">
        <f t="shared" si="55"/>
        <v>5.3596614950634655E-2</v>
      </c>
      <c r="I110" s="101">
        <f>IF(ISNUMBER(G110), $B118 * H110, "")</f>
        <v>5359.6614950634657</v>
      </c>
      <c r="J110" s="15">
        <v>76.3</v>
      </c>
      <c r="K110" s="32">
        <f t="shared" si="56"/>
        <v>7.6163610719322858E-2</v>
      </c>
      <c r="L110" s="18">
        <f>IF(ISNUMBER(J110), $B118 * K110, "")</f>
        <v>7616.361071932286</v>
      </c>
      <c r="M110" s="31">
        <v>75.5</v>
      </c>
      <c r="N110" s="32">
        <f t="shared" si="57"/>
        <v>6.4880112834978756E-2</v>
      </c>
      <c r="O110" s="18">
        <f>IF(ISNUMBER(M110), $B118 * N110, "")</f>
        <v>6488.0112834978754</v>
      </c>
      <c r="Q110" s="235"/>
      <c r="R110" s="235"/>
      <c r="S110" s="235"/>
    </row>
    <row r="111" spans="1:19" ht="17.25" thickBot="1">
      <c r="A111" s="162" t="s">
        <v>49</v>
      </c>
      <c r="B111" s="126">
        <v>36819000</v>
      </c>
      <c r="C111" s="77">
        <v>-5.7469793200000001E-2</v>
      </c>
      <c r="D111" s="15">
        <v>37925000</v>
      </c>
      <c r="E111" s="32">
        <f t="shared" si="54"/>
        <v>3.0038838643091884E-2</v>
      </c>
      <c r="F111" s="18">
        <f>IF(ISNUMBER(D111), $B118 * E111, "")</f>
        <v>3003.8838643091885</v>
      </c>
      <c r="G111" s="31">
        <v>39193000</v>
      </c>
      <c r="H111" s="32">
        <f t="shared" si="55"/>
        <v>6.4477579510578781E-2</v>
      </c>
      <c r="I111" s="101">
        <f>IF(ISNUMBER(G111), $B118 * H111, "")</f>
        <v>6447.757951057878</v>
      </c>
      <c r="J111" s="15">
        <v>40595000</v>
      </c>
      <c r="K111" s="32">
        <f t="shared" si="56"/>
        <v>0.10255574567478748</v>
      </c>
      <c r="L111" s="18">
        <f>IF(ISNUMBER(J111), $B118 * K111, "")</f>
        <v>10255.574567478749</v>
      </c>
      <c r="M111" s="31">
        <v>40074000</v>
      </c>
      <c r="N111" s="32">
        <f t="shared" si="57"/>
        <v>8.840544284201092E-2</v>
      </c>
      <c r="O111" s="18">
        <f>IF(ISNUMBER(M111), $B118 * N111, "")</f>
        <v>8840.5442842010925</v>
      </c>
      <c r="Q111" s="245"/>
      <c r="R111" s="245"/>
      <c r="S111" s="245"/>
    </row>
    <row r="112" spans="1:19" ht="17.25" thickBot="1">
      <c r="A112" s="163" t="s">
        <v>54</v>
      </c>
      <c r="B112" s="128">
        <v>228</v>
      </c>
      <c r="C112" s="78">
        <v>-5.7851239700000001E-2</v>
      </c>
      <c r="D112" s="20">
        <v>238</v>
      </c>
      <c r="E112" s="21">
        <f t="shared" si="54"/>
        <v>4.3859649122807015E-2</v>
      </c>
      <c r="F112" s="22">
        <f>IF(ISNUMBER(D112), $B118 * E112, "")</f>
        <v>4385.9649122807014</v>
      </c>
      <c r="G112" s="30">
        <v>237</v>
      </c>
      <c r="H112" s="21">
        <f t="shared" si="55"/>
        <v>3.9473684210526314E-2</v>
      </c>
      <c r="I112" s="105">
        <f>IF(ISNUMBER(G112), $B118 * H112, "")</f>
        <v>3947.3684210526312</v>
      </c>
      <c r="J112" s="20">
        <v>246</v>
      </c>
      <c r="K112" s="21">
        <f t="shared" si="56"/>
        <v>7.8947368421052627E-2</v>
      </c>
      <c r="L112" s="22">
        <f>IF(ISNUMBER(J112), $B118 * K112, "")</f>
        <v>7894.7368421052624</v>
      </c>
      <c r="M112" s="30">
        <v>237</v>
      </c>
      <c r="N112" s="21">
        <f t="shared" si="57"/>
        <v>3.9473684210526314E-2</v>
      </c>
      <c r="O112" s="22">
        <f>IF(ISNUMBER(M112), $B118 * N112, "")</f>
        <v>3947.3684210526312</v>
      </c>
      <c r="Q112" s="245"/>
      <c r="R112" s="245"/>
      <c r="S112" s="245"/>
    </row>
    <row r="113" spans="1:19" ht="17.25" thickBot="1">
      <c r="A113" s="162" t="s">
        <v>92</v>
      </c>
      <c r="B113" s="129">
        <v>946</v>
      </c>
      <c r="C113" s="80">
        <v>-5.8706467700000001E-2</v>
      </c>
      <c r="D113" s="106">
        <v>976</v>
      </c>
      <c r="E113" s="107">
        <f>IF(ISNUMBER(D113), (D113 - $B113) / $B113, "")</f>
        <v>3.1712473572938688E-2</v>
      </c>
      <c r="F113" s="108">
        <f>IF(ISNUMBER(D113), $B118 * E113, "")</f>
        <v>3171.2473572938688</v>
      </c>
      <c r="G113" s="109">
        <v>988</v>
      </c>
      <c r="H113" s="107">
        <f>IF(ISNUMBER(G113), (G113 - $B113) / $B113, "")</f>
        <v>4.4397463002114168E-2</v>
      </c>
      <c r="I113" s="110">
        <f>IF(ISNUMBER(G113), $B118 * H113, "")</f>
        <v>4439.7463002114164</v>
      </c>
      <c r="J113" s="106">
        <v>1010</v>
      </c>
      <c r="K113" s="107">
        <f>IF(ISNUMBER(J113), (J113 - $B113) / $B113, "")</f>
        <v>6.765327695560254E-2</v>
      </c>
      <c r="L113" s="108">
        <f>IF(ISNUMBER(J113), $B118 * K113, "")</f>
        <v>6765.3276955602541</v>
      </c>
      <c r="M113" s="109">
        <v>986</v>
      </c>
      <c r="N113" s="107">
        <f>IF(ISNUMBER(M113), (M113 - $B113) / $B113, "")</f>
        <v>4.2283298097251586E-2</v>
      </c>
      <c r="O113" s="108">
        <f>IF(ISNUMBER(M113), $B118 * N113, "")</f>
        <v>4228.3298097251582</v>
      </c>
      <c r="Q113" s="235"/>
      <c r="R113" s="235"/>
      <c r="S113" s="235"/>
    </row>
    <row r="114" spans="1:19" ht="17.25" thickBot="1">
      <c r="A114" s="162" t="s">
        <v>138</v>
      </c>
      <c r="B114" s="126">
        <v>23680</v>
      </c>
      <c r="C114" s="77">
        <v>-6.0690202300000003E-2</v>
      </c>
      <c r="D114" s="15">
        <v>24130</v>
      </c>
      <c r="E114" s="32">
        <f t="shared" ref="E114:E117" si="58">IF(ISNUMBER(D114), (D114 - $B114) / $B114, "")</f>
        <v>1.9003378378378379E-2</v>
      </c>
      <c r="F114" s="18">
        <f>IF(ISNUMBER(D114), $B118 * E114, "")</f>
        <v>1900.3378378378379</v>
      </c>
      <c r="G114" s="31">
        <v>24370</v>
      </c>
      <c r="H114" s="32">
        <f t="shared" ref="H114:H117" si="59">IF(ISNUMBER(G114), (G114 - $B114) / $B114, "")</f>
        <v>2.9138513513513514E-2</v>
      </c>
      <c r="I114" s="101">
        <f>IF(ISNUMBER(G114), $B118 * H114, "")</f>
        <v>2913.8513513513512</v>
      </c>
      <c r="J114" s="15">
        <v>25320</v>
      </c>
      <c r="K114" s="32">
        <f t="shared" ref="K114:K117" si="60">IF(ISNUMBER(J114), (J114 - $B114) / $B114, "")</f>
        <v>6.9256756756756757E-2</v>
      </c>
      <c r="L114" s="18">
        <f>IF(ISNUMBER(J114), $B118 * K114, "")</f>
        <v>6925.6756756756758</v>
      </c>
      <c r="M114" s="31">
        <v>24780</v>
      </c>
      <c r="N114" s="32">
        <f t="shared" ref="N114:N117" si="61">IF(ISNUMBER(M114), (M114 - $B114) / $B114, "")</f>
        <v>4.64527027027027E-2</v>
      </c>
      <c r="O114" s="18">
        <f>IF(ISNUMBER(M114), $B118 * N114, "")</f>
        <v>4645.27027027027</v>
      </c>
      <c r="Q114" s="235"/>
      <c r="R114" s="235"/>
      <c r="S114" s="235"/>
    </row>
    <row r="115" spans="1:19" ht="17.25" thickBot="1">
      <c r="A115" s="162" t="s">
        <v>78</v>
      </c>
      <c r="B115" s="126">
        <v>649200</v>
      </c>
      <c r="C115" s="77">
        <v>-6.3878875299999999E-2</v>
      </c>
      <c r="D115" s="15">
        <v>668800</v>
      </c>
      <c r="E115" s="32">
        <f t="shared" si="58"/>
        <v>3.0191004313000615E-2</v>
      </c>
      <c r="F115" s="18">
        <f>IF(ISNUMBER(D115), $B118 * E115, "")</f>
        <v>3019.1004313000617</v>
      </c>
      <c r="G115" s="31">
        <v>674500</v>
      </c>
      <c r="H115" s="32">
        <f t="shared" si="59"/>
        <v>3.8971041281577329E-2</v>
      </c>
      <c r="I115" s="101">
        <f>IF(ISNUMBER(G115), $B118 * H115, "")</f>
        <v>3897.1041281577327</v>
      </c>
      <c r="J115" s="15">
        <v>702000</v>
      </c>
      <c r="K115" s="32">
        <f t="shared" si="60"/>
        <v>8.1330868761552683E-2</v>
      </c>
      <c r="L115" s="18">
        <f>IF(ISNUMBER(J115), $B118 * K115, "")</f>
        <v>8133.0868761552683</v>
      </c>
      <c r="M115" s="31">
        <v>685800</v>
      </c>
      <c r="N115" s="32">
        <f t="shared" si="61"/>
        <v>5.6377079482439925E-2</v>
      </c>
      <c r="O115" s="18">
        <f>IF(ISNUMBER(M115), $B118 * N115, "")</f>
        <v>5637.7079482439922</v>
      </c>
      <c r="Q115" s="235"/>
      <c r="R115" s="235"/>
      <c r="S115" s="235"/>
    </row>
    <row r="116" spans="1:19">
      <c r="A116" s="162" t="s">
        <v>184</v>
      </c>
      <c r="B116" s="126">
        <v>1295</v>
      </c>
      <c r="C116" s="77">
        <v>-6.4981949499999997E-2</v>
      </c>
      <c r="D116" s="15">
        <v>1345</v>
      </c>
      <c r="E116" s="32">
        <f t="shared" si="58"/>
        <v>3.8610038610038609E-2</v>
      </c>
      <c r="F116" s="18">
        <f>IF(ISNUMBER(D116), $B118 * E116, "")</f>
        <v>3861.0038610038609</v>
      </c>
      <c r="G116" s="31">
        <v>1375</v>
      </c>
      <c r="H116" s="32">
        <f t="shared" si="59"/>
        <v>6.1776061776061778E-2</v>
      </c>
      <c r="I116" s="101">
        <f>IF(ISNUMBER(G116), $B118 * H116, "")</f>
        <v>6177.6061776061779</v>
      </c>
      <c r="J116" s="15">
        <v>1400</v>
      </c>
      <c r="K116" s="32">
        <f t="shared" si="60"/>
        <v>8.1081081081081086E-2</v>
      </c>
      <c r="L116" s="18">
        <f>IF(ISNUMBER(J116), $B118 * K116, "")</f>
        <v>8108.1081081081084</v>
      </c>
      <c r="M116" s="31">
        <v>1360</v>
      </c>
      <c r="N116" s="32">
        <f t="shared" si="61"/>
        <v>5.019305019305019E-2</v>
      </c>
      <c r="O116" s="18">
        <f>IF(ISNUMBER(M116), $B118 * N116, "")</f>
        <v>5019.3050193050194</v>
      </c>
      <c r="Q116" s="224"/>
      <c r="R116" s="225"/>
      <c r="S116" s="226"/>
    </row>
    <row r="117" spans="1:19" ht="17.25" thickBot="1">
      <c r="A117" s="130" t="s">
        <v>90</v>
      </c>
      <c r="B117" s="131">
        <v>179400</v>
      </c>
      <c r="C117" s="79">
        <v>-6.9743323800000007E-2</v>
      </c>
      <c r="D117" s="24">
        <v>189050</v>
      </c>
      <c r="E117" s="25">
        <f t="shared" si="58"/>
        <v>5.3790412486064657E-2</v>
      </c>
      <c r="F117" s="104">
        <f>IF(ISNUMBER(D117), $B118 * E117, "")</f>
        <v>5379.0412486064661</v>
      </c>
      <c r="G117" s="102">
        <v>189200</v>
      </c>
      <c r="H117" s="25">
        <f t="shared" si="59"/>
        <v>5.4626532887402456E-2</v>
      </c>
      <c r="I117" s="103">
        <f>IF(ISNUMBER(G117), $B118 * H117, "")</f>
        <v>5462.6532887402454</v>
      </c>
      <c r="J117" s="24">
        <v>191450</v>
      </c>
      <c r="K117" s="25">
        <f t="shared" si="60"/>
        <v>6.7168338907469344E-2</v>
      </c>
      <c r="L117" s="104">
        <f>IF(ISNUMBER(J117), $B118 * K117, "")</f>
        <v>6716.8338907469342</v>
      </c>
      <c r="M117" s="102">
        <v>188000</v>
      </c>
      <c r="N117" s="25">
        <f t="shared" si="61"/>
        <v>4.7937569676700112E-2</v>
      </c>
      <c r="O117" s="104">
        <f>IF(ISNUMBER(M117), $B118 * N117, "")</f>
        <v>4793.7569676700114</v>
      </c>
      <c r="Q117" s="227"/>
      <c r="R117" s="228"/>
      <c r="S117" s="229"/>
    </row>
    <row r="118" spans="1:19" ht="17.25" thickBot="1">
      <c r="A118" s="132" t="s">
        <v>300</v>
      </c>
      <c r="B118" s="288">
        <f>$B$37</f>
        <v>100000</v>
      </c>
      <c r="C118" s="289"/>
      <c r="D118" s="26" t="s">
        <v>301</v>
      </c>
      <c r="E118" s="27">
        <f>IF(COUNT(E98:E117), SUM(E98:E117) / COUNT(E98:E117), 0)</f>
        <v>4.0106434289570857E-2</v>
      </c>
      <c r="F118" s="28">
        <f>SUM(F98:F117)</f>
        <v>80212.868579141708</v>
      </c>
      <c r="G118" s="26" t="s">
        <v>301</v>
      </c>
      <c r="H118" s="27">
        <f>IF(COUNT(H98:H117), SUM(H98:H117) / COUNT(H98:H117), 0)</f>
        <v>5.656392768307681E-2</v>
      </c>
      <c r="I118" s="28">
        <f>SUM(I98:I117)</f>
        <v>113127.85536615363</v>
      </c>
      <c r="J118" s="26" t="s">
        <v>301</v>
      </c>
      <c r="K118" s="27">
        <f>IF(COUNT(K98:K117), SUM(K98:K117) / COUNT(K98:K117), 0)</f>
        <v>7.639247512214406E-2</v>
      </c>
      <c r="L118" s="28">
        <f>SUM(L98:L117)</f>
        <v>152784.95024428811</v>
      </c>
      <c r="M118" s="26" t="s">
        <v>301</v>
      </c>
      <c r="N118" s="27">
        <f>IF(COUNT(N98:N117), SUM(N98:N117) / COUNT(N98:N117), 0)</f>
        <v>5.7054474101317018E-2</v>
      </c>
      <c r="O118" s="28">
        <f>SUM(O98:O117)</f>
        <v>114108.94820263403</v>
      </c>
      <c r="Q118" s="230"/>
      <c r="R118" s="231"/>
      <c r="S118" s="232"/>
    </row>
    <row r="120" spans="1:19" ht="17.25" thickBot="1"/>
    <row r="121" spans="1:19" ht="17.25" thickBot="1">
      <c r="A121" s="246" t="s">
        <v>288</v>
      </c>
      <c r="B121" s="247"/>
      <c r="C121" s="247"/>
      <c r="D121" s="247"/>
      <c r="E121" s="247"/>
      <c r="F121" s="247"/>
      <c r="G121" s="247"/>
      <c r="H121" s="247"/>
      <c r="I121" s="247"/>
      <c r="J121" s="247"/>
      <c r="K121" s="247"/>
      <c r="L121" s="247"/>
      <c r="M121" s="247"/>
      <c r="N121" s="247"/>
      <c r="O121" s="248"/>
      <c r="Q121" s="245"/>
      <c r="R121" s="245"/>
      <c r="S121" s="245"/>
    </row>
    <row r="122" spans="1:19" ht="17.25" thickBot="1">
      <c r="A122" s="192" t="s">
        <v>297</v>
      </c>
      <c r="B122" s="246" t="s">
        <v>49</v>
      </c>
      <c r="C122" s="248"/>
      <c r="D122" s="246" t="s">
        <v>58</v>
      </c>
      <c r="E122" s="247"/>
      <c r="F122" s="248"/>
      <c r="G122" s="249">
        <f>_xlfn.IFNA(VLOOKUP(B122, 현재가테이블!$B$2:$D$200, 2, FALSE), "-")</f>
        <v>45335000</v>
      </c>
      <c r="H122" s="250"/>
      <c r="I122" s="251"/>
      <c r="J122" s="246" t="s">
        <v>59</v>
      </c>
      <c r="K122" s="247"/>
      <c r="L122" s="248"/>
      <c r="M122" s="252">
        <f>_xlfn.IFNA(VLOOKUP(B122, 현재가테이블!$B$2:$D$200, 3, FALSE), "-")</f>
        <v>-2.27209037E-2</v>
      </c>
      <c r="N122" s="253"/>
      <c r="O122" s="254"/>
      <c r="Q122" s="245"/>
      <c r="R122" s="245"/>
      <c r="S122" s="245"/>
    </row>
    <row r="123" spans="1:19" ht="17.25" thickBot="1">
      <c r="A123" s="290" t="s">
        <v>55</v>
      </c>
      <c r="B123" s="286" t="str">
        <f>TEXT($G$1, "[$-ko-KR]yyyy-mm-dd(ddd) ") &amp; "오전 00:00"</f>
        <v>2021-06-09(수) 오전 00:00</v>
      </c>
      <c r="C123" s="287"/>
      <c r="D123" s="259" t="str">
        <f>TEXT($G$1, "[$-ko-KR]yyyy-mm-dd(ddd) ") &amp; "오후 14:00"</f>
        <v>2021-06-09(수) 오후 14:00</v>
      </c>
      <c r="E123" s="260"/>
      <c r="F123" s="261"/>
      <c r="G123" s="259" t="str">
        <f>TEXT($G$1, "[$-ko-KR]yyyy-mm-dd(ddd) ") &amp; "오후 19:00"</f>
        <v>2021-06-09(수) 오후 19:00</v>
      </c>
      <c r="H123" s="260"/>
      <c r="I123" s="261"/>
      <c r="J123" s="259" t="str">
        <f>TEXT($G$1, "[$-ko-KR]yyyy-mm-dd(ddd) ") &amp; "오후 21:00"</f>
        <v>2021-06-09(수) 오후 21:00</v>
      </c>
      <c r="K123" s="260"/>
      <c r="L123" s="261"/>
      <c r="M123" s="259" t="str">
        <f>TEXT($G$1+1, "[$-ko-KR]yyyy-mm-dd(ddd) ") &amp; "오전 00:00"</f>
        <v>2021-06-10(목) 오전 00:00</v>
      </c>
      <c r="N123" s="260"/>
      <c r="O123" s="261"/>
      <c r="Q123" s="245"/>
      <c r="R123" s="245"/>
      <c r="S123" s="245"/>
    </row>
    <row r="124" spans="1:19" ht="17.25" thickBot="1">
      <c r="A124" s="291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93" t="s">
        <v>58</v>
      </c>
      <c r="H124" s="194" t="s">
        <v>298</v>
      </c>
      <c r="I124" s="195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5"/>
      <c r="R124" s="235"/>
      <c r="S124" s="235"/>
    </row>
    <row r="125" spans="1:19" ht="17.25" thickBot="1">
      <c r="A125" s="161" t="s">
        <v>222</v>
      </c>
      <c r="B125" s="124">
        <v>10.1</v>
      </c>
      <c r="C125" s="76">
        <v>-9.0090090100000006E-2</v>
      </c>
      <c r="D125" s="13">
        <v>10.1</v>
      </c>
      <c r="E125" s="14">
        <f>IF(ISNUMBER(D125), (D125 - $B125) / $B125, "")</f>
        <v>0</v>
      </c>
      <c r="F125" s="16">
        <f>IF(ISNUMBER(D125), $B145 * E125, "")</f>
        <v>0</v>
      </c>
      <c r="G125" s="29">
        <v>10.199999999999999</v>
      </c>
      <c r="H125" s="14">
        <f>IF(ISNUMBER(G125), (G125 - $B125) / $B125, "")</f>
        <v>9.9009900990098664E-3</v>
      </c>
      <c r="I125" s="100">
        <f>IF(ISNUMBER(G125), $B145 * H125, "")</f>
        <v>990.09900990098663</v>
      </c>
      <c r="J125" s="13">
        <v>10.4</v>
      </c>
      <c r="K125" s="14">
        <f>IF(ISNUMBER(J125), (J125 - $B125) / $B125, "")</f>
        <v>2.9702970297029774E-2</v>
      </c>
      <c r="L125" s="16">
        <f>IF(ISNUMBER(J125), $B145 * K125, "")</f>
        <v>2970.2970297029774</v>
      </c>
      <c r="M125" s="29">
        <v>10.3</v>
      </c>
      <c r="N125" s="14">
        <f>IF(ISNUMBER(M125), (M125 - $B125) / $B125, "")</f>
        <v>1.980198019801991E-2</v>
      </c>
      <c r="O125" s="16">
        <f>IF(ISNUMBER(M125), $B145 * N125, "")</f>
        <v>1980.198019801991</v>
      </c>
      <c r="Q125" s="245"/>
      <c r="R125" s="245"/>
      <c r="S125" s="245"/>
    </row>
    <row r="126" spans="1:19" ht="17.25" thickBot="1">
      <c r="A126" s="162" t="s">
        <v>65</v>
      </c>
      <c r="B126" s="126">
        <v>31.2</v>
      </c>
      <c r="C126" s="77">
        <v>-0.10086455330000001</v>
      </c>
      <c r="D126" s="15">
        <v>32.200000000000003</v>
      </c>
      <c r="E126" s="32">
        <f t="shared" ref="E126:E129" si="62">IF(ISNUMBER(D126), (D126 - $B126) / $B126, "")</f>
        <v>3.2051282051282166E-2</v>
      </c>
      <c r="F126" s="18">
        <f>IF(ISNUMBER(D126), $B145 * E126, "")</f>
        <v>3205.1282051282165</v>
      </c>
      <c r="G126" s="31">
        <v>32.700000000000003</v>
      </c>
      <c r="H126" s="32">
        <f t="shared" ref="H126:H129" si="63">IF(ISNUMBER(G126), (G126 - $B126) / $B126, "")</f>
        <v>4.8076923076923191E-2</v>
      </c>
      <c r="I126" s="101">
        <f>IF(ISNUMBER(G126), $B145 * H126, "")</f>
        <v>4807.6923076923194</v>
      </c>
      <c r="J126" s="15">
        <v>33.4</v>
      </c>
      <c r="K126" s="32">
        <f t="shared" ref="K126:K129" si="64">IF(ISNUMBER(J126), (J126 - $B126) / $B126, "")</f>
        <v>7.0512820512820498E-2</v>
      </c>
      <c r="L126" s="18">
        <f>IF(ISNUMBER(J126), $B145 * K126, "")</f>
        <v>7051.2820512820499</v>
      </c>
      <c r="M126" s="31">
        <v>32.299999999999997</v>
      </c>
      <c r="N126" s="32">
        <f t="shared" ref="N126:N129" si="65">IF(ISNUMBER(M126), (M126 - $B126) / $B126, "")</f>
        <v>3.5256410256410187E-2</v>
      </c>
      <c r="O126" s="18">
        <f>IF(ISNUMBER(M126), $B145 * N126, "")</f>
        <v>3525.6410256410186</v>
      </c>
      <c r="Q126" s="245"/>
      <c r="R126" s="245"/>
      <c r="S126" s="245"/>
    </row>
    <row r="127" spans="1:19" ht="17.25" thickBot="1">
      <c r="A127" s="162" t="s">
        <v>152</v>
      </c>
      <c r="B127" s="126">
        <v>17.2</v>
      </c>
      <c r="C127" s="77">
        <v>-0.10416666669999999</v>
      </c>
      <c r="D127" s="15">
        <v>18.2</v>
      </c>
      <c r="E127" s="32">
        <f t="shared" si="62"/>
        <v>5.8139534883720929E-2</v>
      </c>
      <c r="F127" s="18">
        <f>IF(ISNUMBER(D127), $B145 * E127, "")</f>
        <v>5813.9534883720926</v>
      </c>
      <c r="G127" s="31">
        <v>18.3</v>
      </c>
      <c r="H127" s="32">
        <f t="shared" si="63"/>
        <v>6.3953488372093109E-2</v>
      </c>
      <c r="I127" s="101">
        <f>IF(ISNUMBER(G127), $B145 * H127, "")</f>
        <v>6395.3488372093107</v>
      </c>
      <c r="J127" s="15">
        <v>18.899999999999999</v>
      </c>
      <c r="K127" s="32">
        <f t="shared" si="64"/>
        <v>9.8837209302325549E-2</v>
      </c>
      <c r="L127" s="18">
        <f>IF(ISNUMBER(J127), $B145 * K127, "")</f>
        <v>9883.7209302325555</v>
      </c>
      <c r="M127" s="31">
        <v>18.399999999999999</v>
      </c>
      <c r="N127" s="32">
        <f t="shared" si="65"/>
        <v>6.9767441860465074E-2</v>
      </c>
      <c r="O127" s="18">
        <f>IF(ISNUMBER(M127), $B145 * N127, "")</f>
        <v>6976.7441860465078</v>
      </c>
      <c r="Q127" s="235"/>
      <c r="R127" s="235"/>
      <c r="S127" s="235"/>
    </row>
    <row r="128" spans="1:19" ht="17.25" thickBot="1">
      <c r="A128" s="162" t="s">
        <v>168</v>
      </c>
      <c r="B128" s="126">
        <v>88.2</v>
      </c>
      <c r="C128" s="77">
        <v>-0.1108870968</v>
      </c>
      <c r="D128" s="15">
        <v>89.5</v>
      </c>
      <c r="E128" s="32">
        <f t="shared" si="62"/>
        <v>1.4739229024943278E-2</v>
      </c>
      <c r="F128" s="18">
        <f>IF(ISNUMBER(D128), $B145 * E128, "")</f>
        <v>1473.9229024943279</v>
      </c>
      <c r="G128" s="31">
        <v>90.2</v>
      </c>
      <c r="H128" s="32">
        <f t="shared" si="63"/>
        <v>2.2675736961451247E-2</v>
      </c>
      <c r="I128" s="101">
        <f>IF(ISNUMBER(G128), $B145 * H128, "")</f>
        <v>2267.5736961451248</v>
      </c>
      <c r="J128" s="15">
        <v>93.5</v>
      </c>
      <c r="K128" s="32">
        <f t="shared" si="64"/>
        <v>6.009070294784577E-2</v>
      </c>
      <c r="L128" s="18">
        <f>IF(ISNUMBER(J128), $B145 * K128, "")</f>
        <v>6009.0702947845766</v>
      </c>
      <c r="M128" s="31">
        <v>91.8</v>
      </c>
      <c r="N128" s="32">
        <f t="shared" si="65"/>
        <v>4.0816326530612179E-2</v>
      </c>
      <c r="O128" s="18">
        <f>IF(ISNUMBER(M128), $B145 * N128, "")</f>
        <v>4081.6326530612178</v>
      </c>
      <c r="Q128" s="235"/>
      <c r="R128" s="235"/>
      <c r="S128" s="235"/>
    </row>
    <row r="129" spans="1:19" ht="17.25" thickBot="1">
      <c r="A129" s="163" t="s">
        <v>218</v>
      </c>
      <c r="B129" s="128">
        <v>14.2</v>
      </c>
      <c r="C129" s="78">
        <v>-0.1125</v>
      </c>
      <c r="D129" s="20">
        <v>14.2</v>
      </c>
      <c r="E129" s="21">
        <f t="shared" si="62"/>
        <v>0</v>
      </c>
      <c r="F129" s="22">
        <f>IF(ISNUMBER(D129), $B145 * E129, "")</f>
        <v>0</v>
      </c>
      <c r="G129" s="30">
        <v>14.3</v>
      </c>
      <c r="H129" s="21">
        <f t="shared" si="63"/>
        <v>7.0422535211268613E-3</v>
      </c>
      <c r="I129" s="105">
        <f>IF(ISNUMBER(G129), $B145 * H129, "")</f>
        <v>704.2253521126861</v>
      </c>
      <c r="J129" s="20">
        <v>14.6</v>
      </c>
      <c r="K129" s="21">
        <f t="shared" si="64"/>
        <v>2.8169014084507067E-2</v>
      </c>
      <c r="L129" s="22">
        <f>IF(ISNUMBER(J129), $B145 * K129, "")</f>
        <v>2816.9014084507066</v>
      </c>
      <c r="M129" s="30">
        <v>14.4</v>
      </c>
      <c r="N129" s="21">
        <f t="shared" si="65"/>
        <v>1.4084507042253596E-2</v>
      </c>
      <c r="O129" s="22">
        <f>IF(ISNUMBER(M129), $B145 * N129, "")</f>
        <v>1408.4507042253597</v>
      </c>
      <c r="Q129" s="235"/>
      <c r="R129" s="235"/>
      <c r="S129" s="235"/>
    </row>
    <row r="130" spans="1:19" ht="17.25" thickBot="1">
      <c r="A130" s="162" t="s">
        <v>134</v>
      </c>
      <c r="B130" s="129">
        <v>82.2</v>
      </c>
      <c r="C130" s="80">
        <v>-0.1132686084</v>
      </c>
      <c r="D130" s="106">
        <v>81.2</v>
      </c>
      <c r="E130" s="107">
        <f>IF(ISNUMBER(D130), (D130 - $B130) / $B130, "")</f>
        <v>-1.21654501216545E-2</v>
      </c>
      <c r="F130" s="108">
        <f>IF(ISNUMBER(D130), $B145 * E130, "")</f>
        <v>-1216.5450121654501</v>
      </c>
      <c r="G130" s="109">
        <v>82.4</v>
      </c>
      <c r="H130" s="107">
        <f>IF(ISNUMBER(G130), (G130 - $B130) / $B130, "")</f>
        <v>2.4330900243309346E-3</v>
      </c>
      <c r="I130" s="110">
        <f>IF(ISNUMBER(G130), $B145 * H130, "")</f>
        <v>243.30900243309347</v>
      </c>
      <c r="J130" s="106">
        <v>85.1</v>
      </c>
      <c r="K130" s="107">
        <f>IF(ISNUMBER(J130), (J130 - $B130) / $B130, "")</f>
        <v>3.5279805352797948E-2</v>
      </c>
      <c r="L130" s="108">
        <f>IF(ISNUMBER(J130), $B145 * K130, "")</f>
        <v>3527.9805352797948</v>
      </c>
      <c r="M130" s="109">
        <v>84.4</v>
      </c>
      <c r="N130" s="107">
        <f>IF(ISNUMBER(M130), (M130 - $B130) / $B130, "")</f>
        <v>2.6763990267639936E-2</v>
      </c>
      <c r="O130" s="108">
        <f>IF(ISNUMBER(M130), $B145 * N130, "")</f>
        <v>2676.3990267639938</v>
      </c>
      <c r="Q130" s="235"/>
      <c r="R130" s="235"/>
      <c r="S130" s="235"/>
    </row>
    <row r="131" spans="1:19" ht="17.25" thickBot="1">
      <c r="A131" s="162" t="s">
        <v>126</v>
      </c>
      <c r="B131" s="126">
        <v>24.1</v>
      </c>
      <c r="C131" s="77">
        <v>-0.1172161172</v>
      </c>
      <c r="D131" s="15">
        <v>24.5</v>
      </c>
      <c r="E131" s="32">
        <f t="shared" ref="E131:E134" si="66">IF(ISNUMBER(D131), (D131 - $B131) / $B131, "")</f>
        <v>1.6597510373443924E-2</v>
      </c>
      <c r="F131" s="18">
        <f>IF(ISNUMBER(D131), $B145 * E131, "")</f>
        <v>1659.7510373443924</v>
      </c>
      <c r="G131" s="31">
        <v>24.7</v>
      </c>
      <c r="H131" s="32">
        <f t="shared" ref="H131:H134" si="67">IF(ISNUMBER(G131), (G131 - $B131) / $B131, "")</f>
        <v>2.4896265560165887E-2</v>
      </c>
      <c r="I131" s="101">
        <f>IF(ISNUMBER(G131), $B145 * H131, "")</f>
        <v>2489.6265560165884</v>
      </c>
      <c r="J131" s="15">
        <v>25.6</v>
      </c>
      <c r="K131" s="32">
        <f t="shared" ref="K131:K134" si="68">IF(ISNUMBER(J131), (J131 - $B131) / $B131, "")</f>
        <v>6.2240663900414932E-2</v>
      </c>
      <c r="L131" s="18">
        <f>IF(ISNUMBER(J131), $B145 * K131, "")</f>
        <v>6224.0663900414929</v>
      </c>
      <c r="M131" s="31">
        <v>25.1</v>
      </c>
      <c r="N131" s="32">
        <f t="shared" ref="N131:N134" si="69">IF(ISNUMBER(M131), (M131 - $B131) / $B131, "")</f>
        <v>4.1493775933609957E-2</v>
      </c>
      <c r="O131" s="18">
        <f>IF(ISNUMBER(M131), $B145 * N131, "")</f>
        <v>4149.3775933609959</v>
      </c>
      <c r="Q131" s="235"/>
      <c r="R131" s="235"/>
      <c r="S131" s="235"/>
    </row>
    <row r="132" spans="1:19" ht="17.25" thickBot="1">
      <c r="A132" s="162" t="s">
        <v>264</v>
      </c>
      <c r="B132" s="126">
        <v>71.8</v>
      </c>
      <c r="C132" s="77">
        <v>-0.12009803920000001</v>
      </c>
      <c r="D132" s="15">
        <v>73.099999999999994</v>
      </c>
      <c r="E132" s="32">
        <f t="shared" si="66"/>
        <v>1.8105849582172664E-2</v>
      </c>
      <c r="F132" s="18">
        <f>IF(ISNUMBER(D132), $B145 * E132, "")</f>
        <v>1810.5849582172664</v>
      </c>
      <c r="G132" s="31">
        <v>74.8</v>
      </c>
      <c r="H132" s="32">
        <f t="shared" si="67"/>
        <v>4.1782729805013928E-2</v>
      </c>
      <c r="I132" s="101">
        <f>IF(ISNUMBER(G132), $B145 * H132, "")</f>
        <v>4178.2729805013932</v>
      </c>
      <c r="J132" s="15">
        <v>77.5</v>
      </c>
      <c r="K132" s="32">
        <f t="shared" si="68"/>
        <v>7.9387186629526499E-2</v>
      </c>
      <c r="L132" s="18">
        <f>IF(ISNUMBER(J132), $B145 * K132, "")</f>
        <v>7938.7186629526495</v>
      </c>
      <c r="M132" s="31">
        <v>76.2</v>
      </c>
      <c r="N132" s="32">
        <f t="shared" si="69"/>
        <v>6.1281337047353841E-2</v>
      </c>
      <c r="O132" s="18">
        <f>IF(ISNUMBER(M132), $B145 * N132, "")</f>
        <v>6128.1337047353845</v>
      </c>
      <c r="Q132" s="235"/>
      <c r="R132" s="235"/>
      <c r="S132" s="235"/>
    </row>
    <row r="133" spans="1:19" ht="17.25" thickBot="1">
      <c r="A133" s="162" t="s">
        <v>254</v>
      </c>
      <c r="B133" s="126">
        <v>42.2</v>
      </c>
      <c r="C133" s="77">
        <v>-0.1226611227</v>
      </c>
      <c r="D133" s="15">
        <v>42.8</v>
      </c>
      <c r="E133" s="32">
        <f t="shared" si="66"/>
        <v>1.421800947867285E-2</v>
      </c>
      <c r="F133" s="18">
        <f>IF(ISNUMBER(D133), $B145 * E133, "")</f>
        <v>1421.800947867285</v>
      </c>
      <c r="G133" s="31">
        <v>43.4</v>
      </c>
      <c r="H133" s="32">
        <f t="shared" si="67"/>
        <v>2.843601895734587E-2</v>
      </c>
      <c r="I133" s="101">
        <f>IF(ISNUMBER(G133), $B145 * H133, "")</f>
        <v>2843.6018957345868</v>
      </c>
      <c r="J133" s="15">
        <v>44.2</v>
      </c>
      <c r="K133" s="32">
        <f t="shared" si="68"/>
        <v>4.7393364928909949E-2</v>
      </c>
      <c r="L133" s="18">
        <f>IF(ISNUMBER(J133), $B145 * K133, "")</f>
        <v>4739.336492890995</v>
      </c>
      <c r="M133" s="31">
        <v>44</v>
      </c>
      <c r="N133" s="32">
        <f t="shared" si="69"/>
        <v>4.2654028436018884E-2</v>
      </c>
      <c r="O133" s="18">
        <f>IF(ISNUMBER(M133), $B145 * N133, "")</f>
        <v>4265.402843601888</v>
      </c>
      <c r="Q133" s="33"/>
      <c r="R133" s="33"/>
    </row>
    <row r="134" spans="1:19" ht="17.25" thickBot="1">
      <c r="A134" s="130" t="s">
        <v>266</v>
      </c>
      <c r="B134" s="131">
        <v>48.3</v>
      </c>
      <c r="C134" s="79">
        <v>-0.12658227850000001</v>
      </c>
      <c r="D134" s="24">
        <v>49.3</v>
      </c>
      <c r="E134" s="25">
        <f t="shared" si="66"/>
        <v>2.0703933747412008E-2</v>
      </c>
      <c r="F134" s="104">
        <f>IF(ISNUMBER(D134), $B145 * E134, "")</f>
        <v>2070.3933747412007</v>
      </c>
      <c r="G134" s="102">
        <v>50.3</v>
      </c>
      <c r="H134" s="25">
        <f t="shared" si="67"/>
        <v>4.1407867494824016E-2</v>
      </c>
      <c r="I134" s="103">
        <f>IF(ISNUMBER(G134), $B145 * H134, "")</f>
        <v>4140.7867494824013</v>
      </c>
      <c r="J134" s="24">
        <v>51.1</v>
      </c>
      <c r="K134" s="25">
        <f t="shared" si="68"/>
        <v>5.7971014492753714E-2</v>
      </c>
      <c r="L134" s="104">
        <f>IF(ISNUMBER(J134), $B145 * K134, "")</f>
        <v>5797.1014492753711</v>
      </c>
      <c r="M134" s="102">
        <v>51</v>
      </c>
      <c r="N134" s="25">
        <f t="shared" si="69"/>
        <v>5.5900621118012486E-2</v>
      </c>
      <c r="O134" s="104">
        <f>IF(ISNUMBER(M134), $B145 * N134, "")</f>
        <v>5590.0621118012486</v>
      </c>
      <c r="Q134" s="236"/>
      <c r="R134" s="237"/>
      <c r="S134" s="238"/>
    </row>
    <row r="135" spans="1:19">
      <c r="A135" s="161" t="s">
        <v>260</v>
      </c>
      <c r="B135" s="124">
        <v>59.7</v>
      </c>
      <c r="C135" s="76">
        <v>-0.13352685049999999</v>
      </c>
      <c r="D135" s="13">
        <v>59.9</v>
      </c>
      <c r="E135" s="14">
        <f>IF(ISNUMBER(D135), (D135 - $B135) / $B135, "")</f>
        <v>3.3500837520937308E-3</v>
      </c>
      <c r="F135" s="16">
        <f>IF(ISNUMBER(D135), $B145 * E135, "")</f>
        <v>335.00837520937307</v>
      </c>
      <c r="G135" s="29">
        <v>60.5</v>
      </c>
      <c r="H135" s="14">
        <f>IF(ISNUMBER(G135), (G135 - $B135) / $B135, "")</f>
        <v>1.3400335008375161E-2</v>
      </c>
      <c r="I135" s="100">
        <f>IF(ISNUMBER(G135), $B145 * H135, "")</f>
        <v>1340.0335008375162</v>
      </c>
      <c r="J135" s="13">
        <v>61.7</v>
      </c>
      <c r="K135" s="14">
        <f>IF(ISNUMBER(J135), (J135 - $B135) / $B135, "")</f>
        <v>3.350083752093802E-2</v>
      </c>
      <c r="L135" s="16">
        <f>IF(ISNUMBER(J135), $B145 * K135, "")</f>
        <v>3350.0837520938021</v>
      </c>
      <c r="M135" s="29">
        <v>60.8</v>
      </c>
      <c r="N135" s="14">
        <f>IF(ISNUMBER(M135), (M135 - $B135) / $B135, "")</f>
        <v>1.8425460636515817E-2</v>
      </c>
      <c r="O135" s="16">
        <f>IF(ISNUMBER(M135), $B145 * N135, "")</f>
        <v>1842.5460636515818</v>
      </c>
      <c r="Q135" s="239"/>
      <c r="R135" s="240"/>
      <c r="S135" s="241"/>
    </row>
    <row r="136" spans="1:19" ht="17.25" thickBot="1">
      <c r="A136" s="162" t="s">
        <v>268</v>
      </c>
      <c r="B136" s="126">
        <v>43.3</v>
      </c>
      <c r="C136" s="77">
        <v>-0.13400000000000001</v>
      </c>
      <c r="D136" s="15">
        <v>43.8</v>
      </c>
      <c r="E136" s="32">
        <f t="shared" ref="E136:E139" si="70">IF(ISNUMBER(D136), (D136 - $B136) / $B136, "")</f>
        <v>1.1547344110854504E-2</v>
      </c>
      <c r="F136" s="18">
        <f>IF(ISNUMBER(D136), $B145 * E136, "")</f>
        <v>1154.7344110854503</v>
      </c>
      <c r="G136" s="31">
        <v>44.4</v>
      </c>
      <c r="H136" s="32">
        <f t="shared" ref="H136:H139" si="71">IF(ISNUMBER(G136), (G136 - $B136) / $B136, "")</f>
        <v>2.5404157043879941E-2</v>
      </c>
      <c r="I136" s="101">
        <f>IF(ISNUMBER(G136), $B145 * H136, "")</f>
        <v>2540.4157043879941</v>
      </c>
      <c r="J136" s="15">
        <v>45.1</v>
      </c>
      <c r="K136" s="32">
        <f t="shared" ref="K136:K139" si="72">IF(ISNUMBER(J136), (J136 - $B136) / $B136, "")</f>
        <v>4.1570438799076313E-2</v>
      </c>
      <c r="L136" s="18">
        <f>IF(ISNUMBER(J136), $B145 * K136, "")</f>
        <v>4157.043879907631</v>
      </c>
      <c r="M136" s="31">
        <v>44.7</v>
      </c>
      <c r="N136" s="32">
        <f t="shared" ref="N136:N139" si="73">IF(ISNUMBER(M136), (M136 - $B136) / $B136, "")</f>
        <v>3.2332563510392744E-2</v>
      </c>
      <c r="O136" s="18">
        <f>IF(ISNUMBER(M136), $B145 * N136, "")</f>
        <v>3233.2563510392743</v>
      </c>
      <c r="Q136" s="242"/>
      <c r="R136" s="243"/>
      <c r="S136" s="244"/>
    </row>
    <row r="137" spans="1:19" ht="17.25" thickBot="1">
      <c r="A137" s="162" t="s">
        <v>214</v>
      </c>
      <c r="B137" s="126">
        <v>11.4</v>
      </c>
      <c r="C137" s="77">
        <v>-0.13636363639999999</v>
      </c>
      <c r="D137" s="15">
        <v>11.6</v>
      </c>
      <c r="E137" s="32">
        <f t="shared" si="70"/>
        <v>1.7543859649122744E-2</v>
      </c>
      <c r="F137" s="18">
        <f>IF(ISNUMBER(D137), $B145 * E137, "")</f>
        <v>1754.3859649122744</v>
      </c>
      <c r="G137" s="31">
        <v>11.8</v>
      </c>
      <c r="H137" s="32">
        <f t="shared" si="71"/>
        <v>3.5087719298245647E-2</v>
      </c>
      <c r="I137" s="101">
        <f>IF(ISNUMBER(G137), $B145 * H137, "")</f>
        <v>3508.7719298245647</v>
      </c>
      <c r="J137" s="15">
        <v>12.1</v>
      </c>
      <c r="K137" s="32">
        <f t="shared" si="72"/>
        <v>6.1403508771929759E-2</v>
      </c>
      <c r="L137" s="18">
        <f>IF(ISNUMBER(J137), $B145 * K137, "")</f>
        <v>6140.3508771929755</v>
      </c>
      <c r="M137" s="31">
        <v>12</v>
      </c>
      <c r="N137" s="32">
        <f t="shared" si="73"/>
        <v>5.263157894736839E-2</v>
      </c>
      <c r="O137" s="18">
        <f>IF(ISNUMBER(M137), $B145 * N137, "")</f>
        <v>5263.1578947368389</v>
      </c>
      <c r="Q137" s="235"/>
      <c r="R137" s="235"/>
      <c r="S137" s="235"/>
    </row>
    <row r="138" spans="1:19" ht="17.25" thickBot="1">
      <c r="A138" s="162" t="s">
        <v>228</v>
      </c>
      <c r="B138" s="126">
        <v>8.98</v>
      </c>
      <c r="C138" s="77">
        <v>-0.13653846150000001</v>
      </c>
      <c r="D138" s="15">
        <v>9.24</v>
      </c>
      <c r="E138" s="32">
        <f t="shared" si="70"/>
        <v>2.8953229398663672E-2</v>
      </c>
      <c r="F138" s="18">
        <f>IF(ISNUMBER(D138), $B145 * E138, "")</f>
        <v>2895.3229398663671</v>
      </c>
      <c r="G138" s="31">
        <v>9.31</v>
      </c>
      <c r="H138" s="32">
        <f t="shared" si="71"/>
        <v>3.6748329621380853E-2</v>
      </c>
      <c r="I138" s="101">
        <f>IF(ISNUMBER(G138), $B145 * H138, "")</f>
        <v>3674.8329621380853</v>
      </c>
      <c r="J138" s="15">
        <v>9.4600000000000009</v>
      </c>
      <c r="K138" s="32">
        <f t="shared" si="72"/>
        <v>5.3452115812917637E-2</v>
      </c>
      <c r="L138" s="18">
        <f>IF(ISNUMBER(J138), $B145 * K138, "")</f>
        <v>5345.2115812917637</v>
      </c>
      <c r="M138" s="31">
        <v>9.48</v>
      </c>
      <c r="N138" s="32">
        <f t="shared" si="73"/>
        <v>5.5679287305122491E-2</v>
      </c>
      <c r="O138" s="18">
        <f>IF(ISNUMBER(M138), $B145 * N138, "")</f>
        <v>5567.9287305122489</v>
      </c>
      <c r="Q138" s="245"/>
      <c r="R138" s="245"/>
      <c r="S138" s="245"/>
    </row>
    <row r="139" spans="1:19" ht="17.25" thickBot="1">
      <c r="A139" s="163" t="s">
        <v>198</v>
      </c>
      <c r="B139" s="128">
        <v>13.6</v>
      </c>
      <c r="C139" s="78">
        <v>-0.13924050630000001</v>
      </c>
      <c r="D139" s="20">
        <v>13.8</v>
      </c>
      <c r="E139" s="21">
        <f t="shared" si="70"/>
        <v>1.4705882352941256E-2</v>
      </c>
      <c r="F139" s="22">
        <f>IF(ISNUMBER(D139), $B145 * E139, "")</f>
        <v>1470.5882352941255</v>
      </c>
      <c r="G139" s="30">
        <v>13.7</v>
      </c>
      <c r="H139" s="21">
        <f t="shared" si="71"/>
        <v>7.3529411764705621E-3</v>
      </c>
      <c r="I139" s="105">
        <f>IF(ISNUMBER(G139), $B145 * H139, "")</f>
        <v>735.29411764705617</v>
      </c>
      <c r="J139" s="20">
        <v>14.1</v>
      </c>
      <c r="K139" s="21">
        <f t="shared" si="72"/>
        <v>3.6764705882352942E-2</v>
      </c>
      <c r="L139" s="22">
        <f>IF(ISNUMBER(J139), $B145 * K139, "")</f>
        <v>3676.4705882352941</v>
      </c>
      <c r="M139" s="30">
        <v>14</v>
      </c>
      <c r="N139" s="21">
        <f t="shared" si="73"/>
        <v>2.941176470588238E-2</v>
      </c>
      <c r="O139" s="22">
        <f>IF(ISNUMBER(M139), $B145 * N139, "")</f>
        <v>2941.1764705882379</v>
      </c>
      <c r="Q139" s="245"/>
      <c r="R139" s="245"/>
      <c r="S139" s="245"/>
    </row>
    <row r="140" spans="1:19" ht="17.25" thickBot="1">
      <c r="A140" s="162" t="s">
        <v>122</v>
      </c>
      <c r="B140" s="129">
        <v>53.9</v>
      </c>
      <c r="C140" s="80">
        <v>-0.1403508772</v>
      </c>
      <c r="D140" s="106">
        <v>55.1</v>
      </c>
      <c r="E140" s="107">
        <f>IF(ISNUMBER(D140), (D140 - $B140) / $B140, "")</f>
        <v>2.2263450834879461E-2</v>
      </c>
      <c r="F140" s="108">
        <f>IF(ISNUMBER(D140), $B145 * E140, "")</f>
        <v>2226.3450834879463</v>
      </c>
      <c r="G140" s="109">
        <v>54.9</v>
      </c>
      <c r="H140" s="107">
        <f>IF(ISNUMBER(G140), (G140 - $B140) / $B140, "")</f>
        <v>1.8552875695732839E-2</v>
      </c>
      <c r="I140" s="110">
        <f>IF(ISNUMBER(G140), $B145 * H140, "")</f>
        <v>1855.2875695732839</v>
      </c>
      <c r="J140" s="106">
        <v>55.6</v>
      </c>
      <c r="K140" s="107">
        <f>IF(ISNUMBER(J140), (J140 - $B140) / $B140, "")</f>
        <v>3.1539888682745876E-2</v>
      </c>
      <c r="L140" s="108">
        <f>IF(ISNUMBER(J140), $B145 * K140, "")</f>
        <v>3153.9888682745877</v>
      </c>
      <c r="M140" s="109">
        <v>55.4</v>
      </c>
      <c r="N140" s="107">
        <f>IF(ISNUMBER(M140), (M140 - $B140) / $B140, "")</f>
        <v>2.7829313543599257E-2</v>
      </c>
      <c r="O140" s="108">
        <f>IF(ISNUMBER(M140), $B145 * N140, "")</f>
        <v>2782.9313543599255</v>
      </c>
      <c r="Q140" s="235"/>
      <c r="R140" s="235"/>
      <c r="S140" s="235"/>
    </row>
    <row r="141" spans="1:19" ht="17.25" thickBot="1">
      <c r="A141" s="162" t="s">
        <v>212</v>
      </c>
      <c r="B141" s="126">
        <v>62</v>
      </c>
      <c r="C141" s="77">
        <v>-0.14127423820000001</v>
      </c>
      <c r="D141" s="15">
        <v>62.9</v>
      </c>
      <c r="E141" s="32">
        <f t="shared" ref="E141:E144" si="74">IF(ISNUMBER(D141), (D141 - $B141) / $B141, "")</f>
        <v>1.4516129032258041E-2</v>
      </c>
      <c r="F141" s="18">
        <f>IF(ISNUMBER(D141), $B145 * E141, "")</f>
        <v>1451.6129032258041</v>
      </c>
      <c r="G141" s="31">
        <v>63.4</v>
      </c>
      <c r="H141" s="32">
        <f t="shared" ref="H141:H144" si="75">IF(ISNUMBER(G141), (G141 - $B141) / $B141, "")</f>
        <v>2.25806451612903E-2</v>
      </c>
      <c r="I141" s="101">
        <f>IF(ISNUMBER(G141), $B145 * H141, "")</f>
        <v>2258.0645161290299</v>
      </c>
      <c r="J141" s="15">
        <v>64.7</v>
      </c>
      <c r="K141" s="32">
        <f t="shared" ref="K141:K144" si="76">IF(ISNUMBER(J141), (J141 - $B141) / $B141, "")</f>
        <v>4.3548387096774242E-2</v>
      </c>
      <c r="L141" s="18">
        <f>IF(ISNUMBER(J141), $B145 * K141, "")</f>
        <v>4354.838709677424</v>
      </c>
      <c r="M141" s="31">
        <v>63.8</v>
      </c>
      <c r="N141" s="32">
        <f t="shared" ref="N141:N144" si="77">IF(ISNUMBER(M141), (M141 - $B141) / $B141, "")</f>
        <v>2.9032258064516082E-2</v>
      </c>
      <c r="O141" s="18">
        <f>IF(ISNUMBER(M141), $B145 * N141, "")</f>
        <v>2903.2258064516082</v>
      </c>
      <c r="Q141" s="235"/>
      <c r="R141" s="235"/>
      <c r="S141" s="235"/>
    </row>
    <row r="142" spans="1:19" ht="17.25" thickBot="1">
      <c r="A142" s="162" t="s">
        <v>72</v>
      </c>
      <c r="B142" s="126">
        <v>17.5</v>
      </c>
      <c r="C142" s="77">
        <v>-0.1421568627</v>
      </c>
      <c r="D142" s="15">
        <v>18.5</v>
      </c>
      <c r="E142" s="32">
        <f t="shared" si="74"/>
        <v>5.7142857142857141E-2</v>
      </c>
      <c r="F142" s="18">
        <f>IF(ISNUMBER(D142), $B145 * E142, "")</f>
        <v>5714.2857142857138</v>
      </c>
      <c r="G142" s="31">
        <v>18.7</v>
      </c>
      <c r="H142" s="32">
        <f t="shared" si="75"/>
        <v>6.8571428571428533E-2</v>
      </c>
      <c r="I142" s="101">
        <f>IF(ISNUMBER(G142), $B145 * H142, "")</f>
        <v>6857.1428571428532</v>
      </c>
      <c r="J142" s="15">
        <v>18.7</v>
      </c>
      <c r="K142" s="32">
        <f t="shared" si="76"/>
        <v>6.8571428571428533E-2</v>
      </c>
      <c r="L142" s="18">
        <f>IF(ISNUMBER(J142), $B145 * K142, "")</f>
        <v>6857.1428571428532</v>
      </c>
      <c r="M142" s="31">
        <v>18.600000000000001</v>
      </c>
      <c r="N142" s="32">
        <f t="shared" si="77"/>
        <v>6.2857142857142945E-2</v>
      </c>
      <c r="O142" s="18">
        <f>IF(ISNUMBER(M142), $B145 * N142, "")</f>
        <v>6285.7142857142944</v>
      </c>
      <c r="Q142" s="235"/>
      <c r="R142" s="235"/>
      <c r="S142" s="235"/>
    </row>
    <row r="143" spans="1:19">
      <c r="A143" s="162" t="s">
        <v>186</v>
      </c>
      <c r="B143" s="126">
        <v>14.5</v>
      </c>
      <c r="C143" s="77">
        <v>-0.15204678360000001</v>
      </c>
      <c r="D143" s="15">
        <v>14.5</v>
      </c>
      <c r="E143" s="32">
        <f t="shared" si="74"/>
        <v>0</v>
      </c>
      <c r="F143" s="18">
        <f>IF(ISNUMBER(D143), $B145 * E143, "")</f>
        <v>0</v>
      </c>
      <c r="G143" s="31">
        <v>14.7</v>
      </c>
      <c r="H143" s="32">
        <f t="shared" si="75"/>
        <v>1.3793103448275813E-2</v>
      </c>
      <c r="I143" s="101">
        <f>IF(ISNUMBER(G143), $B145 * H143, "")</f>
        <v>1379.3103448275813</v>
      </c>
      <c r="J143" s="15">
        <v>15</v>
      </c>
      <c r="K143" s="32">
        <f t="shared" si="76"/>
        <v>3.4482758620689655E-2</v>
      </c>
      <c r="L143" s="18">
        <f>IF(ISNUMBER(J143), $B145 * K143, "")</f>
        <v>3448.2758620689656</v>
      </c>
      <c r="M143" s="31">
        <v>15.1</v>
      </c>
      <c r="N143" s="32">
        <f t="shared" si="77"/>
        <v>4.1379310344827565E-2</v>
      </c>
      <c r="O143" s="18">
        <f>IF(ISNUMBER(M143), $B145 * N143, "")</f>
        <v>4137.9310344827563</v>
      </c>
      <c r="Q143" s="224"/>
      <c r="R143" s="225"/>
      <c r="S143" s="226"/>
    </row>
    <row r="144" spans="1:19" ht="17.25" thickBot="1">
      <c r="A144" s="130" t="s">
        <v>220</v>
      </c>
      <c r="B144" s="131">
        <v>10.3</v>
      </c>
      <c r="C144" s="79">
        <v>-0.1557377049</v>
      </c>
      <c r="D144" s="24">
        <v>10.5</v>
      </c>
      <c r="E144" s="25">
        <f t="shared" si="74"/>
        <v>1.9417475728155269E-2</v>
      </c>
      <c r="F144" s="104">
        <f>IF(ISNUMBER(D144), $B145 * E144, "")</f>
        <v>1941.7475728155268</v>
      </c>
      <c r="G144" s="102">
        <v>10.6</v>
      </c>
      <c r="H144" s="25">
        <f t="shared" si="75"/>
        <v>2.9126213592232903E-2</v>
      </c>
      <c r="I144" s="103">
        <f>IF(ISNUMBER(G144), $B145 * H144, "")</f>
        <v>2912.6213592232903</v>
      </c>
      <c r="J144" s="24">
        <v>11</v>
      </c>
      <c r="K144" s="25">
        <f t="shared" si="76"/>
        <v>6.7961165048543618E-2</v>
      </c>
      <c r="L144" s="104">
        <f>IF(ISNUMBER(J144), $B145 * K144, "")</f>
        <v>6796.1165048543617</v>
      </c>
      <c r="M144" s="102">
        <v>11.5</v>
      </c>
      <c r="N144" s="25">
        <f t="shared" si="77"/>
        <v>0.11650485436893196</v>
      </c>
      <c r="O144" s="104">
        <f>IF(ISNUMBER(M144), $B145 * N144, "")</f>
        <v>11650.485436893196</v>
      </c>
      <c r="Q144" s="227"/>
      <c r="R144" s="228"/>
      <c r="S144" s="229"/>
    </row>
    <row r="145" spans="1:19" ht="17.25" thickBot="1">
      <c r="A145" s="132" t="s">
        <v>300</v>
      </c>
      <c r="B145" s="288">
        <f>$B$37</f>
        <v>100000</v>
      </c>
      <c r="C145" s="289"/>
      <c r="D145" s="26" t="s">
        <v>301</v>
      </c>
      <c r="E145" s="27">
        <f>IF(COUNT(E125:E144), SUM(E125:E144) / COUNT(E125:E144), 0)</f>
        <v>1.7591510551090959E-2</v>
      </c>
      <c r="F145" s="28">
        <f>SUM(F125:F144)</f>
        <v>35183.021102181912</v>
      </c>
      <c r="G145" s="26" t="s">
        <v>301</v>
      </c>
      <c r="H145" s="27">
        <f>IF(COUNT(H125:H144), SUM(H125:H144) / COUNT(H125:H144), 0)</f>
        <v>2.8061155624479871E-2</v>
      </c>
      <c r="I145" s="28">
        <f>SUM(I125:I144)</f>
        <v>56122.311248959748</v>
      </c>
      <c r="J145" s="26" t="s">
        <v>301</v>
      </c>
      <c r="K145" s="27">
        <f>IF(COUNT(K125:K144), SUM(K125:K144) / COUNT(K125:K144), 0)</f>
        <v>5.2118999362816408E-2</v>
      </c>
      <c r="L145" s="28">
        <f>SUM(L125:L144)</f>
        <v>104237.99872563283</v>
      </c>
      <c r="M145" s="26" t="s">
        <v>301</v>
      </c>
      <c r="N145" s="27">
        <f>IF(COUNT(N125:N144), SUM(N125:N144) / COUNT(N125:N144), 0)</f>
        <v>4.3695197648734786E-2</v>
      </c>
      <c r="O145" s="28">
        <f>SUM(O125:O144)</f>
        <v>87390.395297469571</v>
      </c>
      <c r="Q145" s="230"/>
      <c r="R145" s="231"/>
      <c r="S145" s="232"/>
    </row>
    <row r="147" spans="1:19" ht="17.25" thickBot="1"/>
    <row r="148" spans="1:19" ht="17.25" thickBot="1">
      <c r="A148" s="246" t="s">
        <v>289</v>
      </c>
      <c r="B148" s="247"/>
      <c r="C148" s="247"/>
      <c r="D148" s="247"/>
      <c r="E148" s="247"/>
      <c r="F148" s="247"/>
      <c r="G148" s="247"/>
      <c r="H148" s="247"/>
      <c r="I148" s="247"/>
      <c r="J148" s="247"/>
      <c r="K148" s="247"/>
      <c r="L148" s="247"/>
      <c r="M148" s="247"/>
      <c r="N148" s="247"/>
      <c r="O148" s="248"/>
      <c r="Q148" s="245"/>
      <c r="R148" s="245"/>
      <c r="S148" s="245"/>
    </row>
    <row r="149" spans="1:19" ht="17.25" thickBot="1">
      <c r="A149" s="192" t="s">
        <v>297</v>
      </c>
      <c r="B149" s="246" t="s">
        <v>49</v>
      </c>
      <c r="C149" s="248"/>
      <c r="D149" s="246" t="s">
        <v>58</v>
      </c>
      <c r="E149" s="247"/>
      <c r="F149" s="248"/>
      <c r="G149" s="249">
        <f>_xlfn.IFNA(VLOOKUP(B149, 현재가테이블!$B$2:$D$200, 2, FALSE), "-")</f>
        <v>45335000</v>
      </c>
      <c r="H149" s="250"/>
      <c r="I149" s="251"/>
      <c r="J149" s="246" t="s">
        <v>59</v>
      </c>
      <c r="K149" s="247"/>
      <c r="L149" s="248"/>
      <c r="M149" s="252">
        <f>_xlfn.IFNA(VLOOKUP(B149, 현재가테이블!$B$2:$D$200, 3, FALSE), "-")</f>
        <v>-2.27209037E-2</v>
      </c>
      <c r="N149" s="253"/>
      <c r="O149" s="254"/>
      <c r="Q149" s="245"/>
      <c r="R149" s="245"/>
      <c r="S149" s="245"/>
    </row>
    <row r="150" spans="1:19" ht="17.25" thickBot="1">
      <c r="A150" s="290" t="s">
        <v>55</v>
      </c>
      <c r="B150" s="286" t="str">
        <f>TEXT($G$1, "[$-ko-KR]yyyy-mm-dd(ddd) ") &amp; "오전 00:00"</f>
        <v>2021-06-09(수) 오전 00:00</v>
      </c>
      <c r="C150" s="287"/>
      <c r="D150" s="259" t="str">
        <f>TEXT($G$1, "[$-ko-KR]yyyy-mm-dd(ddd) ") &amp; "오후 14:00"</f>
        <v>2021-06-09(수) 오후 14:00</v>
      </c>
      <c r="E150" s="260"/>
      <c r="F150" s="261"/>
      <c r="G150" s="259" t="str">
        <f>TEXT($G$1, "[$-ko-KR]yyyy-mm-dd(ddd) ") &amp; "오후 19:00"</f>
        <v>2021-06-09(수) 오후 19:00</v>
      </c>
      <c r="H150" s="260"/>
      <c r="I150" s="261"/>
      <c r="J150" s="259" t="str">
        <f>TEXT($G$1, "[$-ko-KR]yyyy-mm-dd(ddd) ") &amp; "오후 21:00"</f>
        <v>2021-06-09(수) 오후 21:00</v>
      </c>
      <c r="K150" s="260"/>
      <c r="L150" s="261"/>
      <c r="M150" s="259" t="str">
        <f>TEXT($G$1+1, "[$-ko-KR]yyyy-mm-dd(ddd) ") &amp; "오전 00:00"</f>
        <v>2021-06-10(목) 오전 00:00</v>
      </c>
      <c r="N150" s="260"/>
      <c r="O150" s="261"/>
      <c r="Q150" s="245"/>
      <c r="R150" s="245"/>
      <c r="S150" s="245"/>
    </row>
    <row r="151" spans="1:19" ht="17.25" thickBot="1">
      <c r="A151" s="291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93" t="s">
        <v>58</v>
      </c>
      <c r="H151" s="194" t="s">
        <v>298</v>
      </c>
      <c r="I151" s="195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5"/>
      <c r="R151" s="235"/>
      <c r="S151" s="235"/>
    </row>
    <row r="152" spans="1:19" ht="17.25" thickBot="1">
      <c r="A152" s="161" t="s">
        <v>282</v>
      </c>
      <c r="B152" s="124">
        <v>102</v>
      </c>
      <c r="C152" s="76">
        <v>-0.1130434783</v>
      </c>
      <c r="D152" s="13">
        <v>102</v>
      </c>
      <c r="E152" s="14">
        <f>IF(ISNUMBER(D152), (D152 - $B152) / $B152, "")</f>
        <v>0</v>
      </c>
      <c r="F152" s="16">
        <f>IF(ISNUMBER(D152), $B172 * E152, "")</f>
        <v>0</v>
      </c>
      <c r="G152" s="29">
        <v>103</v>
      </c>
      <c r="H152" s="14">
        <f>IF(ISNUMBER(G152), (G152 - $B152) / $B152, "")</f>
        <v>9.8039215686274508E-3</v>
      </c>
      <c r="I152" s="100">
        <f>IF(ISNUMBER(G152), $B172 * H152, "")</f>
        <v>980.39215686274508</v>
      </c>
      <c r="J152" s="13">
        <v>107</v>
      </c>
      <c r="K152" s="14">
        <f>IF(ISNUMBER(J152), (J152 - $B152) / $B152, "")</f>
        <v>4.9019607843137254E-2</v>
      </c>
      <c r="L152" s="16">
        <f>IF(ISNUMBER(J152), $B172 * K152, "")</f>
        <v>4901.9607843137255</v>
      </c>
      <c r="M152" s="29">
        <v>104</v>
      </c>
      <c r="N152" s="14">
        <f>IF(ISNUMBER(M152), (M152 - $B152) / $B152, "")</f>
        <v>1.9607843137254902E-2</v>
      </c>
      <c r="O152" s="16">
        <f>IF(ISNUMBER(M152), $B172 * N152, "")</f>
        <v>1960.7843137254902</v>
      </c>
      <c r="Q152" s="245"/>
      <c r="R152" s="245"/>
      <c r="S152" s="245"/>
    </row>
    <row r="153" spans="1:19" ht="17.25" thickBot="1">
      <c r="A153" s="162" t="s">
        <v>202</v>
      </c>
      <c r="B153" s="126">
        <v>102</v>
      </c>
      <c r="C153" s="77">
        <v>-0.1130434783</v>
      </c>
      <c r="D153" s="15">
        <v>104</v>
      </c>
      <c r="E153" s="32">
        <f t="shared" ref="E153:E156" si="78">IF(ISNUMBER(D153), (D153 - $B153) / $B153, "")</f>
        <v>1.9607843137254902E-2</v>
      </c>
      <c r="F153" s="18">
        <f>IF(ISNUMBER(D153), $B172 * E153, "")</f>
        <v>1960.7843137254902</v>
      </c>
      <c r="G153" s="31">
        <v>104</v>
      </c>
      <c r="H153" s="32">
        <f t="shared" ref="H153:H156" si="79">IF(ISNUMBER(G153), (G153 - $B153) / $B153, "")</f>
        <v>1.9607843137254902E-2</v>
      </c>
      <c r="I153" s="101">
        <f>IF(ISNUMBER(G153), $B172 * H153, "")</f>
        <v>1960.7843137254902</v>
      </c>
      <c r="J153" s="15">
        <v>106</v>
      </c>
      <c r="K153" s="32">
        <f t="shared" ref="K153:K156" si="80">IF(ISNUMBER(J153), (J153 - $B153) / $B153, "")</f>
        <v>3.9215686274509803E-2</v>
      </c>
      <c r="L153" s="18">
        <f>IF(ISNUMBER(J153), $B172 * K153, "")</f>
        <v>3921.5686274509803</v>
      </c>
      <c r="M153" s="31">
        <v>105</v>
      </c>
      <c r="N153" s="32">
        <f t="shared" ref="N153:N156" si="81">IF(ISNUMBER(M153), (M153 - $B153) / $B153, "")</f>
        <v>2.9411764705882353E-2</v>
      </c>
      <c r="O153" s="18">
        <f>IF(ISNUMBER(M153), $B172 * N153, "")</f>
        <v>2941.1764705882351</v>
      </c>
      <c r="Q153" s="245"/>
      <c r="R153" s="245"/>
      <c r="S153" s="245"/>
    </row>
    <row r="154" spans="1:19" ht="17.25" thickBot="1">
      <c r="A154" s="162" t="s">
        <v>210</v>
      </c>
      <c r="B154" s="126">
        <v>109</v>
      </c>
      <c r="C154" s="77">
        <v>-0.1138211382</v>
      </c>
      <c r="D154" s="15">
        <v>120</v>
      </c>
      <c r="E154" s="32">
        <f t="shared" si="78"/>
        <v>0.10091743119266056</v>
      </c>
      <c r="F154" s="18">
        <f>IF(ISNUMBER(D154), $B172 * E154, "")</f>
        <v>10091.743119266055</v>
      </c>
      <c r="G154" s="31">
        <v>119</v>
      </c>
      <c r="H154" s="32">
        <f t="shared" si="79"/>
        <v>9.1743119266055051E-2</v>
      </c>
      <c r="I154" s="101">
        <f>IF(ISNUMBER(G154), $B172 * H154, "")</f>
        <v>9174.3119266055055</v>
      </c>
      <c r="J154" s="15">
        <v>119</v>
      </c>
      <c r="K154" s="32">
        <f t="shared" si="80"/>
        <v>9.1743119266055051E-2</v>
      </c>
      <c r="L154" s="18">
        <f>IF(ISNUMBER(J154), $B172 * K154, "")</f>
        <v>9174.3119266055055</v>
      </c>
      <c r="M154" s="31">
        <v>117</v>
      </c>
      <c r="N154" s="32">
        <f t="shared" si="81"/>
        <v>7.3394495412844041E-2</v>
      </c>
      <c r="O154" s="18">
        <f>IF(ISNUMBER(M154), $B172 * N154, "")</f>
        <v>7339.4495412844044</v>
      </c>
      <c r="Q154" s="235"/>
      <c r="R154" s="235"/>
      <c r="S154" s="235"/>
    </row>
    <row r="155" spans="1:19" ht="17.25" thickBot="1">
      <c r="A155" s="162" t="s">
        <v>262</v>
      </c>
      <c r="B155" s="126">
        <v>535</v>
      </c>
      <c r="C155" s="77">
        <v>-0.11423841060000001</v>
      </c>
      <c r="D155" s="15">
        <v>539</v>
      </c>
      <c r="E155" s="32">
        <f t="shared" si="78"/>
        <v>7.4766355140186919E-3</v>
      </c>
      <c r="F155" s="18">
        <f>IF(ISNUMBER(D155), $B172 * E155, "")</f>
        <v>747.6635514018692</v>
      </c>
      <c r="G155" s="31">
        <v>551</v>
      </c>
      <c r="H155" s="32">
        <f t="shared" si="79"/>
        <v>2.9906542056074768E-2</v>
      </c>
      <c r="I155" s="101">
        <f>IF(ISNUMBER(G155), $B172 * H155, "")</f>
        <v>2990.6542056074768</v>
      </c>
      <c r="J155" s="15">
        <v>566</v>
      </c>
      <c r="K155" s="32">
        <f t="shared" si="80"/>
        <v>5.7943925233644861E-2</v>
      </c>
      <c r="L155" s="18">
        <f>IF(ISNUMBER(J155), $B172 * K155, "")</f>
        <v>5794.3925233644859</v>
      </c>
      <c r="M155" s="31">
        <v>555</v>
      </c>
      <c r="N155" s="32">
        <f t="shared" si="81"/>
        <v>3.7383177570093455E-2</v>
      </c>
      <c r="O155" s="18">
        <f>IF(ISNUMBER(M155), $B172 * N155, "")</f>
        <v>3738.3177570093453</v>
      </c>
      <c r="Q155" s="235"/>
      <c r="R155" s="235"/>
      <c r="S155" s="235"/>
    </row>
    <row r="156" spans="1:19" ht="17.25" thickBot="1">
      <c r="A156" s="163" t="s">
        <v>238</v>
      </c>
      <c r="B156" s="128">
        <v>155</v>
      </c>
      <c r="C156" s="78">
        <v>-0.11428571429999999</v>
      </c>
      <c r="D156" s="20">
        <v>160</v>
      </c>
      <c r="E156" s="21">
        <f t="shared" si="78"/>
        <v>3.2258064516129031E-2</v>
      </c>
      <c r="F156" s="22">
        <f>IF(ISNUMBER(D156), $B172 * E156, "")</f>
        <v>3225.8064516129029</v>
      </c>
      <c r="G156" s="30">
        <v>161</v>
      </c>
      <c r="H156" s="21">
        <f t="shared" si="79"/>
        <v>3.870967741935484E-2</v>
      </c>
      <c r="I156" s="105">
        <f>IF(ISNUMBER(G156), $B172 * H156, "")</f>
        <v>3870.9677419354839</v>
      </c>
      <c r="J156" s="20">
        <v>163</v>
      </c>
      <c r="K156" s="21">
        <f t="shared" si="80"/>
        <v>5.1612903225806452E-2</v>
      </c>
      <c r="L156" s="22">
        <f>IF(ISNUMBER(J156), $B172 * K156, "")</f>
        <v>5161.2903225806449</v>
      </c>
      <c r="M156" s="30">
        <v>163</v>
      </c>
      <c r="N156" s="21">
        <f t="shared" si="81"/>
        <v>5.1612903225806452E-2</v>
      </c>
      <c r="O156" s="22">
        <f>IF(ISNUMBER(M156), $B172 * N156, "")</f>
        <v>5161.2903225806449</v>
      </c>
      <c r="Q156" s="235"/>
      <c r="R156" s="235"/>
      <c r="S156" s="235"/>
    </row>
    <row r="157" spans="1:19" ht="17.25" thickBot="1">
      <c r="A157" s="162" t="s">
        <v>258</v>
      </c>
      <c r="B157" s="129">
        <v>407</v>
      </c>
      <c r="C157" s="80">
        <v>-0.1152173913</v>
      </c>
      <c r="D157" s="106">
        <v>414</v>
      </c>
      <c r="E157" s="107">
        <f>IF(ISNUMBER(D157), (D157 - $B157) / $B157, "")</f>
        <v>1.7199017199017199E-2</v>
      </c>
      <c r="F157" s="108">
        <f>IF(ISNUMBER(D157), $B172 * E157, "")</f>
        <v>1719.9017199017198</v>
      </c>
      <c r="G157" s="109">
        <v>419</v>
      </c>
      <c r="H157" s="107">
        <f>IF(ISNUMBER(G157), (G157 - $B157) / $B157, "")</f>
        <v>2.9484029484029485E-2</v>
      </c>
      <c r="I157" s="110">
        <f>IF(ISNUMBER(G157), $B172 * H157, "")</f>
        <v>2948.4029484029484</v>
      </c>
      <c r="J157" s="106">
        <v>427</v>
      </c>
      <c r="K157" s="107">
        <f>IF(ISNUMBER(J157), (J157 - $B157) / $B157, "")</f>
        <v>4.9140049140049137E-2</v>
      </c>
      <c r="L157" s="108">
        <f>IF(ISNUMBER(J157), $B172 * K157, "")</f>
        <v>4914.0049140049141</v>
      </c>
      <c r="M157" s="109">
        <v>419</v>
      </c>
      <c r="N157" s="107">
        <f>IF(ISNUMBER(M157), (M157 - $B157) / $B157, "")</f>
        <v>2.9484029484029485E-2</v>
      </c>
      <c r="O157" s="108">
        <f>IF(ISNUMBER(M157), $B172 * N157, "")</f>
        <v>2948.4029484029484</v>
      </c>
      <c r="Q157" s="235"/>
      <c r="R157" s="235"/>
      <c r="S157" s="235"/>
    </row>
    <row r="158" spans="1:19" ht="17.25" thickBot="1">
      <c r="A158" s="162" t="s">
        <v>226</v>
      </c>
      <c r="B158" s="126">
        <v>253</v>
      </c>
      <c r="C158" s="77">
        <v>-0.118466899</v>
      </c>
      <c r="D158" s="15">
        <v>265</v>
      </c>
      <c r="E158" s="32">
        <f t="shared" ref="E158:E161" si="82">IF(ISNUMBER(D158), (D158 - $B158) / $B158, "")</f>
        <v>4.7430830039525688E-2</v>
      </c>
      <c r="F158" s="18">
        <f>IF(ISNUMBER(D158), $B172 * E158, "")</f>
        <v>4743.083003952569</v>
      </c>
      <c r="G158" s="31">
        <v>264</v>
      </c>
      <c r="H158" s="32">
        <f t="shared" ref="H158:H161" si="83">IF(ISNUMBER(G158), (G158 - $B158) / $B158, "")</f>
        <v>4.3478260869565216E-2</v>
      </c>
      <c r="I158" s="101">
        <f>IF(ISNUMBER(G158), $B172 * H158, "")</f>
        <v>4347.826086956522</v>
      </c>
      <c r="J158" s="15">
        <v>269</v>
      </c>
      <c r="K158" s="32">
        <f t="shared" ref="K158:K161" si="84">IF(ISNUMBER(J158), (J158 - $B158) / $B158, "")</f>
        <v>6.3241106719367585E-2</v>
      </c>
      <c r="L158" s="18">
        <f>IF(ISNUMBER(J158), $B172 * K158, "")</f>
        <v>6324.1106719367581</v>
      </c>
      <c r="M158" s="31">
        <v>264</v>
      </c>
      <c r="N158" s="32">
        <f t="shared" ref="N158:N161" si="85">IF(ISNUMBER(M158), (M158 - $B158) / $B158, "")</f>
        <v>4.3478260869565216E-2</v>
      </c>
      <c r="O158" s="18">
        <f>IF(ISNUMBER(M158), $B172 * N158, "")</f>
        <v>4347.826086956522</v>
      </c>
      <c r="Q158" s="235"/>
      <c r="R158" s="235"/>
      <c r="S158" s="235"/>
    </row>
    <row r="159" spans="1:19" ht="17.25" thickBot="1">
      <c r="A159" s="162" t="s">
        <v>192</v>
      </c>
      <c r="B159" s="126">
        <v>963</v>
      </c>
      <c r="C159" s="77">
        <v>-0.12054794520000001</v>
      </c>
      <c r="D159" s="15">
        <v>1055</v>
      </c>
      <c r="E159" s="32">
        <f t="shared" si="82"/>
        <v>9.5534787123572176E-2</v>
      </c>
      <c r="F159" s="18">
        <f>IF(ISNUMBER(D159), $B172 * E159, "")</f>
        <v>9553.4787123572169</v>
      </c>
      <c r="G159" s="31">
        <v>1075</v>
      </c>
      <c r="H159" s="32">
        <f t="shared" si="83"/>
        <v>0.11630321910695743</v>
      </c>
      <c r="I159" s="101">
        <f>IF(ISNUMBER(G159), $B172 * H159, "")</f>
        <v>11630.321910695742</v>
      </c>
      <c r="J159" s="15">
        <v>1085</v>
      </c>
      <c r="K159" s="32">
        <f t="shared" si="84"/>
        <v>0.12668743509865005</v>
      </c>
      <c r="L159" s="18">
        <f>IF(ISNUMBER(J159), $B172 * K159, "")</f>
        <v>12668.743509865004</v>
      </c>
      <c r="M159" s="31">
        <v>1050</v>
      </c>
      <c r="N159" s="32">
        <f t="shared" si="85"/>
        <v>9.0342679127725853E-2</v>
      </c>
      <c r="O159" s="18">
        <f>IF(ISNUMBER(M159), $B172 * N159, "")</f>
        <v>9034.267912772586</v>
      </c>
      <c r="Q159" s="235"/>
      <c r="R159" s="235"/>
      <c r="S159" s="235"/>
    </row>
    <row r="160" spans="1:19" ht="17.25" thickBot="1">
      <c r="A160" s="162" t="s">
        <v>61</v>
      </c>
      <c r="B160" s="126">
        <v>758</v>
      </c>
      <c r="C160" s="77">
        <v>-0.12166859789999999</v>
      </c>
      <c r="D160" s="15">
        <v>785</v>
      </c>
      <c r="E160" s="32">
        <f t="shared" si="82"/>
        <v>3.5620052770448551E-2</v>
      </c>
      <c r="F160" s="18">
        <f>IF(ISNUMBER(D160), $B172 * E160, "")</f>
        <v>3562.0052770448551</v>
      </c>
      <c r="G160" s="31">
        <v>794</v>
      </c>
      <c r="H160" s="32">
        <f t="shared" si="83"/>
        <v>4.7493403693931395E-2</v>
      </c>
      <c r="I160" s="101">
        <f>IF(ISNUMBER(G160), $B172 * H160, "")</f>
        <v>4749.3403693931396</v>
      </c>
      <c r="J160" s="15">
        <v>823</v>
      </c>
      <c r="K160" s="32">
        <f t="shared" si="84"/>
        <v>8.5751978891820582E-2</v>
      </c>
      <c r="L160" s="18">
        <f>IF(ISNUMBER(J160), $B172 * K160, "")</f>
        <v>8575.1978891820581</v>
      </c>
      <c r="M160" s="31">
        <v>797</v>
      </c>
      <c r="N160" s="32">
        <f t="shared" si="85"/>
        <v>5.1451187335092345E-2</v>
      </c>
      <c r="O160" s="18">
        <f>IF(ISNUMBER(M160), $B172 * N160, "")</f>
        <v>5145.1187335092345</v>
      </c>
      <c r="Q160" s="33"/>
      <c r="R160" s="33"/>
    </row>
    <row r="161" spans="1:19" ht="17.25" thickBot="1">
      <c r="A161" s="130" t="s">
        <v>116</v>
      </c>
      <c r="B161" s="131">
        <v>301</v>
      </c>
      <c r="C161" s="79">
        <v>-0.12244897959999999</v>
      </c>
      <c r="D161" s="24">
        <v>312</v>
      </c>
      <c r="E161" s="25">
        <f t="shared" si="82"/>
        <v>3.6544850498338874E-2</v>
      </c>
      <c r="F161" s="104">
        <f>IF(ISNUMBER(D161), $B172 * E161, "")</f>
        <v>3654.4850498338874</v>
      </c>
      <c r="G161" s="102">
        <v>311</v>
      </c>
      <c r="H161" s="25">
        <f t="shared" si="83"/>
        <v>3.3222591362126248E-2</v>
      </c>
      <c r="I161" s="103">
        <f>IF(ISNUMBER(G161), $B172 * H161, "")</f>
        <v>3322.259136212625</v>
      </c>
      <c r="J161" s="24">
        <v>323</v>
      </c>
      <c r="K161" s="25">
        <f t="shared" si="84"/>
        <v>7.3089700996677748E-2</v>
      </c>
      <c r="L161" s="104">
        <f>IF(ISNUMBER(J161), $B172 * K161, "")</f>
        <v>7308.9700996677748</v>
      </c>
      <c r="M161" s="102">
        <v>318</v>
      </c>
      <c r="N161" s="25">
        <f t="shared" si="85"/>
        <v>5.647840531561462E-2</v>
      </c>
      <c r="O161" s="104">
        <f>IF(ISNUMBER(M161), $B172 * N161, "")</f>
        <v>5647.8405315614618</v>
      </c>
      <c r="Q161" s="236"/>
      <c r="R161" s="237"/>
      <c r="S161" s="238"/>
    </row>
    <row r="162" spans="1:19">
      <c r="A162" s="161" t="s">
        <v>230</v>
      </c>
      <c r="B162" s="124">
        <v>102</v>
      </c>
      <c r="C162" s="76">
        <v>-0.12820512819999999</v>
      </c>
      <c r="D162" s="13">
        <v>105</v>
      </c>
      <c r="E162" s="14">
        <f>IF(ISNUMBER(D162), (D162 - $B162) / $B162, "")</f>
        <v>2.9411764705882353E-2</v>
      </c>
      <c r="F162" s="16">
        <f>IF(ISNUMBER(D162), $B172 * E162, "")</f>
        <v>2941.1764705882351</v>
      </c>
      <c r="G162" s="29">
        <v>105</v>
      </c>
      <c r="H162" s="14">
        <f>IF(ISNUMBER(G162), (G162 - $B162) / $B162, "")</f>
        <v>2.9411764705882353E-2</v>
      </c>
      <c r="I162" s="100">
        <f>IF(ISNUMBER(G162), $B172 * H162, "")</f>
        <v>2941.1764705882351</v>
      </c>
      <c r="J162" s="13">
        <v>108</v>
      </c>
      <c r="K162" s="14">
        <f>IF(ISNUMBER(J162), (J162 - $B162) / $B162, "")</f>
        <v>5.8823529411764705E-2</v>
      </c>
      <c r="L162" s="16">
        <f>IF(ISNUMBER(J162), $B172 * K162, "")</f>
        <v>5882.3529411764703</v>
      </c>
      <c r="M162" s="29">
        <v>106</v>
      </c>
      <c r="N162" s="14">
        <f>IF(ISNUMBER(M162), (M162 - $B162) / $B162, "")</f>
        <v>3.9215686274509803E-2</v>
      </c>
      <c r="O162" s="16">
        <f>IF(ISNUMBER(M162), $B172 * N162, "")</f>
        <v>3921.5686274509803</v>
      </c>
      <c r="Q162" s="239"/>
      <c r="R162" s="240"/>
      <c r="S162" s="241"/>
    </row>
    <row r="163" spans="1:19" ht="17.25" thickBot="1">
      <c r="A163" s="162" t="s">
        <v>280</v>
      </c>
      <c r="B163" s="126">
        <v>889</v>
      </c>
      <c r="C163" s="77">
        <v>-0.13268292679999999</v>
      </c>
      <c r="D163" s="15">
        <v>964</v>
      </c>
      <c r="E163" s="32">
        <f t="shared" ref="E163:E166" si="86">IF(ISNUMBER(D163), (D163 - $B163) / $B163, "")</f>
        <v>8.4364454443194598E-2</v>
      </c>
      <c r="F163" s="18">
        <f>IF(ISNUMBER(D163), $B172 * E163, "")</f>
        <v>8436.4454443194591</v>
      </c>
      <c r="G163" s="31">
        <v>989</v>
      </c>
      <c r="H163" s="32">
        <f t="shared" ref="H163:H166" si="87">IF(ISNUMBER(G163), (G163 - $B163) / $B163, "")</f>
        <v>0.1124859392575928</v>
      </c>
      <c r="I163" s="101">
        <f>IF(ISNUMBER(G163), $B172 * H163, "")</f>
        <v>11248.59392575928</v>
      </c>
      <c r="J163" s="15">
        <v>1020</v>
      </c>
      <c r="K163" s="32">
        <f t="shared" ref="K163:K166" si="88">IF(ISNUMBER(J163), (J163 - $B163) / $B163, "")</f>
        <v>0.14735658042744657</v>
      </c>
      <c r="L163" s="18">
        <f>IF(ISNUMBER(J163), $B172 * K163, "")</f>
        <v>14735.658042744657</v>
      </c>
      <c r="M163" s="31">
        <v>997</v>
      </c>
      <c r="N163" s="32">
        <f t="shared" ref="N163:N166" si="89">IF(ISNUMBER(M163), (M163 - $B163) / $B163, "")</f>
        <v>0.12148481439820022</v>
      </c>
      <c r="O163" s="18">
        <f>IF(ISNUMBER(M163), $B172 * N163, "")</f>
        <v>12148.481439820021</v>
      </c>
      <c r="Q163" s="242"/>
      <c r="R163" s="243"/>
      <c r="S163" s="244"/>
    </row>
    <row r="164" spans="1:19" ht="17.25" thickBot="1">
      <c r="A164" s="162" t="s">
        <v>200</v>
      </c>
      <c r="B164" s="126">
        <v>175</v>
      </c>
      <c r="C164" s="77">
        <v>-0.1336633663</v>
      </c>
      <c r="D164" s="15">
        <v>181</v>
      </c>
      <c r="E164" s="32">
        <f t="shared" si="86"/>
        <v>3.4285714285714287E-2</v>
      </c>
      <c r="F164" s="18">
        <f>IF(ISNUMBER(D164), $B172 * E164, "")</f>
        <v>3428.5714285714289</v>
      </c>
      <c r="G164" s="31">
        <v>183</v>
      </c>
      <c r="H164" s="32">
        <f t="shared" si="87"/>
        <v>4.5714285714285714E-2</v>
      </c>
      <c r="I164" s="101">
        <f>IF(ISNUMBER(G164), $B172 * H164, "")</f>
        <v>4571.4285714285716</v>
      </c>
      <c r="J164" s="15">
        <v>184</v>
      </c>
      <c r="K164" s="32">
        <f t="shared" si="88"/>
        <v>5.1428571428571428E-2</v>
      </c>
      <c r="L164" s="18">
        <f>IF(ISNUMBER(J164), $B172 * K164, "")</f>
        <v>5142.8571428571431</v>
      </c>
      <c r="M164" s="31">
        <v>184</v>
      </c>
      <c r="N164" s="32">
        <f t="shared" si="89"/>
        <v>5.1428571428571428E-2</v>
      </c>
      <c r="O164" s="18">
        <f>IF(ISNUMBER(M164), $B172 * N164, "")</f>
        <v>5142.8571428571431</v>
      </c>
      <c r="Q164" s="235"/>
      <c r="R164" s="235"/>
      <c r="S164" s="235"/>
    </row>
    <row r="165" spans="1:19" ht="17.25" thickBot="1">
      <c r="A165" s="162" t="s">
        <v>256</v>
      </c>
      <c r="B165" s="126">
        <v>148</v>
      </c>
      <c r="C165" s="77">
        <v>-0.134502924</v>
      </c>
      <c r="D165" s="15">
        <v>152</v>
      </c>
      <c r="E165" s="32">
        <f t="shared" si="86"/>
        <v>2.7027027027027029E-2</v>
      </c>
      <c r="F165" s="18">
        <f>IF(ISNUMBER(D165), $B172 * E165, "")</f>
        <v>2702.7027027027029</v>
      </c>
      <c r="G165" s="31">
        <v>160</v>
      </c>
      <c r="H165" s="32">
        <f t="shared" si="87"/>
        <v>8.1081081081081086E-2</v>
      </c>
      <c r="I165" s="101">
        <f>IF(ISNUMBER(G165), $B172 * H165, "")</f>
        <v>8108.1081081081084</v>
      </c>
      <c r="J165" s="15">
        <v>159</v>
      </c>
      <c r="K165" s="32">
        <f t="shared" si="88"/>
        <v>7.4324324324324328E-2</v>
      </c>
      <c r="L165" s="18">
        <f>IF(ISNUMBER(J165), $B172 * K165, "")</f>
        <v>7432.4324324324325</v>
      </c>
      <c r="M165" s="31">
        <v>159</v>
      </c>
      <c r="N165" s="32">
        <f t="shared" si="89"/>
        <v>7.4324324324324328E-2</v>
      </c>
      <c r="O165" s="18">
        <f>IF(ISNUMBER(M165), $B172 * N165, "")</f>
        <v>7432.4324324324325</v>
      </c>
      <c r="Q165" s="245"/>
      <c r="R165" s="245"/>
      <c r="S165" s="245"/>
    </row>
    <row r="166" spans="1:19" ht="17.25" thickBot="1">
      <c r="A166" s="163" t="s">
        <v>174</v>
      </c>
      <c r="B166" s="128">
        <v>150</v>
      </c>
      <c r="C166" s="78">
        <v>-0.13793103449999999</v>
      </c>
      <c r="D166" s="20">
        <v>155</v>
      </c>
      <c r="E166" s="21">
        <f t="shared" si="86"/>
        <v>3.3333333333333333E-2</v>
      </c>
      <c r="F166" s="22">
        <f>IF(ISNUMBER(D166), $B172 * E166, "")</f>
        <v>3333.3333333333335</v>
      </c>
      <c r="G166" s="30">
        <v>154</v>
      </c>
      <c r="H166" s="21">
        <f t="shared" si="87"/>
        <v>2.6666666666666668E-2</v>
      </c>
      <c r="I166" s="105">
        <f>IF(ISNUMBER(G166), $B172 * H166, "")</f>
        <v>2666.666666666667</v>
      </c>
      <c r="J166" s="20">
        <v>156</v>
      </c>
      <c r="K166" s="21">
        <f t="shared" si="88"/>
        <v>0.04</v>
      </c>
      <c r="L166" s="22">
        <f>IF(ISNUMBER(J166), $B172 * K166, "")</f>
        <v>4000</v>
      </c>
      <c r="M166" s="30">
        <v>157</v>
      </c>
      <c r="N166" s="21">
        <f t="shared" si="89"/>
        <v>4.6666666666666669E-2</v>
      </c>
      <c r="O166" s="22">
        <f>IF(ISNUMBER(M166), $B172 * N166, "")</f>
        <v>4666.666666666667</v>
      </c>
      <c r="Q166" s="245"/>
      <c r="R166" s="245"/>
      <c r="S166" s="245"/>
    </row>
    <row r="167" spans="1:19" ht="17.25" thickBot="1">
      <c r="A167" s="162" t="s">
        <v>246</v>
      </c>
      <c r="B167" s="129">
        <v>255</v>
      </c>
      <c r="C167" s="80">
        <v>-0.14429530199999999</v>
      </c>
      <c r="D167" s="106">
        <v>280</v>
      </c>
      <c r="E167" s="107">
        <f>IF(ISNUMBER(D167), (D167 - $B167) / $B167, "")</f>
        <v>9.8039215686274508E-2</v>
      </c>
      <c r="F167" s="108">
        <f>IF(ISNUMBER(D167), $B172 * E167, "")</f>
        <v>9803.9215686274511</v>
      </c>
      <c r="G167" s="109">
        <v>266</v>
      </c>
      <c r="H167" s="107">
        <f>IF(ISNUMBER(G167), (G167 - $B167) / $B167, "")</f>
        <v>4.3137254901960784E-2</v>
      </c>
      <c r="I167" s="110">
        <f>IF(ISNUMBER(G167), $B172 * H167, "")</f>
        <v>4313.7254901960787</v>
      </c>
      <c r="J167" s="106">
        <v>273</v>
      </c>
      <c r="K167" s="107">
        <f>IF(ISNUMBER(J167), (J167 - $B167) / $B167, "")</f>
        <v>7.0588235294117646E-2</v>
      </c>
      <c r="L167" s="108">
        <f>IF(ISNUMBER(J167), $B172 * K167, "")</f>
        <v>7058.8235294117649</v>
      </c>
      <c r="M167" s="109">
        <v>270</v>
      </c>
      <c r="N167" s="107">
        <f>IF(ISNUMBER(M167), (M167 - $B167) / $B167, "")</f>
        <v>5.8823529411764705E-2</v>
      </c>
      <c r="O167" s="108">
        <f>IF(ISNUMBER(M167), $B172 * N167, "")</f>
        <v>5882.3529411764703</v>
      </c>
      <c r="Q167" s="235"/>
      <c r="R167" s="235"/>
      <c r="S167" s="235"/>
    </row>
    <row r="168" spans="1:19" ht="17.25" thickBot="1">
      <c r="A168" s="162" t="s">
        <v>208</v>
      </c>
      <c r="B168" s="126">
        <v>255</v>
      </c>
      <c r="C168" s="77">
        <v>-0.14429530199999999</v>
      </c>
      <c r="D168" s="15">
        <v>263</v>
      </c>
      <c r="E168" s="32">
        <f t="shared" ref="E168:E171" si="90">IF(ISNUMBER(D168), (D168 - $B168) / $B168, "")</f>
        <v>3.1372549019607843E-2</v>
      </c>
      <c r="F168" s="18">
        <f>IF(ISNUMBER(D168), $B172 * E168, "")</f>
        <v>3137.2549019607841</v>
      </c>
      <c r="G168" s="31">
        <v>261</v>
      </c>
      <c r="H168" s="32">
        <f t="shared" ref="H168:H171" si="91">IF(ISNUMBER(G168), (G168 - $B168) / $B168, "")</f>
        <v>2.3529411764705882E-2</v>
      </c>
      <c r="I168" s="101">
        <f>IF(ISNUMBER(G168), $B172 * H168, "")</f>
        <v>2352.9411764705883</v>
      </c>
      <c r="J168" s="15">
        <v>267</v>
      </c>
      <c r="K168" s="32">
        <f t="shared" ref="K168:K171" si="92">IF(ISNUMBER(J168), (J168 - $B168) / $B168, "")</f>
        <v>4.7058823529411764E-2</v>
      </c>
      <c r="L168" s="18">
        <f>IF(ISNUMBER(J168), $B172 * K168, "")</f>
        <v>4705.8823529411766</v>
      </c>
      <c r="M168" s="31">
        <v>264</v>
      </c>
      <c r="N168" s="32">
        <f t="shared" ref="N168:N171" si="93">IF(ISNUMBER(M168), (M168 - $B168) / $B168, "")</f>
        <v>3.5294117647058823E-2</v>
      </c>
      <c r="O168" s="18">
        <f>IF(ISNUMBER(M168), $B172 * N168, "")</f>
        <v>3529.4117647058824</v>
      </c>
      <c r="Q168" s="235"/>
      <c r="R168" s="235"/>
      <c r="S168" s="235"/>
    </row>
    <row r="169" spans="1:19" ht="17.25" thickBot="1">
      <c r="A169" s="162" t="s">
        <v>182</v>
      </c>
      <c r="B169" s="126">
        <v>260</v>
      </c>
      <c r="C169" s="77">
        <v>-0.14754098360000001</v>
      </c>
      <c r="D169" s="15">
        <v>263</v>
      </c>
      <c r="E169" s="32">
        <f t="shared" si="90"/>
        <v>1.1538461538461539E-2</v>
      </c>
      <c r="F169" s="18">
        <f>IF(ISNUMBER(D169), $B172 * E169, "")</f>
        <v>1153.8461538461538</v>
      </c>
      <c r="G169" s="31">
        <v>265</v>
      </c>
      <c r="H169" s="32">
        <f t="shared" si="91"/>
        <v>1.9230769230769232E-2</v>
      </c>
      <c r="I169" s="101">
        <f>IF(ISNUMBER(G169), $B172 * H169, "")</f>
        <v>1923.0769230769231</v>
      </c>
      <c r="J169" s="15">
        <v>275</v>
      </c>
      <c r="K169" s="32">
        <f t="shared" si="92"/>
        <v>5.7692307692307696E-2</v>
      </c>
      <c r="L169" s="18">
        <f>IF(ISNUMBER(J169), $B172 * K169, "")</f>
        <v>5769.2307692307695</v>
      </c>
      <c r="M169" s="31">
        <v>266</v>
      </c>
      <c r="N169" s="32">
        <f t="shared" si="93"/>
        <v>2.3076923076923078E-2</v>
      </c>
      <c r="O169" s="18">
        <f>IF(ISNUMBER(M169), $B172 * N169, "")</f>
        <v>2307.6923076923076</v>
      </c>
      <c r="Q169" s="235"/>
      <c r="R169" s="235"/>
      <c r="S169" s="235"/>
    </row>
    <row r="170" spans="1:19">
      <c r="A170" s="162" t="s">
        <v>234</v>
      </c>
      <c r="B170" s="126">
        <v>676</v>
      </c>
      <c r="C170" s="77">
        <v>-0.1486146096</v>
      </c>
      <c r="D170" s="15">
        <v>706</v>
      </c>
      <c r="E170" s="32">
        <f t="shared" si="90"/>
        <v>4.4378698224852069E-2</v>
      </c>
      <c r="F170" s="18">
        <f>IF(ISNUMBER(D170), $B172 * E170, "")</f>
        <v>4437.8698224852069</v>
      </c>
      <c r="G170" s="31">
        <v>704</v>
      </c>
      <c r="H170" s="32">
        <f t="shared" si="91"/>
        <v>4.142011834319527E-2</v>
      </c>
      <c r="I170" s="101">
        <f>IF(ISNUMBER(G170), $B172 * H170, "")</f>
        <v>4142.0118343195272</v>
      </c>
      <c r="J170" s="15">
        <v>714</v>
      </c>
      <c r="K170" s="32">
        <f t="shared" si="92"/>
        <v>5.6213017751479293E-2</v>
      </c>
      <c r="L170" s="18">
        <f>IF(ISNUMBER(J170), $B172 * K170, "")</f>
        <v>5621.3017751479292</v>
      </c>
      <c r="M170" s="31">
        <v>708</v>
      </c>
      <c r="N170" s="32">
        <f t="shared" si="93"/>
        <v>4.7337278106508875E-2</v>
      </c>
      <c r="O170" s="18">
        <f>IF(ISNUMBER(M170), $B172 * N170, "")</f>
        <v>4733.7278106508875</v>
      </c>
      <c r="Q170" s="224"/>
      <c r="R170" s="225"/>
      <c r="S170" s="226"/>
    </row>
    <row r="171" spans="1:19" ht="17.25" thickBot="1">
      <c r="A171" s="130" t="s">
        <v>252</v>
      </c>
      <c r="B171" s="131">
        <v>266</v>
      </c>
      <c r="C171" s="79">
        <v>-0.15015974439999999</v>
      </c>
      <c r="D171" s="24">
        <v>277</v>
      </c>
      <c r="E171" s="25">
        <f t="shared" si="90"/>
        <v>4.1353383458646614E-2</v>
      </c>
      <c r="F171" s="104">
        <f>IF(ISNUMBER(D171), $B172 * E171, "")</f>
        <v>4135.3383458646613</v>
      </c>
      <c r="G171" s="102">
        <v>280</v>
      </c>
      <c r="H171" s="25">
        <f t="shared" si="91"/>
        <v>5.2631578947368418E-2</v>
      </c>
      <c r="I171" s="103">
        <f>IF(ISNUMBER(G171), $B172 * H171, "")</f>
        <v>5263.1578947368416</v>
      </c>
      <c r="J171" s="24">
        <v>283</v>
      </c>
      <c r="K171" s="25">
        <f t="shared" si="92"/>
        <v>6.3909774436090222E-2</v>
      </c>
      <c r="L171" s="104">
        <f>IF(ISNUMBER(J171), $B172 * K171, "")</f>
        <v>6390.977443609022</v>
      </c>
      <c r="M171" s="102">
        <v>277</v>
      </c>
      <c r="N171" s="25">
        <f t="shared" si="93"/>
        <v>4.1353383458646614E-2</v>
      </c>
      <c r="O171" s="104">
        <f>IF(ISNUMBER(M171), $B172 * N171, "")</f>
        <v>4135.3383458646613</v>
      </c>
      <c r="Q171" s="227"/>
      <c r="R171" s="228"/>
      <c r="S171" s="229"/>
    </row>
    <row r="172" spans="1:19" ht="17.25" thickBot="1">
      <c r="A172" s="132" t="s">
        <v>300</v>
      </c>
      <c r="B172" s="288">
        <f>$B$37</f>
        <v>100000</v>
      </c>
      <c r="C172" s="289"/>
      <c r="D172" s="26" t="s">
        <v>301</v>
      </c>
      <c r="E172" s="27">
        <f>IF(COUNT(E152:E171), SUM(E152:E171) / COUNT(E152:E171), 0)</f>
        <v>4.1384705685697985E-2</v>
      </c>
      <c r="F172" s="28">
        <f>SUM(F152:F171)</f>
        <v>82769.411371395981</v>
      </c>
      <c r="G172" s="26" t="s">
        <v>301</v>
      </c>
      <c r="H172" s="27">
        <f>IF(COUNT(H152:H171), SUM(H152:H171) / COUNT(H152:H171), 0)</f>
        <v>4.6753073928874248E-2</v>
      </c>
      <c r="I172" s="28">
        <f>SUM(I152:I171)</f>
        <v>93506.14785774851</v>
      </c>
      <c r="J172" s="26" t="s">
        <v>301</v>
      </c>
      <c r="K172" s="27">
        <f>IF(COUNT(K152:K171), SUM(K152:K171) / COUNT(K152:K171), 0)</f>
        <v>6.7742033849261613E-2</v>
      </c>
      <c r="L172" s="28">
        <f>SUM(L152:L171)</f>
        <v>135484.0676985232</v>
      </c>
      <c r="M172" s="26" t="s">
        <v>301</v>
      </c>
      <c r="N172" s="27">
        <f>IF(COUNT(N152:N171), SUM(N152:N171) / COUNT(N152:N171), 0)</f>
        <v>5.1082502048854159E-2</v>
      </c>
      <c r="O172" s="28">
        <f>SUM(O152:O171)</f>
        <v>102165.00409770834</v>
      </c>
      <c r="Q172" s="230"/>
      <c r="R172" s="231"/>
      <c r="S172" s="232"/>
    </row>
    <row r="174" spans="1:19" ht="17.25" thickBot="1"/>
    <row r="175" spans="1:19" ht="17.25" thickBot="1">
      <c r="A175" s="246" t="s">
        <v>285</v>
      </c>
      <c r="B175" s="247"/>
      <c r="C175" s="247"/>
      <c r="D175" s="247"/>
      <c r="E175" s="247"/>
      <c r="F175" s="247"/>
      <c r="G175" s="247"/>
      <c r="H175" s="247"/>
      <c r="I175" s="247"/>
      <c r="J175" s="247"/>
      <c r="K175" s="247"/>
      <c r="L175" s="247"/>
      <c r="M175" s="247"/>
      <c r="N175" s="247"/>
      <c r="O175" s="248"/>
      <c r="Q175" s="245"/>
      <c r="R175" s="245"/>
      <c r="S175" s="245"/>
    </row>
    <row r="176" spans="1:19" ht="17.25" thickBot="1">
      <c r="A176" s="192" t="s">
        <v>297</v>
      </c>
      <c r="B176" s="246" t="s">
        <v>49</v>
      </c>
      <c r="C176" s="248"/>
      <c r="D176" s="246" t="s">
        <v>58</v>
      </c>
      <c r="E176" s="247"/>
      <c r="F176" s="248"/>
      <c r="G176" s="249">
        <f>_xlfn.IFNA(VLOOKUP(B176, 현재가테이블!$B$2:$D$200, 2, FALSE), "-")</f>
        <v>45335000</v>
      </c>
      <c r="H176" s="250"/>
      <c r="I176" s="251"/>
      <c r="J176" s="246" t="s">
        <v>59</v>
      </c>
      <c r="K176" s="247"/>
      <c r="L176" s="248"/>
      <c r="M176" s="252">
        <f>_xlfn.IFNA(VLOOKUP(B176, 현재가테이블!$B$2:$D$200, 3, FALSE), "-")</f>
        <v>-2.27209037E-2</v>
      </c>
      <c r="N176" s="253"/>
      <c r="O176" s="254"/>
      <c r="Q176" s="245"/>
      <c r="R176" s="245"/>
      <c r="S176" s="245"/>
    </row>
    <row r="177" spans="1:19" ht="17.25" thickBot="1">
      <c r="A177" s="290" t="s">
        <v>55</v>
      </c>
      <c r="B177" s="286" t="str">
        <f>TEXT($G$1, "[$-ko-KR]yyyy-mm-dd(ddd) ") &amp; "오전 00:00"</f>
        <v>2021-06-09(수) 오전 00:00</v>
      </c>
      <c r="C177" s="287"/>
      <c r="D177" s="259" t="str">
        <f>TEXT($G$1, "[$-ko-KR]yyyy-mm-dd(ddd) ") &amp; "오후 14:00"</f>
        <v>2021-06-09(수) 오후 14:00</v>
      </c>
      <c r="E177" s="260"/>
      <c r="F177" s="261"/>
      <c r="G177" s="259" t="str">
        <f>TEXT($G$1, "[$-ko-KR]yyyy-mm-dd(ddd) ") &amp; "오후 19:00"</f>
        <v>2021-06-09(수) 오후 19:00</v>
      </c>
      <c r="H177" s="260"/>
      <c r="I177" s="261"/>
      <c r="J177" s="259" t="str">
        <f>TEXT($G$1, "[$-ko-KR]yyyy-mm-dd(ddd) ") &amp; "오후 21:00"</f>
        <v>2021-06-09(수) 오후 21:00</v>
      </c>
      <c r="K177" s="260"/>
      <c r="L177" s="261"/>
      <c r="M177" s="259" t="str">
        <f>TEXT($G$1+1, "[$-ko-KR]yyyy-mm-dd(ddd) ") &amp; "오전 00:00"</f>
        <v>2021-06-10(목) 오전 00:00</v>
      </c>
      <c r="N177" s="260"/>
      <c r="O177" s="261"/>
      <c r="Q177" s="245"/>
      <c r="R177" s="245"/>
      <c r="S177" s="245"/>
    </row>
    <row r="178" spans="1:19" ht="17.25" thickBot="1">
      <c r="A178" s="291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93" t="s">
        <v>58</v>
      </c>
      <c r="H178" s="194" t="s">
        <v>298</v>
      </c>
      <c r="I178" s="195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5"/>
      <c r="R178" s="235"/>
      <c r="S178" s="235"/>
    </row>
    <row r="179" spans="1:19" ht="17.25" thickBot="1">
      <c r="A179" s="161" t="s">
        <v>272</v>
      </c>
      <c r="B179" s="124">
        <v>1195</v>
      </c>
      <c r="C179" s="76">
        <v>-0.13718411550000001</v>
      </c>
      <c r="D179" s="13">
        <v>1475</v>
      </c>
      <c r="E179" s="14">
        <f>IF(ISNUMBER(D179), (D179 - $B179) / $B179, "")</f>
        <v>0.23430962343096234</v>
      </c>
      <c r="F179" s="16">
        <f>IF(ISNUMBER(D179), $B199 * E179, "")</f>
        <v>23430.962343096235</v>
      </c>
      <c r="G179" s="29">
        <v>1440</v>
      </c>
      <c r="H179" s="14">
        <f>IF(ISNUMBER(G179), (G179 - $B179) / $B179, "")</f>
        <v>0.20502092050209206</v>
      </c>
      <c r="I179" s="100">
        <f>IF(ISNUMBER(G179), $B199 * H179, "")</f>
        <v>20502.092050209205</v>
      </c>
      <c r="J179" s="13">
        <v>1395</v>
      </c>
      <c r="K179" s="14">
        <f>IF(ISNUMBER(J179), (J179 - $B179) / $B179, "")</f>
        <v>0.16736401673640167</v>
      </c>
      <c r="L179" s="16">
        <f>IF(ISNUMBER(J179), $B199 * K179, "")</f>
        <v>16736.401673640168</v>
      </c>
      <c r="M179" s="29">
        <v>1365</v>
      </c>
      <c r="N179" s="14">
        <f>IF(ISNUMBER(M179), (M179 - $B179) / $B179, "")</f>
        <v>0.14225941422594143</v>
      </c>
      <c r="O179" s="16">
        <f>IF(ISNUMBER(M179), $B199 * N179, "")</f>
        <v>14225.941422594144</v>
      </c>
      <c r="Q179" s="245"/>
      <c r="R179" s="245"/>
      <c r="S179" s="245"/>
    </row>
    <row r="180" spans="1:19" ht="17.25" thickBot="1">
      <c r="A180" s="162" t="s">
        <v>174</v>
      </c>
      <c r="B180" s="126">
        <v>150</v>
      </c>
      <c r="C180" s="77">
        <v>-0.13793103449999999</v>
      </c>
      <c r="D180" s="15">
        <v>155</v>
      </c>
      <c r="E180" s="32">
        <f t="shared" ref="E180:E183" si="94">IF(ISNUMBER(D180), (D180 - $B180) / $B180, "")</f>
        <v>3.3333333333333333E-2</v>
      </c>
      <c r="F180" s="18">
        <f>IF(ISNUMBER(D180), $B199 * E180, "")</f>
        <v>3333.3333333333335</v>
      </c>
      <c r="G180" s="31">
        <v>154</v>
      </c>
      <c r="H180" s="32">
        <f t="shared" ref="H180:H183" si="95">IF(ISNUMBER(G180), (G180 - $B180) / $B180, "")</f>
        <v>2.6666666666666668E-2</v>
      </c>
      <c r="I180" s="101">
        <f>IF(ISNUMBER(G180), $B199 * H180, "")</f>
        <v>2666.666666666667</v>
      </c>
      <c r="J180" s="15">
        <v>156</v>
      </c>
      <c r="K180" s="32">
        <f t="shared" ref="K180:K183" si="96">IF(ISNUMBER(J180), (J180 - $B180) / $B180, "")</f>
        <v>0.04</v>
      </c>
      <c r="L180" s="18">
        <f>IF(ISNUMBER(J180), $B199 * K180, "")</f>
        <v>4000</v>
      </c>
      <c r="M180" s="31">
        <v>157</v>
      </c>
      <c r="N180" s="32">
        <f t="shared" ref="N180:N183" si="97">IF(ISNUMBER(M180), (M180 - $B180) / $B180, "")</f>
        <v>4.6666666666666669E-2</v>
      </c>
      <c r="O180" s="18">
        <f>IF(ISNUMBER(M180), $B199 * N180, "")</f>
        <v>4666.666666666667</v>
      </c>
      <c r="Q180" s="245"/>
      <c r="R180" s="245"/>
      <c r="S180" s="245"/>
    </row>
    <row r="181" spans="1:19" ht="17.25" thickBot="1">
      <c r="A181" s="162" t="s">
        <v>198</v>
      </c>
      <c r="B181" s="126">
        <v>13.6</v>
      </c>
      <c r="C181" s="77">
        <v>-0.13924050630000001</v>
      </c>
      <c r="D181" s="15">
        <v>13.8</v>
      </c>
      <c r="E181" s="32">
        <f t="shared" si="94"/>
        <v>1.4705882352941256E-2</v>
      </c>
      <c r="F181" s="18">
        <f>IF(ISNUMBER(D181), $B199 * E181, "")</f>
        <v>1470.5882352941255</v>
      </c>
      <c r="G181" s="31">
        <v>13.7</v>
      </c>
      <c r="H181" s="32">
        <f t="shared" si="95"/>
        <v>7.3529411764705621E-3</v>
      </c>
      <c r="I181" s="101">
        <f>IF(ISNUMBER(G181), $B199 * H181, "")</f>
        <v>735.29411764705617</v>
      </c>
      <c r="J181" s="15">
        <v>14.1</v>
      </c>
      <c r="K181" s="32">
        <f t="shared" si="96"/>
        <v>3.6764705882352942E-2</v>
      </c>
      <c r="L181" s="18">
        <f>IF(ISNUMBER(J181), $B199 * K181, "")</f>
        <v>3676.4705882352941</v>
      </c>
      <c r="M181" s="31">
        <v>14</v>
      </c>
      <c r="N181" s="32">
        <f t="shared" si="97"/>
        <v>2.941176470588238E-2</v>
      </c>
      <c r="O181" s="18">
        <f>IF(ISNUMBER(M181), $B199 * N181, "")</f>
        <v>2941.1764705882379</v>
      </c>
      <c r="Q181" s="235"/>
      <c r="R181" s="235"/>
      <c r="S181" s="235"/>
    </row>
    <row r="182" spans="1:19" ht="17.25" thickBot="1">
      <c r="A182" s="162" t="s">
        <v>204</v>
      </c>
      <c r="B182" s="126">
        <v>3165</v>
      </c>
      <c r="C182" s="77">
        <v>-0.13994565219999999</v>
      </c>
      <c r="D182" s="15">
        <v>3255</v>
      </c>
      <c r="E182" s="32">
        <f t="shared" si="94"/>
        <v>2.843601895734597E-2</v>
      </c>
      <c r="F182" s="18">
        <f>IF(ISNUMBER(D182), $B199 * E182, "")</f>
        <v>2843.6018957345968</v>
      </c>
      <c r="G182" s="31">
        <v>3255</v>
      </c>
      <c r="H182" s="32">
        <f t="shared" si="95"/>
        <v>2.843601895734597E-2</v>
      </c>
      <c r="I182" s="101">
        <f>IF(ISNUMBER(G182), $B199 * H182, "")</f>
        <v>2843.6018957345968</v>
      </c>
      <c r="J182" s="15">
        <v>3350</v>
      </c>
      <c r="K182" s="32">
        <f t="shared" si="96"/>
        <v>5.845181674565561E-2</v>
      </c>
      <c r="L182" s="18">
        <f>IF(ISNUMBER(J182), $B199 * K182, "")</f>
        <v>5845.1816745655615</v>
      </c>
      <c r="M182" s="31">
        <v>3305</v>
      </c>
      <c r="N182" s="32">
        <f t="shared" si="97"/>
        <v>4.4233807266982623E-2</v>
      </c>
      <c r="O182" s="18">
        <f>IF(ISNUMBER(M182), $B199 * N182, "")</f>
        <v>4423.3807266982622</v>
      </c>
      <c r="Q182" s="235"/>
      <c r="R182" s="235"/>
      <c r="S182" s="235"/>
    </row>
    <row r="183" spans="1:19" ht="17.25" thickBot="1">
      <c r="A183" s="163" t="s">
        <v>122</v>
      </c>
      <c r="B183" s="128">
        <v>53.9</v>
      </c>
      <c r="C183" s="78">
        <v>-0.1403508772</v>
      </c>
      <c r="D183" s="20">
        <v>55.1</v>
      </c>
      <c r="E183" s="21">
        <f t="shared" si="94"/>
        <v>2.2263450834879461E-2</v>
      </c>
      <c r="F183" s="22">
        <f>IF(ISNUMBER(D183), $B199 * E183, "")</f>
        <v>2226.3450834879463</v>
      </c>
      <c r="G183" s="30">
        <v>54.9</v>
      </c>
      <c r="H183" s="21">
        <f t="shared" si="95"/>
        <v>1.8552875695732839E-2</v>
      </c>
      <c r="I183" s="105">
        <f>IF(ISNUMBER(G183), $B199 * H183, "")</f>
        <v>1855.2875695732839</v>
      </c>
      <c r="J183" s="20">
        <v>55.6</v>
      </c>
      <c r="K183" s="21">
        <f t="shared" si="96"/>
        <v>3.1539888682745876E-2</v>
      </c>
      <c r="L183" s="22">
        <f>IF(ISNUMBER(J183), $B199 * K183, "")</f>
        <v>3153.9888682745877</v>
      </c>
      <c r="M183" s="30">
        <v>55.4</v>
      </c>
      <c r="N183" s="21">
        <f t="shared" si="97"/>
        <v>2.7829313543599257E-2</v>
      </c>
      <c r="O183" s="22">
        <f>IF(ISNUMBER(M183), $B199 * N183, "")</f>
        <v>2782.9313543599255</v>
      </c>
      <c r="Q183" s="235"/>
      <c r="R183" s="235"/>
      <c r="S183" s="235"/>
    </row>
    <row r="184" spans="1:19" ht="17.25" thickBot="1">
      <c r="A184" s="162" t="s">
        <v>212</v>
      </c>
      <c r="B184" s="129">
        <v>62</v>
      </c>
      <c r="C184" s="80">
        <v>-0.14127423820000001</v>
      </c>
      <c r="D184" s="106">
        <v>62.9</v>
      </c>
      <c r="E184" s="107">
        <f>IF(ISNUMBER(D184), (D184 - $B184) / $B184, "")</f>
        <v>1.4516129032258041E-2</v>
      </c>
      <c r="F184" s="108">
        <f>IF(ISNUMBER(D184), $B199 * E184, "")</f>
        <v>1451.6129032258041</v>
      </c>
      <c r="G184" s="109">
        <v>63.4</v>
      </c>
      <c r="H184" s="107">
        <f>IF(ISNUMBER(G184), (G184 - $B184) / $B184, "")</f>
        <v>2.25806451612903E-2</v>
      </c>
      <c r="I184" s="110">
        <f>IF(ISNUMBER(G184), $B199 * H184, "")</f>
        <v>2258.0645161290299</v>
      </c>
      <c r="J184" s="106">
        <v>64.7</v>
      </c>
      <c r="K184" s="107">
        <f>IF(ISNUMBER(J184), (J184 - $B184) / $B184, "")</f>
        <v>4.3548387096774242E-2</v>
      </c>
      <c r="L184" s="108">
        <f>IF(ISNUMBER(J184), $B199 * K184, "")</f>
        <v>4354.838709677424</v>
      </c>
      <c r="M184" s="109">
        <v>63.8</v>
      </c>
      <c r="N184" s="107">
        <f>IF(ISNUMBER(M184), (M184 - $B184) / $B184, "")</f>
        <v>2.9032258064516082E-2</v>
      </c>
      <c r="O184" s="108">
        <f>IF(ISNUMBER(M184), $B199 * N184, "")</f>
        <v>2903.2258064516082</v>
      </c>
      <c r="Q184" s="235"/>
      <c r="R184" s="235"/>
      <c r="S184" s="235"/>
    </row>
    <row r="185" spans="1:19" ht="17.25" thickBot="1">
      <c r="A185" s="162" t="s">
        <v>72</v>
      </c>
      <c r="B185" s="126">
        <v>17.5</v>
      </c>
      <c r="C185" s="77">
        <v>-0.1421568627</v>
      </c>
      <c r="D185" s="15">
        <v>18.5</v>
      </c>
      <c r="E185" s="32">
        <f t="shared" ref="E185:E188" si="98">IF(ISNUMBER(D185), (D185 - $B185) / $B185, "")</f>
        <v>5.7142857142857141E-2</v>
      </c>
      <c r="F185" s="18">
        <f>IF(ISNUMBER(D185), $B199 * E185, "")</f>
        <v>5714.2857142857138</v>
      </c>
      <c r="G185" s="31">
        <v>18.7</v>
      </c>
      <c r="H185" s="32">
        <f t="shared" ref="H185:H188" si="99">IF(ISNUMBER(G185), (G185 - $B185) / $B185, "")</f>
        <v>6.8571428571428533E-2</v>
      </c>
      <c r="I185" s="101">
        <f>IF(ISNUMBER(G185), $B199 * H185, "")</f>
        <v>6857.1428571428532</v>
      </c>
      <c r="J185" s="15">
        <v>18.7</v>
      </c>
      <c r="K185" s="32">
        <f t="shared" ref="K185:K188" si="100">IF(ISNUMBER(J185), (J185 - $B185) / $B185, "")</f>
        <v>6.8571428571428533E-2</v>
      </c>
      <c r="L185" s="18">
        <f>IF(ISNUMBER(J185), $B199 * K185, "")</f>
        <v>6857.1428571428532</v>
      </c>
      <c r="M185" s="31">
        <v>18.600000000000001</v>
      </c>
      <c r="N185" s="32">
        <f t="shared" ref="N185:N188" si="101">IF(ISNUMBER(M185), (M185 - $B185) / $B185, "")</f>
        <v>6.2857142857142945E-2</v>
      </c>
      <c r="O185" s="18">
        <f>IF(ISNUMBER(M185), $B199 * N185, "")</f>
        <v>6285.7142857142944</v>
      </c>
      <c r="Q185" s="235"/>
      <c r="R185" s="235"/>
      <c r="S185" s="235"/>
    </row>
    <row r="186" spans="1:19" ht="17.25" thickBot="1">
      <c r="A186" s="162" t="s">
        <v>246</v>
      </c>
      <c r="B186" s="126">
        <v>255</v>
      </c>
      <c r="C186" s="77">
        <v>-0.14429530199999999</v>
      </c>
      <c r="D186" s="15">
        <v>280</v>
      </c>
      <c r="E186" s="32">
        <f t="shared" si="98"/>
        <v>9.8039215686274508E-2</v>
      </c>
      <c r="F186" s="18">
        <f>IF(ISNUMBER(D186), $B199 * E186, "")</f>
        <v>9803.9215686274511</v>
      </c>
      <c r="G186" s="31">
        <v>266</v>
      </c>
      <c r="H186" s="32">
        <f t="shared" si="99"/>
        <v>4.3137254901960784E-2</v>
      </c>
      <c r="I186" s="101">
        <f>IF(ISNUMBER(G186), $B199 * H186, "")</f>
        <v>4313.7254901960787</v>
      </c>
      <c r="J186" s="15">
        <v>273</v>
      </c>
      <c r="K186" s="32">
        <f t="shared" si="100"/>
        <v>7.0588235294117646E-2</v>
      </c>
      <c r="L186" s="18">
        <f>IF(ISNUMBER(J186), $B199 * K186, "")</f>
        <v>7058.8235294117649</v>
      </c>
      <c r="M186" s="31">
        <v>270</v>
      </c>
      <c r="N186" s="32">
        <f t="shared" si="101"/>
        <v>5.8823529411764705E-2</v>
      </c>
      <c r="O186" s="18">
        <f>IF(ISNUMBER(M186), $B199 * N186, "")</f>
        <v>5882.3529411764703</v>
      </c>
      <c r="Q186" s="235"/>
      <c r="R186" s="235"/>
      <c r="S186" s="235"/>
    </row>
    <row r="187" spans="1:19" ht="17.25" thickBot="1">
      <c r="A187" s="162" t="s">
        <v>208</v>
      </c>
      <c r="B187" s="126">
        <v>255</v>
      </c>
      <c r="C187" s="77">
        <v>-0.14429530199999999</v>
      </c>
      <c r="D187" s="15">
        <v>263</v>
      </c>
      <c r="E187" s="32">
        <f t="shared" si="98"/>
        <v>3.1372549019607843E-2</v>
      </c>
      <c r="F187" s="18">
        <f>IF(ISNUMBER(D187), $B199 * E187, "")</f>
        <v>3137.2549019607841</v>
      </c>
      <c r="G187" s="31">
        <v>261</v>
      </c>
      <c r="H187" s="32">
        <f t="shared" si="99"/>
        <v>2.3529411764705882E-2</v>
      </c>
      <c r="I187" s="101">
        <f>IF(ISNUMBER(G187), $B199 * H187, "")</f>
        <v>2352.9411764705883</v>
      </c>
      <c r="J187" s="15">
        <v>267</v>
      </c>
      <c r="K187" s="32">
        <f t="shared" si="100"/>
        <v>4.7058823529411764E-2</v>
      </c>
      <c r="L187" s="18">
        <f>IF(ISNUMBER(J187), $B199 * K187, "")</f>
        <v>4705.8823529411766</v>
      </c>
      <c r="M187" s="31">
        <v>264</v>
      </c>
      <c r="N187" s="32">
        <f t="shared" si="101"/>
        <v>3.5294117647058823E-2</v>
      </c>
      <c r="O187" s="18">
        <f>IF(ISNUMBER(M187), $B199 * N187, "")</f>
        <v>3529.4117647058824</v>
      </c>
      <c r="Q187" s="33"/>
      <c r="R187" s="33"/>
    </row>
    <row r="188" spans="1:19" ht="17.25" thickBot="1">
      <c r="A188" s="130" t="s">
        <v>182</v>
      </c>
      <c r="B188" s="131">
        <v>260</v>
      </c>
      <c r="C188" s="79">
        <v>-0.14754098360000001</v>
      </c>
      <c r="D188" s="24">
        <v>263</v>
      </c>
      <c r="E188" s="25">
        <f t="shared" si="98"/>
        <v>1.1538461538461539E-2</v>
      </c>
      <c r="F188" s="104">
        <f>IF(ISNUMBER(D188), $B199 * E188, "")</f>
        <v>1153.8461538461538</v>
      </c>
      <c r="G188" s="102">
        <v>265</v>
      </c>
      <c r="H188" s="25">
        <f t="shared" si="99"/>
        <v>1.9230769230769232E-2</v>
      </c>
      <c r="I188" s="103">
        <f>IF(ISNUMBER(G188), $B199 * H188, "")</f>
        <v>1923.0769230769231</v>
      </c>
      <c r="J188" s="24">
        <v>275</v>
      </c>
      <c r="K188" s="25">
        <f t="shared" si="100"/>
        <v>5.7692307692307696E-2</v>
      </c>
      <c r="L188" s="104">
        <f>IF(ISNUMBER(J188), $B199 * K188, "")</f>
        <v>5769.2307692307695</v>
      </c>
      <c r="M188" s="102">
        <v>266</v>
      </c>
      <c r="N188" s="25">
        <f t="shared" si="101"/>
        <v>2.3076923076923078E-2</v>
      </c>
      <c r="O188" s="104">
        <f>IF(ISNUMBER(M188), $B199 * N188, "")</f>
        <v>2307.6923076923076</v>
      </c>
      <c r="Q188" s="236"/>
      <c r="R188" s="237"/>
      <c r="S188" s="238"/>
    </row>
    <row r="189" spans="1:19">
      <c r="A189" s="161" t="s">
        <v>234</v>
      </c>
      <c r="B189" s="124">
        <v>676</v>
      </c>
      <c r="C189" s="76">
        <v>-0.1486146096</v>
      </c>
      <c r="D189" s="13">
        <v>706</v>
      </c>
      <c r="E189" s="14">
        <f>IF(ISNUMBER(D189), (D189 - $B189) / $B189, "")</f>
        <v>4.4378698224852069E-2</v>
      </c>
      <c r="F189" s="16">
        <f>IF(ISNUMBER(D189), $B199 * E189, "")</f>
        <v>4437.8698224852069</v>
      </c>
      <c r="G189" s="29">
        <v>704</v>
      </c>
      <c r="H189" s="14">
        <f>IF(ISNUMBER(G189), (G189 - $B189) / $B189, "")</f>
        <v>4.142011834319527E-2</v>
      </c>
      <c r="I189" s="100">
        <f>IF(ISNUMBER(G189), $B199 * H189, "")</f>
        <v>4142.0118343195272</v>
      </c>
      <c r="J189" s="13">
        <v>714</v>
      </c>
      <c r="K189" s="14">
        <f>IF(ISNUMBER(J189), (J189 - $B189) / $B189, "")</f>
        <v>5.6213017751479293E-2</v>
      </c>
      <c r="L189" s="16">
        <f>IF(ISNUMBER(J189), $B199 * K189, "")</f>
        <v>5621.3017751479292</v>
      </c>
      <c r="M189" s="29">
        <v>708</v>
      </c>
      <c r="N189" s="14">
        <f>IF(ISNUMBER(M189), (M189 - $B189) / $B189, "")</f>
        <v>4.7337278106508875E-2</v>
      </c>
      <c r="O189" s="16">
        <f>IF(ISNUMBER(M189), $B199 * N189, "")</f>
        <v>4733.7278106508875</v>
      </c>
      <c r="Q189" s="239"/>
      <c r="R189" s="240"/>
      <c r="S189" s="241"/>
    </row>
    <row r="190" spans="1:19" ht="17.25" thickBot="1">
      <c r="A190" s="162" t="s">
        <v>194</v>
      </c>
      <c r="B190" s="126">
        <v>7535</v>
      </c>
      <c r="C190" s="77">
        <v>-0.15002820080000001</v>
      </c>
      <c r="D190" s="15">
        <v>7560</v>
      </c>
      <c r="E190" s="32">
        <f t="shared" ref="E190:E193" si="102">IF(ISNUMBER(D190), (D190 - $B190) / $B190, "")</f>
        <v>3.3178500331785005E-3</v>
      </c>
      <c r="F190" s="18">
        <f>IF(ISNUMBER(D190), $B199 * E190, "")</f>
        <v>331.78500331785006</v>
      </c>
      <c r="G190" s="31">
        <v>7540</v>
      </c>
      <c r="H190" s="32">
        <f t="shared" ref="H190:H193" si="103">IF(ISNUMBER(G190), (G190 - $B190) / $B190, "")</f>
        <v>6.6357000663570006E-4</v>
      </c>
      <c r="I190" s="101">
        <f>IF(ISNUMBER(G190), $B199 * H190, "")</f>
        <v>66.357000663570005</v>
      </c>
      <c r="J190" s="15">
        <v>7695</v>
      </c>
      <c r="K190" s="32">
        <f t="shared" ref="K190:K193" si="104">IF(ISNUMBER(J190), (J190 - $B190) / $B190, "")</f>
        <v>2.1234240212342402E-2</v>
      </c>
      <c r="L190" s="18">
        <f>IF(ISNUMBER(J190), $B199 * K190, "")</f>
        <v>2123.4240212342402</v>
      </c>
      <c r="M190" s="31">
        <v>7605</v>
      </c>
      <c r="N190" s="32">
        <f t="shared" ref="N190:N193" si="105">IF(ISNUMBER(M190), (M190 - $B190) / $B190, "")</f>
        <v>9.2899800928998005E-3</v>
      </c>
      <c r="O190" s="18">
        <f>IF(ISNUMBER(M190), $B199 * N190, "")</f>
        <v>928.99800928998002</v>
      </c>
      <c r="Q190" s="242"/>
      <c r="R190" s="243"/>
      <c r="S190" s="244"/>
    </row>
    <row r="191" spans="1:19" ht="17.25" thickBot="1">
      <c r="A191" s="162" t="s">
        <v>252</v>
      </c>
      <c r="B191" s="126">
        <v>266</v>
      </c>
      <c r="C191" s="77">
        <v>-0.15015974439999999</v>
      </c>
      <c r="D191" s="15">
        <v>277</v>
      </c>
      <c r="E191" s="32">
        <f t="shared" si="102"/>
        <v>4.1353383458646614E-2</v>
      </c>
      <c r="F191" s="18">
        <f>IF(ISNUMBER(D191), $B199 * E191, "")</f>
        <v>4135.3383458646613</v>
      </c>
      <c r="G191" s="31">
        <v>280</v>
      </c>
      <c r="H191" s="32">
        <f t="shared" si="103"/>
        <v>5.2631578947368418E-2</v>
      </c>
      <c r="I191" s="101">
        <f>IF(ISNUMBER(G191), $B199 * H191, "")</f>
        <v>5263.1578947368416</v>
      </c>
      <c r="J191" s="15">
        <v>283</v>
      </c>
      <c r="K191" s="32">
        <f t="shared" si="104"/>
        <v>6.3909774436090222E-2</v>
      </c>
      <c r="L191" s="18">
        <f>IF(ISNUMBER(J191), $B199 * K191, "")</f>
        <v>6390.977443609022</v>
      </c>
      <c r="M191" s="31">
        <v>277</v>
      </c>
      <c r="N191" s="32">
        <f t="shared" si="105"/>
        <v>4.1353383458646614E-2</v>
      </c>
      <c r="O191" s="18">
        <f>IF(ISNUMBER(M191), $B199 * N191, "")</f>
        <v>4135.3383458646613</v>
      </c>
      <c r="Q191" s="235"/>
      <c r="R191" s="235"/>
      <c r="S191" s="235"/>
    </row>
    <row r="192" spans="1:19" ht="17.25" thickBot="1">
      <c r="A192" s="162" t="s">
        <v>186</v>
      </c>
      <c r="B192" s="126">
        <v>14.5</v>
      </c>
      <c r="C192" s="77">
        <v>-0.15204678360000001</v>
      </c>
      <c r="D192" s="15">
        <v>14.5</v>
      </c>
      <c r="E192" s="32">
        <f t="shared" si="102"/>
        <v>0</v>
      </c>
      <c r="F192" s="18">
        <f>IF(ISNUMBER(D192), $B199 * E192, "")</f>
        <v>0</v>
      </c>
      <c r="G192" s="31">
        <v>14.7</v>
      </c>
      <c r="H192" s="32">
        <f t="shared" si="103"/>
        <v>1.3793103448275813E-2</v>
      </c>
      <c r="I192" s="101">
        <f>IF(ISNUMBER(G192), $B199 * H192, "")</f>
        <v>1379.3103448275813</v>
      </c>
      <c r="J192" s="15">
        <v>15</v>
      </c>
      <c r="K192" s="32">
        <f t="shared" si="104"/>
        <v>3.4482758620689655E-2</v>
      </c>
      <c r="L192" s="18">
        <f>IF(ISNUMBER(J192), $B199 * K192, "")</f>
        <v>3448.2758620689656</v>
      </c>
      <c r="M192" s="31">
        <v>15.1</v>
      </c>
      <c r="N192" s="32">
        <f t="shared" si="105"/>
        <v>4.1379310344827565E-2</v>
      </c>
      <c r="O192" s="18">
        <f>IF(ISNUMBER(M192), $B199 * N192, "")</f>
        <v>4137.9310344827563</v>
      </c>
      <c r="Q192" s="245"/>
      <c r="R192" s="245"/>
      <c r="S192" s="245"/>
    </row>
    <row r="193" spans="1:19" ht="17.25" thickBot="1">
      <c r="A193" s="163" t="s">
        <v>224</v>
      </c>
      <c r="B193" s="128">
        <v>1240</v>
      </c>
      <c r="C193" s="78">
        <v>-0.15358361770000001</v>
      </c>
      <c r="D193" s="20">
        <v>1410</v>
      </c>
      <c r="E193" s="21">
        <f t="shared" si="102"/>
        <v>0.13709677419354838</v>
      </c>
      <c r="F193" s="22">
        <f>IF(ISNUMBER(D193), $B199 * E193, "")</f>
        <v>13709.677419354837</v>
      </c>
      <c r="G193" s="30">
        <v>1415</v>
      </c>
      <c r="H193" s="21">
        <f t="shared" si="103"/>
        <v>0.14112903225806453</v>
      </c>
      <c r="I193" s="105">
        <f>IF(ISNUMBER(G193), $B199 * H193, "")</f>
        <v>14112.903225806453</v>
      </c>
      <c r="J193" s="20">
        <v>1385</v>
      </c>
      <c r="K193" s="21">
        <f t="shared" si="104"/>
        <v>0.11693548387096774</v>
      </c>
      <c r="L193" s="22">
        <f>IF(ISNUMBER(J193), $B199 * K193, "")</f>
        <v>11693.548387096773</v>
      </c>
      <c r="M193" s="30">
        <v>1355</v>
      </c>
      <c r="N193" s="21">
        <f t="shared" si="105"/>
        <v>9.2741935483870969E-2</v>
      </c>
      <c r="O193" s="22">
        <f>IF(ISNUMBER(M193), $B199 * N193, "")</f>
        <v>9274.1935483870966</v>
      </c>
      <c r="Q193" s="245"/>
      <c r="R193" s="245"/>
      <c r="S193" s="245"/>
    </row>
    <row r="194" spans="1:19" ht="17.25" thickBot="1">
      <c r="A194" s="162" t="s">
        <v>220</v>
      </c>
      <c r="B194" s="129">
        <v>10.3</v>
      </c>
      <c r="C194" s="80">
        <v>-0.1557377049</v>
      </c>
      <c r="D194" s="106">
        <v>10.5</v>
      </c>
      <c r="E194" s="107">
        <f>IF(ISNUMBER(D194), (D194 - $B194) / $B194, "")</f>
        <v>1.9417475728155269E-2</v>
      </c>
      <c r="F194" s="108">
        <f>IF(ISNUMBER(D194), $B199 * E194, "")</f>
        <v>1941.7475728155268</v>
      </c>
      <c r="G194" s="109">
        <v>10.6</v>
      </c>
      <c r="H194" s="107">
        <f>IF(ISNUMBER(G194), (G194 - $B194) / $B194, "")</f>
        <v>2.9126213592232903E-2</v>
      </c>
      <c r="I194" s="110">
        <f>IF(ISNUMBER(G194), $B199 * H194, "")</f>
        <v>2912.6213592232903</v>
      </c>
      <c r="J194" s="106">
        <v>11</v>
      </c>
      <c r="K194" s="107">
        <f>IF(ISNUMBER(J194), (J194 - $B194) / $B194, "")</f>
        <v>6.7961165048543618E-2</v>
      </c>
      <c r="L194" s="108">
        <f>IF(ISNUMBER(J194), $B199 * K194, "")</f>
        <v>6796.1165048543617</v>
      </c>
      <c r="M194" s="109">
        <v>11.5</v>
      </c>
      <c r="N194" s="107">
        <f>IF(ISNUMBER(M194), (M194 - $B194) / $B194, "")</f>
        <v>0.11650485436893196</v>
      </c>
      <c r="O194" s="108">
        <f>IF(ISNUMBER(M194), $B199 * N194, "")</f>
        <v>11650.485436893196</v>
      </c>
      <c r="Q194" s="235"/>
      <c r="R194" s="235"/>
      <c r="S194" s="235"/>
    </row>
    <row r="195" spans="1:19" ht="17.25" thickBot="1">
      <c r="A195" s="162" t="s">
        <v>190</v>
      </c>
      <c r="B195" s="126">
        <v>49950</v>
      </c>
      <c r="C195" s="77">
        <v>-0.16471571909999999</v>
      </c>
      <c r="D195" s="15">
        <v>58900</v>
      </c>
      <c r="E195" s="32">
        <f t="shared" ref="E195:E198" si="106">IF(ISNUMBER(D195), (D195 - $B195) / $B195, "")</f>
        <v>0.17917917917917917</v>
      </c>
      <c r="F195" s="18">
        <f>IF(ISNUMBER(D195), $B199 * E195, "")</f>
        <v>17917.917917917915</v>
      </c>
      <c r="G195" s="31">
        <v>61600</v>
      </c>
      <c r="H195" s="32">
        <f t="shared" ref="H195:H198" si="107">IF(ISNUMBER(G195), (G195 - $B195) / $B195, "")</f>
        <v>0.23323323323323322</v>
      </c>
      <c r="I195" s="101">
        <f>IF(ISNUMBER(G195), $B199 * H195, "")</f>
        <v>23323.323323323322</v>
      </c>
      <c r="J195" s="15">
        <v>60560</v>
      </c>
      <c r="K195" s="32">
        <f t="shared" ref="K195:K198" si="108">IF(ISNUMBER(J195), (J195 - $B195) / $B195, "")</f>
        <v>0.2124124124124124</v>
      </c>
      <c r="L195" s="18">
        <f>IF(ISNUMBER(J195), $B199 * K195, "")</f>
        <v>21241.241241241241</v>
      </c>
      <c r="M195" s="31">
        <v>60710</v>
      </c>
      <c r="N195" s="32">
        <f t="shared" ref="N195:N198" si="109">IF(ISNUMBER(M195), (M195 - $B195) / $B195, "")</f>
        <v>0.21541541541541542</v>
      </c>
      <c r="O195" s="18">
        <f>IF(ISNUMBER(M195), $B199 * N195, "")</f>
        <v>21541.541541541541</v>
      </c>
      <c r="Q195" s="235"/>
      <c r="R195" s="235"/>
      <c r="S195" s="235"/>
    </row>
    <row r="196" spans="1:19" ht="17.25" thickBot="1">
      <c r="A196" s="162" t="s">
        <v>274</v>
      </c>
      <c r="B196" s="126">
        <v>7980</v>
      </c>
      <c r="C196" s="77">
        <v>-0.17262830479999999</v>
      </c>
      <c r="D196" s="15">
        <v>8225</v>
      </c>
      <c r="E196" s="32">
        <f t="shared" si="106"/>
        <v>3.0701754385964911E-2</v>
      </c>
      <c r="F196" s="18">
        <f>IF(ISNUMBER(D196), $B199 * E196, "")</f>
        <v>3070.1754385964909</v>
      </c>
      <c r="G196" s="31">
        <v>8255</v>
      </c>
      <c r="H196" s="32">
        <f t="shared" si="107"/>
        <v>3.4461152882205512E-2</v>
      </c>
      <c r="I196" s="101">
        <f>IF(ISNUMBER(G196), $B199 * H196, "")</f>
        <v>3446.1152882205511</v>
      </c>
      <c r="J196" s="15">
        <v>8320</v>
      </c>
      <c r="K196" s="32">
        <f t="shared" si="108"/>
        <v>4.2606516290726815E-2</v>
      </c>
      <c r="L196" s="18">
        <f>IF(ISNUMBER(J196), $B199 * K196, "")</f>
        <v>4260.6516290726813</v>
      </c>
      <c r="M196" s="31">
        <v>8390</v>
      </c>
      <c r="N196" s="32">
        <f t="shared" si="109"/>
        <v>5.1378446115288218E-2</v>
      </c>
      <c r="O196" s="18">
        <f>IF(ISNUMBER(M196), $B199 * N196, "")</f>
        <v>5137.8446115288216</v>
      </c>
      <c r="Q196" s="235"/>
      <c r="R196" s="235"/>
      <c r="S196" s="235"/>
    </row>
    <row r="197" spans="1:19">
      <c r="A197" s="162" t="s">
        <v>276</v>
      </c>
      <c r="B197" s="126">
        <v>2780</v>
      </c>
      <c r="C197" s="77">
        <v>-0.18950437319999999</v>
      </c>
      <c r="D197" s="15">
        <v>3000</v>
      </c>
      <c r="E197" s="32">
        <f t="shared" si="106"/>
        <v>7.9136690647482008E-2</v>
      </c>
      <c r="F197" s="18">
        <f>IF(ISNUMBER(D197), $B199 * E197, "")</f>
        <v>7913.669064748201</v>
      </c>
      <c r="G197" s="31">
        <v>3075</v>
      </c>
      <c r="H197" s="32">
        <f t="shared" si="107"/>
        <v>0.10611510791366907</v>
      </c>
      <c r="I197" s="101">
        <f>IF(ISNUMBER(G197), $B199 * H197, "")</f>
        <v>10611.510791366907</v>
      </c>
      <c r="J197" s="15">
        <v>3045</v>
      </c>
      <c r="K197" s="32">
        <f t="shared" si="108"/>
        <v>9.5323741007194249E-2</v>
      </c>
      <c r="L197" s="18">
        <f>IF(ISNUMBER(J197), $B199 * K197, "")</f>
        <v>9532.3741007194258</v>
      </c>
      <c r="M197" s="31">
        <v>3055</v>
      </c>
      <c r="N197" s="32">
        <f t="shared" si="109"/>
        <v>9.8920863309352514E-2</v>
      </c>
      <c r="O197" s="18">
        <f>IF(ISNUMBER(M197), $B199 * N197, "")</f>
        <v>9892.0863309352517</v>
      </c>
      <c r="Q197" s="224"/>
      <c r="R197" s="225"/>
      <c r="S197" s="226"/>
    </row>
    <row r="198" spans="1:19" ht="17.25" thickBot="1">
      <c r="A198" s="130" t="s">
        <v>180</v>
      </c>
      <c r="B198" s="131">
        <v>2720</v>
      </c>
      <c r="C198" s="79">
        <v>-0.19882179680000001</v>
      </c>
      <c r="D198" s="24">
        <v>2780</v>
      </c>
      <c r="E198" s="25">
        <f t="shared" si="106"/>
        <v>2.2058823529411766E-2</v>
      </c>
      <c r="F198" s="104">
        <f>IF(ISNUMBER(D198), $B199 * E198, "")</f>
        <v>2205.8823529411766</v>
      </c>
      <c r="G198" s="102">
        <v>2780</v>
      </c>
      <c r="H198" s="25">
        <f t="shared" si="107"/>
        <v>2.2058823529411766E-2</v>
      </c>
      <c r="I198" s="103">
        <f>IF(ISNUMBER(G198), $B199 * H198, "")</f>
        <v>2205.8823529411766</v>
      </c>
      <c r="J198" s="24">
        <v>2810</v>
      </c>
      <c r="K198" s="25">
        <f t="shared" si="108"/>
        <v>3.3088235294117647E-2</v>
      </c>
      <c r="L198" s="104">
        <f>IF(ISNUMBER(J198), $B199 * K198, "")</f>
        <v>3308.8235294117649</v>
      </c>
      <c r="M198" s="102">
        <v>2770</v>
      </c>
      <c r="N198" s="25">
        <f t="shared" si="109"/>
        <v>1.8382352941176471E-2</v>
      </c>
      <c r="O198" s="104">
        <f>IF(ISNUMBER(M198), $B199 * N198, "")</f>
        <v>1838.2352941176471</v>
      </c>
      <c r="Q198" s="227"/>
      <c r="R198" s="228"/>
      <c r="S198" s="229"/>
    </row>
    <row r="199" spans="1:19" ht="17.25" thickBot="1">
      <c r="A199" s="132" t="s">
        <v>300</v>
      </c>
      <c r="B199" s="288">
        <f>$B$37</f>
        <v>100000</v>
      </c>
      <c r="C199" s="289"/>
      <c r="D199" s="26" t="s">
        <v>301</v>
      </c>
      <c r="E199" s="27">
        <f>IF(COUNT(E179:E198), SUM(E179:E198) / COUNT(E179:E198), 0)</f>
        <v>5.5114907535466995E-2</v>
      </c>
      <c r="F199" s="28">
        <f>SUM(F179:F198)</f>
        <v>110229.81507093401</v>
      </c>
      <c r="G199" s="26" t="s">
        <v>301</v>
      </c>
      <c r="H199" s="27">
        <f>IF(COUNT(H179:H198), SUM(H179:H198) / COUNT(H179:H198), 0)</f>
        <v>5.6885543339137742E-2</v>
      </c>
      <c r="I199" s="28">
        <f>SUM(I179:I198)</f>
        <v>113771.08667827549</v>
      </c>
      <c r="J199" s="26" t="s">
        <v>301</v>
      </c>
      <c r="K199" s="27">
        <f>IF(COUNT(K179:K198), SUM(K179:K198) / COUNT(K179:K198), 0)</f>
        <v>6.8287347758788003E-2</v>
      </c>
      <c r="L199" s="28">
        <f>SUM(L179:L198)</f>
        <v>136574.69551757604</v>
      </c>
      <c r="M199" s="26" t="s">
        <v>301</v>
      </c>
      <c r="N199" s="27">
        <f>IF(COUNT(N179:N198), SUM(N179:N198) / COUNT(N179:N198), 0)</f>
        <v>6.1609437855169827E-2</v>
      </c>
      <c r="O199" s="28">
        <f>SUM(O179:O198)</f>
        <v>123218.87571033965</v>
      </c>
      <c r="Q199" s="230"/>
      <c r="R199" s="231"/>
      <c r="S199" s="232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1A7CF-F76F-430B-9E25-3FBF08C75FF2}">
  <sheetPr codeName="Sheet16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6" t="s">
        <v>0</v>
      </c>
      <c r="B1" s="247"/>
      <c r="C1" s="247"/>
      <c r="D1" s="247"/>
      <c r="E1" s="247"/>
      <c r="F1" s="248"/>
      <c r="G1" s="277">
        <v>44357</v>
      </c>
      <c r="H1" s="278"/>
      <c r="I1" s="279"/>
      <c r="J1" s="246" t="s">
        <v>1</v>
      </c>
      <c r="K1" s="247"/>
      <c r="L1" s="247"/>
      <c r="M1" s="247"/>
      <c r="N1" s="247"/>
      <c r="O1" s="248"/>
      <c r="Q1" s="246" t="s">
        <v>2</v>
      </c>
      <c r="R1" s="248"/>
    </row>
    <row r="2" spans="1:19" ht="17.25" customHeight="1">
      <c r="A2" s="117" t="s">
        <v>3</v>
      </c>
      <c r="B2" s="280" t="s">
        <v>8</v>
      </c>
      <c r="C2" s="281"/>
      <c r="D2" s="281"/>
      <c r="E2" s="281"/>
      <c r="F2" s="282"/>
      <c r="G2" s="274" t="s">
        <v>46</v>
      </c>
      <c r="H2" s="275"/>
      <c r="I2" s="276"/>
      <c r="J2" s="1" t="s">
        <v>3</v>
      </c>
      <c r="K2" s="280" t="s">
        <v>350</v>
      </c>
      <c r="L2" s="281"/>
      <c r="M2" s="281"/>
      <c r="N2" s="281"/>
      <c r="O2" s="282"/>
      <c r="Q2" s="2" t="s">
        <v>6</v>
      </c>
      <c r="R2" s="3">
        <v>0.375</v>
      </c>
    </row>
    <row r="3" spans="1:19" ht="17.25" customHeight="1" thickBot="1">
      <c r="A3" s="118" t="s">
        <v>7</v>
      </c>
      <c r="B3" s="271" t="s">
        <v>358</v>
      </c>
      <c r="C3" s="272"/>
      <c r="D3" s="272"/>
      <c r="E3" s="272"/>
      <c r="F3" s="273"/>
      <c r="G3" s="26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26,139 KRW (1.31%)</v>
      </c>
      <c r="H3" s="268"/>
      <c r="I3" s="269"/>
      <c r="J3" s="4" t="s">
        <v>7</v>
      </c>
      <c r="K3" s="271" t="s">
        <v>351</v>
      </c>
      <c r="L3" s="272"/>
      <c r="M3" s="272"/>
      <c r="N3" s="272"/>
      <c r="O3" s="27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1" t="s">
        <v>16</v>
      </c>
      <c r="C4" s="272"/>
      <c r="D4" s="272"/>
      <c r="E4" s="272"/>
      <c r="F4" s="273"/>
      <c r="G4" s="274" t="s">
        <v>44</v>
      </c>
      <c r="H4" s="275"/>
      <c r="I4" s="276"/>
      <c r="J4" s="4" t="s">
        <v>11</v>
      </c>
      <c r="K4" s="271" t="s">
        <v>352</v>
      </c>
      <c r="L4" s="272"/>
      <c r="M4" s="272"/>
      <c r="N4" s="272"/>
      <c r="O4" s="27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1" t="s">
        <v>349</v>
      </c>
      <c r="C5" s="272"/>
      <c r="D5" s="272"/>
      <c r="E5" s="272"/>
      <c r="F5" s="273"/>
      <c r="G5" s="26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169,573 KRW (8.48%)</v>
      </c>
      <c r="H5" s="268"/>
      <c r="I5" s="269"/>
      <c r="J5" s="4" t="s">
        <v>15</v>
      </c>
      <c r="K5" s="271" t="s">
        <v>353</v>
      </c>
      <c r="L5" s="272"/>
      <c r="M5" s="272"/>
      <c r="N5" s="272"/>
      <c r="O5" s="273"/>
    </row>
    <row r="6" spans="1:19">
      <c r="A6" s="118" t="s">
        <v>18</v>
      </c>
      <c r="B6" s="271"/>
      <c r="C6" s="272"/>
      <c r="D6" s="272"/>
      <c r="E6" s="272"/>
      <c r="F6" s="273"/>
      <c r="G6" s="274" t="s">
        <v>45</v>
      </c>
      <c r="H6" s="275"/>
      <c r="I6" s="276"/>
      <c r="J6" s="4" t="s">
        <v>18</v>
      </c>
      <c r="K6" s="271" t="s">
        <v>354</v>
      </c>
      <c r="L6" s="272"/>
      <c r="M6" s="272"/>
      <c r="N6" s="272"/>
      <c r="O6" s="273"/>
    </row>
    <row r="7" spans="1:19" ht="17.25" thickBot="1">
      <c r="A7" s="118" t="s">
        <v>21</v>
      </c>
      <c r="B7" s="271"/>
      <c r="C7" s="272"/>
      <c r="D7" s="272"/>
      <c r="E7" s="272"/>
      <c r="F7" s="273"/>
      <c r="G7" s="26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31,233 KRW (1.56%)</v>
      </c>
      <c r="H7" s="268"/>
      <c r="I7" s="269"/>
      <c r="J7" s="4" t="s">
        <v>21</v>
      </c>
      <c r="K7" s="271" t="s">
        <v>355</v>
      </c>
      <c r="L7" s="272"/>
      <c r="M7" s="272"/>
      <c r="N7" s="272"/>
      <c r="O7" s="273"/>
    </row>
    <row r="8" spans="1:19" ht="17.25" thickBot="1">
      <c r="A8" s="118" t="s">
        <v>24</v>
      </c>
      <c r="B8" s="271"/>
      <c r="C8" s="272"/>
      <c r="D8" s="272"/>
      <c r="E8" s="272"/>
      <c r="F8" s="273"/>
      <c r="G8" s="274" t="s">
        <v>285</v>
      </c>
      <c r="H8" s="275"/>
      <c r="I8" s="276"/>
      <c r="J8" s="4" t="s">
        <v>24</v>
      </c>
      <c r="K8" s="271"/>
      <c r="L8" s="272"/>
      <c r="M8" s="272"/>
      <c r="N8" s="272"/>
      <c r="O8" s="273"/>
      <c r="Q8" s="246" t="s">
        <v>27</v>
      </c>
      <c r="R8" s="248"/>
    </row>
    <row r="9" spans="1:19" ht="17.25" thickBot="1">
      <c r="A9" s="118" t="s">
        <v>28</v>
      </c>
      <c r="B9" s="271"/>
      <c r="C9" s="272"/>
      <c r="D9" s="272"/>
      <c r="E9" s="272"/>
      <c r="F9" s="273"/>
      <c r="G9" s="26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136,633 KRW (6.83%)</v>
      </c>
      <c r="H9" s="268"/>
      <c r="I9" s="269"/>
      <c r="J9" s="4" t="s">
        <v>28</v>
      </c>
      <c r="K9" s="271"/>
      <c r="L9" s="272"/>
      <c r="M9" s="272"/>
      <c r="N9" s="272"/>
      <c r="O9" s="273"/>
      <c r="Q9" s="2" t="s">
        <v>29</v>
      </c>
      <c r="R9" s="6">
        <v>10</v>
      </c>
    </row>
    <row r="10" spans="1:19">
      <c r="A10" s="118" t="s">
        <v>30</v>
      </c>
      <c r="B10" s="271"/>
      <c r="C10" s="272"/>
      <c r="D10" s="272"/>
      <c r="E10" s="272"/>
      <c r="F10" s="273"/>
      <c r="G10" s="274" t="s">
        <v>47</v>
      </c>
      <c r="H10" s="275"/>
      <c r="I10" s="276"/>
      <c r="J10" s="4" t="s">
        <v>30</v>
      </c>
      <c r="K10" s="271" t="s">
        <v>356</v>
      </c>
      <c r="L10" s="272"/>
      <c r="M10" s="272"/>
      <c r="N10" s="272"/>
      <c r="O10" s="273"/>
      <c r="Q10" s="2" t="s">
        <v>31</v>
      </c>
      <c r="R10" s="6">
        <v>100</v>
      </c>
    </row>
    <row r="11" spans="1:19" ht="17.25" thickBot="1">
      <c r="A11" s="119" t="s">
        <v>32</v>
      </c>
      <c r="B11" s="264" t="s">
        <v>357</v>
      </c>
      <c r="C11" s="265"/>
      <c r="D11" s="265"/>
      <c r="E11" s="265"/>
      <c r="F11" s="266"/>
      <c r="G11" s="26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48,628 KRW (3.24%)</v>
      </c>
      <c r="H11" s="268"/>
      <c r="I11" s="269"/>
      <c r="J11" s="7" t="s">
        <v>32</v>
      </c>
      <c r="K11" s="264" t="s">
        <v>348</v>
      </c>
      <c r="L11" s="265"/>
      <c r="M11" s="265"/>
      <c r="N11" s="265"/>
      <c r="O11" s="266"/>
      <c r="Q11" s="65" t="s">
        <v>33</v>
      </c>
      <c r="R11" s="8">
        <v>1000</v>
      </c>
    </row>
    <row r="12" spans="1:19" ht="17.25" thickBot="1"/>
    <row r="13" spans="1:19" ht="17.25" customHeight="1" thickBot="1">
      <c r="A13" s="246" t="s">
        <v>34</v>
      </c>
      <c r="B13" s="247"/>
      <c r="C13" s="247"/>
      <c r="D13" s="247"/>
      <c r="E13" s="247"/>
      <c r="F13" s="247"/>
      <c r="G13" s="247"/>
      <c r="H13" s="247"/>
      <c r="I13" s="247"/>
      <c r="J13" s="247"/>
      <c r="K13" s="247"/>
      <c r="L13" s="247"/>
      <c r="M13" s="247"/>
      <c r="N13" s="247"/>
      <c r="O13" s="248"/>
      <c r="Q13" s="245"/>
      <c r="R13" s="245"/>
      <c r="S13" s="245"/>
    </row>
    <row r="14" spans="1:19" ht="17.25" customHeight="1" thickBot="1">
      <c r="A14" s="196" t="s">
        <v>35</v>
      </c>
      <c r="B14" s="246" t="s">
        <v>36</v>
      </c>
      <c r="C14" s="248"/>
      <c r="D14" s="246" t="s">
        <v>37</v>
      </c>
      <c r="E14" s="247"/>
      <c r="F14" s="248"/>
      <c r="G14" s="249">
        <f>_xlfn.IFNA(VLOOKUP(B14, 현재가테이블!$B$2:$D$200, 2, FALSE), "-")</f>
        <v>45335000</v>
      </c>
      <c r="H14" s="250"/>
      <c r="I14" s="251"/>
      <c r="J14" s="246" t="s">
        <v>38</v>
      </c>
      <c r="K14" s="247"/>
      <c r="L14" s="248"/>
      <c r="M14" s="252">
        <f>_xlfn.IFNA(VLOOKUP(B14, 현재가테이블!$B$2:$D$200, 3, FALSE), "-")</f>
        <v>-2.27209037E-2</v>
      </c>
      <c r="N14" s="253"/>
      <c r="O14" s="254"/>
      <c r="Q14" s="245"/>
      <c r="R14" s="245"/>
      <c r="S14" s="245"/>
    </row>
    <row r="15" spans="1:19" ht="17.25" customHeight="1" thickBot="1">
      <c r="A15" s="283" t="s">
        <v>39</v>
      </c>
      <c r="B15" s="284" t="str">
        <f>TEXT($G$1, "[$-ko-KR]yyyy-mm-dd(ddd) ") &amp; "오전 00:00"</f>
        <v>2021-06-10(목) 오전 00:00</v>
      </c>
      <c r="C15" s="285"/>
      <c r="D15" s="259" t="str">
        <f>TEXT($G$1, "[$-ko-KR]yyyy-mm-dd(ddd) ") &amp; "오후 14:00"</f>
        <v>2021-06-10(목) 오후 14:00</v>
      </c>
      <c r="E15" s="260"/>
      <c r="F15" s="261"/>
      <c r="G15" s="259" t="str">
        <f>TEXT($G$1, "[$-ko-KR]yyyy-mm-dd(ddd) ") &amp; "오후 19:00"</f>
        <v>2021-06-10(목) 오후 19:00</v>
      </c>
      <c r="H15" s="260"/>
      <c r="I15" s="261"/>
      <c r="J15" s="259" t="str">
        <f>TEXT($G$1, "[$-ko-KR]yyyy-mm-dd(ddd) ") &amp; "오후 21:00"</f>
        <v>2021-06-10(목) 오후 21:00</v>
      </c>
      <c r="K15" s="260"/>
      <c r="L15" s="261"/>
      <c r="M15" s="259" t="str">
        <f>TEXT($G$1+1, "[$-ko-KR]yyyy-mm-dd(ddd) ") &amp; "오전 00:00"</f>
        <v>2021-06-11(금) 오전 00:00</v>
      </c>
      <c r="N15" s="260"/>
      <c r="O15" s="261"/>
      <c r="Q15" s="245"/>
      <c r="R15" s="245"/>
      <c r="S15" s="245"/>
    </row>
    <row r="16" spans="1:19" ht="17.25" customHeight="1" thickBot="1">
      <c r="A16" s="28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7" t="s">
        <v>37</v>
      </c>
      <c r="H16" s="198" t="s">
        <v>40</v>
      </c>
      <c r="I16" s="19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5"/>
      <c r="R16" s="235"/>
      <c r="S16" s="235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84.4</v>
      </c>
      <c r="C17" s="76">
        <f>IF(NOT(ISBLANK(_xlfn.IFNA(VLOOKUP($A17, $A$40:$O$199, 3, FALSE), ))), _xlfn.IFNA(VLOOKUP($A17, $A$40:$O$199, 3, FALSE), ), "")</f>
        <v>-2.3148148100000002E-2</v>
      </c>
      <c r="D17" s="13">
        <f>IF(NOT(ISBLANK(_xlfn.IFNA(VLOOKUP($A17, $A$40:$O$199, 4, FALSE), ))), _xlfn.IFNA(VLOOKUP($A17, $A$40:$O$199, 4, FALSE), ), "")</f>
        <v>86.1</v>
      </c>
      <c r="E17" s="14">
        <f>IF(NOT(ISBLANK(_xlfn.IFNA(VLOOKUP($A17, $A$40:$O$199, 5, FALSE), ))), _xlfn.IFNA(VLOOKUP($A17, $A$40:$O$199, 5, FALSE), ), "")</f>
        <v>2.0142180094786594E-2</v>
      </c>
      <c r="F17" s="16">
        <f>IF(NOT(ISBLANK(_xlfn.IFNA(VLOOKUP($A17, $A$40:$O$199, 6, FALSE), ))), _xlfn.IFNA(VLOOKUP($A17, $A$40:$O$199, 6, FALSE), ), "")</f>
        <v>2014.2180094786595</v>
      </c>
      <c r="G17" s="29">
        <f>IF(NOT(ISBLANK(_xlfn.IFNA(VLOOKUP($A17, $A$40:$O$199, 7, FALSE), ))), _xlfn.IFNA(VLOOKUP($A17, $A$40:$O$199, 7, FALSE), ), "")</f>
        <v>91</v>
      </c>
      <c r="H17" s="14">
        <f>IF(NOT(ISBLANK(_xlfn.IFNA(VLOOKUP($A17, $A$40:$O$199, 8, FALSE), ))), _xlfn.IFNA(VLOOKUP($A17, $A$40:$O$199, 8, FALSE), ), "")</f>
        <v>7.8199052132701355E-2</v>
      </c>
      <c r="I17" s="100">
        <f>IF(NOT(ISBLANK(_xlfn.IFNA(VLOOKUP($A17, $A$40:$O$199, 9, FALSE), ))), _xlfn.IFNA(VLOOKUP($A17, $A$40:$O$199, 9, FALSE), ), "")</f>
        <v>7819.9052132701354</v>
      </c>
      <c r="J17" s="13">
        <f>IF(NOT(ISBLANK(_xlfn.IFNA(VLOOKUP($A17, $A$40:$O$199, 10, FALSE), ))), _xlfn.IFNA(VLOOKUP($A17, $A$40:$O$199, 10, FALSE), ), "")</f>
        <v>89.8</v>
      </c>
      <c r="K17" s="14">
        <f>IF(NOT(ISBLANK(_xlfn.IFNA(VLOOKUP($A17, $A$40:$O$199, 11, FALSE), ))), _xlfn.IFNA(VLOOKUP($A17, $A$40:$O$199, 11, FALSE), ), "")</f>
        <v>6.3981042654028333E-2</v>
      </c>
      <c r="L17" s="16">
        <f>IF(NOT(ISBLANK(_xlfn.IFNA(VLOOKUP($A17, $A$40:$O$199, 12, FALSE), ))), _xlfn.IFNA(VLOOKUP($A17, $A$40:$O$199, 12, FALSE), ), "")</f>
        <v>6398.1042654028333</v>
      </c>
      <c r="M17" s="29">
        <f>IF(NOT(ISBLANK(_xlfn.IFNA(VLOOKUP($A17, $A$40:$O$199, 13, FALSE), ))), _xlfn.IFNA(VLOOKUP($A17, $A$40:$O$199, 13, FALSE), ), "")</f>
        <v>87.1</v>
      </c>
      <c r="N17" s="14">
        <f>IF(NOT(ISBLANK(_xlfn.IFNA(VLOOKUP($A17, $A$40:$O$199, 14, FALSE), ))), _xlfn.IFNA(VLOOKUP($A17, $A$40:$O$199, 14, FALSE), ), "")</f>
        <v>3.1990521327014083E-2</v>
      </c>
      <c r="O17" s="16">
        <f>IF(NOT(ISBLANK(_xlfn.IFNA(VLOOKUP($A17, $A$40:$O$199, 15, FALSE), ))), _xlfn.IFNA(VLOOKUP($A17, $A$40:$O$199, 15, FALSE), ), "")</f>
        <v>3199.0521327014085</v>
      </c>
      <c r="Q17" s="245"/>
      <c r="R17" s="245"/>
      <c r="S17" s="245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63.8</v>
      </c>
      <c r="C18" s="77">
        <f t="shared" ref="C18:C36" si="1">IF(NOT(ISBLANK(_xlfn.IFNA(VLOOKUP($A18, $A$40:$O$199, 3, FALSE), ))), _xlfn.IFNA(VLOOKUP($A18, $A$40:$O$199, 3, FALSE), ), "")</f>
        <v>-4.4910179600000003E-2</v>
      </c>
      <c r="D18" s="15">
        <f t="shared" ref="D18:D36" si="2">IF(NOT(ISBLANK(_xlfn.IFNA(VLOOKUP($A18, $A$40:$O$199, 4, FALSE), ))), _xlfn.IFNA(VLOOKUP($A18, $A$40:$O$199, 4, FALSE), ), "")</f>
        <v>67.900000000000006</v>
      </c>
      <c r="E18" s="32">
        <f t="shared" ref="E18:E36" si="3">IF(NOT(ISBLANK(_xlfn.IFNA(VLOOKUP($A18, $A$40:$O$199, 5, FALSE), ))), _xlfn.IFNA(VLOOKUP($A18, $A$40:$O$199, 5, FALSE), ), "")</f>
        <v>6.426332288401268E-2</v>
      </c>
      <c r="F18" s="18">
        <f t="shared" ref="F18:F36" si="4">IF(NOT(ISBLANK(_xlfn.IFNA(VLOOKUP($A18, $A$40:$O$199, 6, FALSE), ))), _xlfn.IFNA(VLOOKUP($A18, $A$40:$O$199, 6, FALSE), ), "")</f>
        <v>6426.3322884012678</v>
      </c>
      <c r="G18" s="31">
        <f t="shared" ref="G18:G36" si="5">IF(NOT(ISBLANK(_xlfn.IFNA(VLOOKUP($A18, $A$40:$O$199, 7, FALSE), ))), _xlfn.IFNA(VLOOKUP($A18, $A$40:$O$199, 7, FALSE), ), "")</f>
        <v>72.3</v>
      </c>
      <c r="H18" s="32">
        <f t="shared" ref="H18:H36" si="6">IF(NOT(ISBLANK(_xlfn.IFNA(VLOOKUP($A18, $A$40:$O$199, 8, FALSE), ))), _xlfn.IFNA(VLOOKUP($A18, $A$40:$O$199, 8, FALSE), ), "")</f>
        <v>0.13322884012539185</v>
      </c>
      <c r="I18" s="101">
        <f t="shared" ref="I18:I36" si="7">IF(NOT(ISBLANK(_xlfn.IFNA(VLOOKUP($A18, $A$40:$O$199, 9, FALSE), ))), _xlfn.IFNA(VLOOKUP($A18, $A$40:$O$199, 9, FALSE), ), "")</f>
        <v>13322.884012539185</v>
      </c>
      <c r="J18" s="15">
        <f t="shared" ref="J18:J36" si="8">IF(NOT(ISBLANK(_xlfn.IFNA(VLOOKUP($A18, $A$40:$O$199, 10, FALSE), ))), _xlfn.IFNA(VLOOKUP($A18, $A$40:$O$199, 10, FALSE), ), "")</f>
        <v>71.7</v>
      </c>
      <c r="K18" s="32">
        <f t="shared" ref="K18:K36" si="9">IF(NOT(ISBLANK(_xlfn.IFNA(VLOOKUP($A18, $A$40:$O$199, 11, FALSE), ))), _xlfn.IFNA(VLOOKUP($A18, $A$40:$O$199, 11, FALSE), ), "")</f>
        <v>0.1238244514106584</v>
      </c>
      <c r="L18" s="18">
        <f t="shared" ref="L18:L36" si="10">IF(NOT(ISBLANK(_xlfn.IFNA(VLOOKUP($A18, $A$40:$O$199, 12, FALSE), ))), _xlfn.IFNA(VLOOKUP($A18, $A$40:$O$199, 12, FALSE), ), "")</f>
        <v>12382.44514106584</v>
      </c>
      <c r="M18" s="31">
        <f t="shared" ref="M18:M36" si="11">IF(NOT(ISBLANK(_xlfn.IFNA(VLOOKUP($A18, $A$40:$O$199, 13, FALSE), ))), _xlfn.IFNA(VLOOKUP($A18, $A$40:$O$199, 13, FALSE), ), "")</f>
        <v>68.900000000000006</v>
      </c>
      <c r="N18" s="32">
        <f t="shared" ref="N18:N36" si="12">IF(NOT(ISBLANK(_xlfn.IFNA(VLOOKUP($A18, $A$40:$O$199, 14, FALSE), ))), _xlfn.IFNA(VLOOKUP($A18, $A$40:$O$199, 14, FALSE), ), "")</f>
        <v>7.9937304075235249E-2</v>
      </c>
      <c r="O18" s="18">
        <f t="shared" ref="O18:O36" si="13">IF(NOT(ISBLANK(_xlfn.IFNA(VLOOKUP($A18, $A$40:$O$199, 15, FALSE), ))), _xlfn.IFNA(VLOOKUP($A18, $A$40:$O$199, 15, FALSE), ), "")</f>
        <v>7993.7304075235252</v>
      </c>
      <c r="Q18" s="245"/>
      <c r="R18" s="245"/>
      <c r="S18" s="245"/>
    </row>
    <row r="19" spans="1:19" ht="17.25" customHeight="1" thickBot="1">
      <c r="A19" s="162" t="s">
        <v>202</v>
      </c>
      <c r="B19" s="126">
        <f t="shared" si="0"/>
        <v>105</v>
      </c>
      <c r="C19" s="77">
        <f t="shared" si="1"/>
        <v>-3.6697247699999998E-2</v>
      </c>
      <c r="D19" s="15">
        <f t="shared" si="2"/>
        <v>109</v>
      </c>
      <c r="E19" s="32">
        <f t="shared" si="3"/>
        <v>3.8095238095238099E-2</v>
      </c>
      <c r="F19" s="18">
        <f t="shared" si="4"/>
        <v>3809.5238095238101</v>
      </c>
      <c r="G19" s="31">
        <f t="shared" si="5"/>
        <v>114</v>
      </c>
      <c r="H19" s="32">
        <f t="shared" si="6"/>
        <v>8.5714285714285715E-2</v>
      </c>
      <c r="I19" s="101">
        <f t="shared" si="7"/>
        <v>8571.4285714285706</v>
      </c>
      <c r="J19" s="15">
        <f t="shared" si="8"/>
        <v>116</v>
      </c>
      <c r="K19" s="32">
        <f t="shared" si="9"/>
        <v>0.10476190476190476</v>
      </c>
      <c r="L19" s="18">
        <f t="shared" si="10"/>
        <v>10476.190476190477</v>
      </c>
      <c r="M19" s="31">
        <f t="shared" si="11"/>
        <v>112</v>
      </c>
      <c r="N19" s="32">
        <f t="shared" si="12"/>
        <v>6.6666666666666666E-2</v>
      </c>
      <c r="O19" s="18">
        <f t="shared" si="13"/>
        <v>6666.666666666667</v>
      </c>
      <c r="Q19" s="235"/>
      <c r="R19" s="235"/>
      <c r="S19" s="235"/>
    </row>
    <row r="20" spans="1:19" ht="17.25" customHeight="1" thickBot="1">
      <c r="A20" s="162" t="s">
        <v>120</v>
      </c>
      <c r="B20" s="126">
        <f t="shared" si="0"/>
        <v>134</v>
      </c>
      <c r="C20" s="77">
        <f t="shared" si="1"/>
        <v>1.51515152E-2</v>
      </c>
      <c r="D20" s="15">
        <f t="shared" si="2"/>
        <v>138</v>
      </c>
      <c r="E20" s="32">
        <f t="shared" si="3"/>
        <v>2.9850746268656716E-2</v>
      </c>
      <c r="F20" s="18">
        <f t="shared" si="4"/>
        <v>2985.0746268656717</v>
      </c>
      <c r="G20" s="31">
        <f t="shared" si="5"/>
        <v>140</v>
      </c>
      <c r="H20" s="32">
        <f t="shared" si="6"/>
        <v>4.4776119402985072E-2</v>
      </c>
      <c r="I20" s="101">
        <f t="shared" si="7"/>
        <v>4477.6119402985069</v>
      </c>
      <c r="J20" s="15">
        <f t="shared" si="8"/>
        <v>140</v>
      </c>
      <c r="K20" s="32">
        <f t="shared" si="9"/>
        <v>4.4776119402985072E-2</v>
      </c>
      <c r="L20" s="18">
        <f t="shared" si="10"/>
        <v>4477.6119402985069</v>
      </c>
      <c r="M20" s="31">
        <f t="shared" si="11"/>
        <v>139</v>
      </c>
      <c r="N20" s="32">
        <f t="shared" si="12"/>
        <v>3.7313432835820892E-2</v>
      </c>
      <c r="O20" s="18">
        <f t="shared" si="13"/>
        <v>3731.343283582089</v>
      </c>
      <c r="Q20" s="235"/>
      <c r="R20" s="235"/>
      <c r="S20" s="235"/>
    </row>
    <row r="21" spans="1:19" ht="17.25" customHeight="1" thickBot="1">
      <c r="A21" s="163" t="s">
        <v>246</v>
      </c>
      <c r="B21" s="128">
        <f t="shared" si="0"/>
        <v>270</v>
      </c>
      <c r="C21" s="78">
        <f t="shared" si="1"/>
        <v>-1.8181818200000002E-2</v>
      </c>
      <c r="D21" s="20">
        <f t="shared" si="2"/>
        <v>276</v>
      </c>
      <c r="E21" s="21">
        <f t="shared" si="3"/>
        <v>2.2222222222222223E-2</v>
      </c>
      <c r="F21" s="22">
        <f t="shared" si="4"/>
        <v>2222.2222222222222</v>
      </c>
      <c r="G21" s="30">
        <f t="shared" si="5"/>
        <v>292</v>
      </c>
      <c r="H21" s="21">
        <f t="shared" si="6"/>
        <v>8.1481481481481488E-2</v>
      </c>
      <c r="I21" s="105">
        <f t="shared" si="7"/>
        <v>8148.1481481481487</v>
      </c>
      <c r="J21" s="20">
        <f t="shared" si="8"/>
        <v>286</v>
      </c>
      <c r="K21" s="21">
        <f t="shared" si="9"/>
        <v>5.9259259259259262E-2</v>
      </c>
      <c r="L21" s="22">
        <f t="shared" si="10"/>
        <v>5925.9259259259261</v>
      </c>
      <c r="M21" s="30">
        <f t="shared" si="11"/>
        <v>283</v>
      </c>
      <c r="N21" s="21">
        <f t="shared" si="12"/>
        <v>4.8148148148148148E-2</v>
      </c>
      <c r="O21" s="22">
        <f t="shared" si="13"/>
        <v>4814.8148148148148</v>
      </c>
      <c r="Q21" s="235"/>
      <c r="R21" s="235"/>
      <c r="S21" s="235"/>
    </row>
    <row r="22" spans="1:19" ht="17.25" customHeight="1" thickBot="1">
      <c r="A22" s="162" t="s">
        <v>49</v>
      </c>
      <c r="B22" s="129">
        <f t="shared" si="0"/>
        <v>40074000</v>
      </c>
      <c r="C22" s="80">
        <f t="shared" si="1"/>
        <v>4.10453577E-2</v>
      </c>
      <c r="D22" s="106">
        <f t="shared" si="2"/>
        <v>42299000</v>
      </c>
      <c r="E22" s="107">
        <f t="shared" si="3"/>
        <v>5.5522283775016217E-2</v>
      </c>
      <c r="F22" s="108">
        <f t="shared" si="4"/>
        <v>5552.2283775016213</v>
      </c>
      <c r="G22" s="109">
        <f t="shared" si="5"/>
        <v>43202000</v>
      </c>
      <c r="H22" s="107">
        <f t="shared" si="6"/>
        <v>7.8055597145281236E-2</v>
      </c>
      <c r="I22" s="110">
        <f t="shared" si="7"/>
        <v>7805.5597145281235</v>
      </c>
      <c r="J22" s="106">
        <f t="shared" si="8"/>
        <v>43570000</v>
      </c>
      <c r="K22" s="107">
        <f t="shared" si="9"/>
        <v>8.7238608574137844E-2</v>
      </c>
      <c r="L22" s="108">
        <f t="shared" si="10"/>
        <v>8723.8608574137852</v>
      </c>
      <c r="M22" s="109">
        <f t="shared" si="11"/>
        <v>42789000</v>
      </c>
      <c r="N22" s="107">
        <f t="shared" si="12"/>
        <v>6.7749663123222045E-2</v>
      </c>
      <c r="O22" s="108">
        <f t="shared" si="13"/>
        <v>6774.9663123222044</v>
      </c>
      <c r="Q22" s="235"/>
      <c r="R22" s="235"/>
      <c r="S22" s="235"/>
    </row>
    <row r="23" spans="1:19" ht="17.25" customHeight="1" thickBot="1">
      <c r="A23" s="162" t="s">
        <v>220</v>
      </c>
      <c r="B23" s="126">
        <f t="shared" si="0"/>
        <v>11.5</v>
      </c>
      <c r="C23" s="77">
        <f t="shared" si="1"/>
        <v>3.6036036E-2</v>
      </c>
      <c r="D23" s="15">
        <f t="shared" si="2"/>
        <v>12.6</v>
      </c>
      <c r="E23" s="32">
        <f t="shared" si="3"/>
        <v>9.5652173913043453E-2</v>
      </c>
      <c r="F23" s="18">
        <f t="shared" si="4"/>
        <v>9565.2173913043462</v>
      </c>
      <c r="G23" s="31">
        <f t="shared" si="5"/>
        <v>12.6</v>
      </c>
      <c r="H23" s="32">
        <f t="shared" si="6"/>
        <v>9.5652173913043453E-2</v>
      </c>
      <c r="I23" s="101">
        <f t="shared" si="7"/>
        <v>9565.2173913043462</v>
      </c>
      <c r="J23" s="15">
        <f t="shared" si="8"/>
        <v>12.6</v>
      </c>
      <c r="K23" s="32">
        <f t="shared" si="9"/>
        <v>9.5652173913043453E-2</v>
      </c>
      <c r="L23" s="18">
        <f t="shared" si="10"/>
        <v>9565.2173913043462</v>
      </c>
      <c r="M23" s="31">
        <f t="shared" si="11"/>
        <v>12.3</v>
      </c>
      <c r="N23" s="32">
        <f t="shared" si="12"/>
        <v>6.9565217391304404E-2</v>
      </c>
      <c r="O23" s="18">
        <f t="shared" si="13"/>
        <v>6956.5217391304404</v>
      </c>
      <c r="Q23" s="235"/>
      <c r="R23" s="235"/>
      <c r="S23" s="235"/>
    </row>
    <row r="24" spans="1:19" ht="17.25" customHeight="1" thickBot="1">
      <c r="A24" s="162" t="s">
        <v>270</v>
      </c>
      <c r="B24" s="126">
        <f t="shared" si="0"/>
        <v>335</v>
      </c>
      <c r="C24" s="77">
        <f t="shared" si="1"/>
        <v>3.3950617299999999E-2</v>
      </c>
      <c r="D24" s="15">
        <f t="shared" si="2"/>
        <v>336</v>
      </c>
      <c r="E24" s="32">
        <f t="shared" si="3"/>
        <v>2.9850746268656717E-3</v>
      </c>
      <c r="F24" s="18">
        <f t="shared" si="4"/>
        <v>298.50746268656718</v>
      </c>
      <c r="G24" s="31">
        <f t="shared" si="5"/>
        <v>337</v>
      </c>
      <c r="H24" s="32">
        <f t="shared" si="6"/>
        <v>5.9701492537313433E-3</v>
      </c>
      <c r="I24" s="101">
        <f t="shared" si="7"/>
        <v>597.01492537313436</v>
      </c>
      <c r="J24" s="15">
        <f t="shared" si="8"/>
        <v>341</v>
      </c>
      <c r="K24" s="32">
        <f t="shared" si="9"/>
        <v>1.7910447761194031E-2</v>
      </c>
      <c r="L24" s="18">
        <f t="shared" si="10"/>
        <v>1791.0447761194032</v>
      </c>
      <c r="M24" s="31">
        <f t="shared" si="11"/>
        <v>339</v>
      </c>
      <c r="N24" s="32">
        <f t="shared" si="12"/>
        <v>1.1940298507462687E-2</v>
      </c>
      <c r="O24" s="18">
        <f t="shared" si="13"/>
        <v>1194.0298507462687</v>
      </c>
      <c r="Q24" s="235"/>
      <c r="R24" s="235"/>
      <c r="S24" s="235"/>
    </row>
    <row r="25" spans="1:19" ht="17.25" customHeight="1" thickBot="1">
      <c r="A25" s="162" t="s">
        <v>244</v>
      </c>
      <c r="B25" s="126">
        <f t="shared" si="0"/>
        <v>1690</v>
      </c>
      <c r="C25" s="77">
        <f t="shared" si="1"/>
        <v>3.3639143699999999E-2</v>
      </c>
      <c r="D25" s="15">
        <f t="shared" si="2"/>
        <v>1675</v>
      </c>
      <c r="E25" s="32">
        <f t="shared" si="3"/>
        <v>-8.8757396449704144E-3</v>
      </c>
      <c r="F25" s="18">
        <f t="shared" si="4"/>
        <v>-887.5739644970414</v>
      </c>
      <c r="G25" s="31">
        <f t="shared" si="5"/>
        <v>1735</v>
      </c>
      <c r="H25" s="32">
        <f t="shared" si="6"/>
        <v>2.6627218934911243E-2</v>
      </c>
      <c r="I25" s="101">
        <f t="shared" si="7"/>
        <v>2662.7218934911243</v>
      </c>
      <c r="J25" s="15">
        <f t="shared" si="8"/>
        <v>1720</v>
      </c>
      <c r="K25" s="32">
        <f t="shared" si="9"/>
        <v>1.7751479289940829E-2</v>
      </c>
      <c r="L25" s="18">
        <f t="shared" si="10"/>
        <v>1775.1479289940828</v>
      </c>
      <c r="M25" s="31">
        <f t="shared" si="11"/>
        <v>1695</v>
      </c>
      <c r="N25" s="32">
        <f t="shared" si="12"/>
        <v>2.9585798816568047E-3</v>
      </c>
      <c r="O25" s="18">
        <f t="shared" si="13"/>
        <v>295.85798816568047</v>
      </c>
      <c r="Q25" s="33"/>
      <c r="R25" s="33"/>
    </row>
    <row r="26" spans="1:19" ht="17.25" customHeight="1" thickBot="1">
      <c r="A26" s="130" t="s">
        <v>114</v>
      </c>
      <c r="B26" s="131">
        <f t="shared" si="0"/>
        <v>10700</v>
      </c>
      <c r="C26" s="79">
        <f t="shared" si="1"/>
        <v>2.29445507E-2</v>
      </c>
      <c r="D26" s="24">
        <f t="shared" si="2"/>
        <v>10420</v>
      </c>
      <c r="E26" s="25">
        <f t="shared" si="3"/>
        <v>-2.6168224299065422E-2</v>
      </c>
      <c r="F26" s="104">
        <f t="shared" si="4"/>
        <v>-2616.8224299065423</v>
      </c>
      <c r="G26" s="102">
        <f t="shared" si="5"/>
        <v>10400</v>
      </c>
      <c r="H26" s="25">
        <f t="shared" si="6"/>
        <v>-2.8037383177570093E-2</v>
      </c>
      <c r="I26" s="103">
        <f t="shared" si="7"/>
        <v>-2803.7383177570091</v>
      </c>
      <c r="J26" s="24">
        <f t="shared" si="8"/>
        <v>10320</v>
      </c>
      <c r="K26" s="25">
        <f t="shared" si="9"/>
        <v>-3.5514018691588788E-2</v>
      </c>
      <c r="L26" s="104">
        <f t="shared" si="10"/>
        <v>-3551.401869158879</v>
      </c>
      <c r="M26" s="102">
        <f t="shared" si="11"/>
        <v>10170</v>
      </c>
      <c r="N26" s="25">
        <f t="shared" si="12"/>
        <v>-4.9532710280373829E-2</v>
      </c>
      <c r="O26" s="104">
        <f t="shared" si="13"/>
        <v>-4953.2710280373831</v>
      </c>
      <c r="Q26" s="236"/>
      <c r="R26" s="237"/>
      <c r="S26" s="238"/>
    </row>
    <row r="27" spans="1:19" ht="17.25" customHeight="1">
      <c r="A27" s="161" t="s">
        <v>102</v>
      </c>
      <c r="B27" s="124">
        <f t="shared" si="0"/>
        <v>66700</v>
      </c>
      <c r="C27" s="76">
        <f t="shared" si="1"/>
        <v>2.09704577E-2</v>
      </c>
      <c r="D27" s="13">
        <f t="shared" si="2"/>
        <v>69790</v>
      </c>
      <c r="E27" s="14">
        <f t="shared" si="3"/>
        <v>4.6326836581709142E-2</v>
      </c>
      <c r="F27" s="16">
        <f t="shared" si="4"/>
        <v>4632.683658170914</v>
      </c>
      <c r="G27" s="29">
        <f t="shared" si="5"/>
        <v>69210</v>
      </c>
      <c r="H27" s="14">
        <f t="shared" si="6"/>
        <v>3.7631184407796101E-2</v>
      </c>
      <c r="I27" s="100">
        <f t="shared" si="7"/>
        <v>3763.11844077961</v>
      </c>
      <c r="J27" s="13">
        <f t="shared" si="8"/>
        <v>69240</v>
      </c>
      <c r="K27" s="14">
        <f t="shared" si="9"/>
        <v>3.8080959520239883E-2</v>
      </c>
      <c r="L27" s="16">
        <f t="shared" si="10"/>
        <v>3808.0959520239885</v>
      </c>
      <c r="M27" s="29">
        <f t="shared" si="11"/>
        <v>68500</v>
      </c>
      <c r="N27" s="14">
        <f t="shared" si="12"/>
        <v>2.6986506746626688E-2</v>
      </c>
      <c r="O27" s="16">
        <f t="shared" si="13"/>
        <v>2698.6506746626687</v>
      </c>
      <c r="Q27" s="239"/>
      <c r="R27" s="240"/>
      <c r="S27" s="241"/>
    </row>
    <row r="28" spans="1:19" ht="17.25" customHeight="1" thickBot="1">
      <c r="A28" s="162" t="s">
        <v>82</v>
      </c>
      <c r="B28" s="126">
        <f t="shared" si="0"/>
        <v>978</v>
      </c>
      <c r="C28" s="77">
        <f t="shared" si="1"/>
        <v>1.9812304499999999E-2</v>
      </c>
      <c r="D28" s="15">
        <f t="shared" si="2"/>
        <v>996</v>
      </c>
      <c r="E28" s="32">
        <f t="shared" si="3"/>
        <v>1.8404907975460124E-2</v>
      </c>
      <c r="F28" s="18">
        <f t="shared" si="4"/>
        <v>1840.4907975460123</v>
      </c>
      <c r="G28" s="31">
        <f t="shared" si="5"/>
        <v>1035</v>
      </c>
      <c r="H28" s="32">
        <f t="shared" si="6"/>
        <v>5.8282208588957052E-2</v>
      </c>
      <c r="I28" s="101">
        <f t="shared" si="7"/>
        <v>5828.2208588957055</v>
      </c>
      <c r="J28" s="15">
        <f t="shared" si="8"/>
        <v>1045</v>
      </c>
      <c r="K28" s="32">
        <f t="shared" si="9"/>
        <v>6.8507157464212681E-2</v>
      </c>
      <c r="L28" s="18">
        <f t="shared" si="10"/>
        <v>6850.7157464212678</v>
      </c>
      <c r="M28" s="31">
        <f t="shared" si="11"/>
        <v>1020</v>
      </c>
      <c r="N28" s="32">
        <f t="shared" si="12"/>
        <v>4.2944785276073622E-2</v>
      </c>
      <c r="O28" s="18">
        <f t="shared" si="13"/>
        <v>4294.4785276073626</v>
      </c>
      <c r="Q28" s="242"/>
      <c r="R28" s="243"/>
      <c r="S28" s="244"/>
    </row>
    <row r="29" spans="1:19" ht="17.25" customHeight="1" thickBot="1">
      <c r="A29" s="162" t="s">
        <v>224</v>
      </c>
      <c r="B29" s="126">
        <f t="shared" si="0"/>
        <v>1355</v>
      </c>
      <c r="C29" s="77">
        <f t="shared" si="1"/>
        <v>1.8796992500000002E-2</v>
      </c>
      <c r="D29" s="15">
        <f t="shared" si="2"/>
        <v>1445</v>
      </c>
      <c r="E29" s="32">
        <f t="shared" si="3"/>
        <v>6.6420664206642069E-2</v>
      </c>
      <c r="F29" s="18">
        <f t="shared" si="4"/>
        <v>6642.0664206642068</v>
      </c>
      <c r="G29" s="31">
        <f t="shared" si="5"/>
        <v>1415</v>
      </c>
      <c r="H29" s="32">
        <f t="shared" si="6"/>
        <v>4.4280442804428041E-2</v>
      </c>
      <c r="I29" s="101">
        <f t="shared" si="7"/>
        <v>4428.0442804428039</v>
      </c>
      <c r="J29" s="15">
        <f t="shared" si="8"/>
        <v>1390</v>
      </c>
      <c r="K29" s="32">
        <f t="shared" si="9"/>
        <v>2.5830258302583026E-2</v>
      </c>
      <c r="L29" s="18">
        <f t="shared" si="10"/>
        <v>2583.0258302583024</v>
      </c>
      <c r="M29" s="31">
        <f t="shared" si="11"/>
        <v>1390</v>
      </c>
      <c r="N29" s="32">
        <f t="shared" si="12"/>
        <v>2.5830258302583026E-2</v>
      </c>
      <c r="O29" s="18">
        <f t="shared" si="13"/>
        <v>2583.0258302583024</v>
      </c>
      <c r="Q29" s="235"/>
      <c r="R29" s="235"/>
      <c r="S29" s="235"/>
    </row>
    <row r="30" spans="1:19" ht="17.25" customHeight="1" thickBot="1">
      <c r="A30" s="162" t="s">
        <v>210</v>
      </c>
      <c r="B30" s="126">
        <f t="shared" si="0"/>
        <v>117</v>
      </c>
      <c r="C30" s="77">
        <f t="shared" si="1"/>
        <v>1.73913043E-2</v>
      </c>
      <c r="D30" s="15">
        <f t="shared" si="2"/>
        <v>118</v>
      </c>
      <c r="E30" s="32">
        <f t="shared" si="3"/>
        <v>8.5470085470085479E-3</v>
      </c>
      <c r="F30" s="18">
        <f t="shared" si="4"/>
        <v>854.70085470085473</v>
      </c>
      <c r="G30" s="31">
        <f t="shared" si="5"/>
        <v>121</v>
      </c>
      <c r="H30" s="32">
        <f t="shared" si="6"/>
        <v>3.4188034188034191E-2</v>
      </c>
      <c r="I30" s="101">
        <f t="shared" si="7"/>
        <v>3418.8034188034189</v>
      </c>
      <c r="J30" s="15">
        <f t="shared" si="8"/>
        <v>121</v>
      </c>
      <c r="K30" s="32">
        <f t="shared" si="9"/>
        <v>3.4188034188034191E-2</v>
      </c>
      <c r="L30" s="18">
        <f t="shared" si="10"/>
        <v>3418.8034188034189</v>
      </c>
      <c r="M30" s="31">
        <f t="shared" si="11"/>
        <v>120</v>
      </c>
      <c r="N30" s="32">
        <f t="shared" si="12"/>
        <v>2.564102564102564E-2</v>
      </c>
      <c r="O30" s="18">
        <f t="shared" si="13"/>
        <v>2564.102564102564</v>
      </c>
      <c r="Q30" s="245"/>
      <c r="R30" s="245"/>
      <c r="S30" s="245"/>
    </row>
    <row r="31" spans="1:19" ht="17.25" customHeight="1" thickBot="1">
      <c r="A31" s="163" t="s">
        <v>108</v>
      </c>
      <c r="B31" s="128">
        <f t="shared" si="0"/>
        <v>32230</v>
      </c>
      <c r="C31" s="78">
        <f t="shared" si="1"/>
        <v>1.54379332E-2</v>
      </c>
      <c r="D31" s="20">
        <f t="shared" si="2"/>
        <v>32460</v>
      </c>
      <c r="E31" s="21">
        <f t="shared" si="3"/>
        <v>7.1362085013962151E-3</v>
      </c>
      <c r="F31" s="22">
        <f t="shared" si="4"/>
        <v>713.62085013962155</v>
      </c>
      <c r="G31" s="30">
        <f t="shared" si="5"/>
        <v>32600</v>
      </c>
      <c r="H31" s="21">
        <f t="shared" si="6"/>
        <v>1.1479987589202606E-2</v>
      </c>
      <c r="I31" s="105">
        <f t="shared" si="7"/>
        <v>1147.9987589202606</v>
      </c>
      <c r="J31" s="20">
        <f t="shared" si="8"/>
        <v>32340</v>
      </c>
      <c r="K31" s="21">
        <f t="shared" si="9"/>
        <v>3.4129692832764505E-3</v>
      </c>
      <c r="L31" s="22">
        <f t="shared" si="10"/>
        <v>341.29692832764505</v>
      </c>
      <c r="M31" s="30">
        <f t="shared" si="11"/>
        <v>32170</v>
      </c>
      <c r="N31" s="21">
        <f t="shared" si="12"/>
        <v>-1.8616196090598821E-3</v>
      </c>
      <c r="O31" s="22">
        <f t="shared" si="13"/>
        <v>-186.1619609059882</v>
      </c>
      <c r="Q31" s="245"/>
      <c r="R31" s="245"/>
      <c r="S31" s="24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5"/>
      <c r="R32" s="235"/>
      <c r="S32" s="235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5"/>
      <c r="R33" s="235"/>
      <c r="S33" s="235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5"/>
      <c r="R34" s="235"/>
      <c r="S34" s="235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4"/>
      <c r="R35" s="225"/>
      <c r="S35" s="22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7"/>
      <c r="R36" s="228"/>
      <c r="S36" s="229"/>
    </row>
    <row r="37" spans="1:19" ht="17.25" customHeight="1" thickBot="1">
      <c r="A37" s="132" t="s">
        <v>42</v>
      </c>
      <c r="B37" s="288">
        <v>100000</v>
      </c>
      <c r="C37" s="289"/>
      <c r="D37" s="26" t="s">
        <v>43</v>
      </c>
      <c r="E37" s="27">
        <f>IF(COUNT(E17:E36), SUM(E17:E36) / COUNT(E17:E36), 0)</f>
        <v>2.9368326916534796E-2</v>
      </c>
      <c r="F37" s="28">
        <f>SUM(F17:F36)</f>
        <v>44052.49037480219</v>
      </c>
      <c r="G37" s="26" t="s">
        <v>43</v>
      </c>
      <c r="H37" s="27">
        <f>IF(COUNT(H17:H36), SUM(H17:H36) / COUNT(H17:H36), 0)</f>
        <v>5.250195950031071E-2</v>
      </c>
      <c r="I37" s="28">
        <f>SUM(I17:I36)</f>
        <v>78752.939250466065</v>
      </c>
      <c r="J37" s="26" t="s">
        <v>43</v>
      </c>
      <c r="K37" s="27">
        <f>IF(COUNT(K17:K36), SUM(K17:K36) / COUNT(K17:K36), 0)</f>
        <v>4.9977389806260632E-2</v>
      </c>
      <c r="L37" s="28">
        <f>SUM(L17:L36)</f>
        <v>74966.084709390954</v>
      </c>
      <c r="M37" s="26" t="s">
        <v>43</v>
      </c>
      <c r="N37" s="27">
        <f>IF(COUNT(N17:N36), SUM(N17:N36) / COUNT(N17:N36), 0)</f>
        <v>3.2418538535560412E-2</v>
      </c>
      <c r="O37" s="28">
        <f>SUM(O17:O36)</f>
        <v>48627.80780334062</v>
      </c>
      <c r="Q37" s="230"/>
      <c r="R37" s="231"/>
      <c r="S37" s="232"/>
    </row>
    <row r="38" spans="1:19" ht="17.25" customHeight="1"/>
    <row r="39" spans="1:19" ht="17.25" customHeight="1" thickBot="1"/>
    <row r="40" spans="1:19" ht="17.25" customHeight="1" thickBot="1">
      <c r="A40" s="246" t="s">
        <v>44</v>
      </c>
      <c r="B40" s="247"/>
      <c r="C40" s="247"/>
      <c r="D40" s="247"/>
      <c r="E40" s="247"/>
      <c r="F40" s="247"/>
      <c r="G40" s="247"/>
      <c r="H40" s="247"/>
      <c r="I40" s="247"/>
      <c r="J40" s="247"/>
      <c r="K40" s="247"/>
      <c r="L40" s="247"/>
      <c r="M40" s="247"/>
      <c r="N40" s="247"/>
      <c r="O40" s="248"/>
      <c r="Q40" s="245"/>
      <c r="R40" s="245"/>
      <c r="S40" s="245"/>
    </row>
    <row r="41" spans="1:19" ht="17.25" customHeight="1" thickBot="1">
      <c r="A41" s="196" t="s">
        <v>297</v>
      </c>
      <c r="B41" s="246" t="s">
        <v>49</v>
      </c>
      <c r="C41" s="248"/>
      <c r="D41" s="246" t="s">
        <v>58</v>
      </c>
      <c r="E41" s="247"/>
      <c r="F41" s="248"/>
      <c r="G41" s="249">
        <f>_xlfn.IFNA(VLOOKUP(B41, 현재가테이블!$B$2:$D$200, 2, FALSE), "-")</f>
        <v>45335000</v>
      </c>
      <c r="H41" s="250"/>
      <c r="I41" s="251"/>
      <c r="J41" s="246" t="s">
        <v>59</v>
      </c>
      <c r="K41" s="247"/>
      <c r="L41" s="248"/>
      <c r="M41" s="252">
        <f>_xlfn.IFNA(VLOOKUP(B41, 현재가테이블!$B$2:$D$200, 3, FALSE), "-")</f>
        <v>-2.27209037E-2</v>
      </c>
      <c r="N41" s="253"/>
      <c r="O41" s="254"/>
      <c r="Q41" s="245"/>
      <c r="R41" s="245"/>
      <c r="S41" s="245"/>
    </row>
    <row r="42" spans="1:19" ht="17.25" customHeight="1" thickBot="1">
      <c r="A42" s="290" t="s">
        <v>55</v>
      </c>
      <c r="B42" s="286" t="str">
        <f>TEXT($G$1, "[$-ko-KR]yyyy-mm-dd(ddd) ") &amp; "오전 00:00"</f>
        <v>2021-06-10(목) 오전 00:00</v>
      </c>
      <c r="C42" s="287"/>
      <c r="D42" s="259" t="str">
        <f>TEXT($G$1, "[$-ko-KR]yyyy-mm-dd(ddd) ") &amp; "오후 14:00"</f>
        <v>2021-06-10(목) 오후 14:00</v>
      </c>
      <c r="E42" s="260"/>
      <c r="F42" s="261"/>
      <c r="G42" s="259" t="str">
        <f>TEXT($G$1, "[$-ko-KR]yyyy-mm-dd(ddd) ") &amp; "오후 19:00"</f>
        <v>2021-06-10(목) 오후 19:00</v>
      </c>
      <c r="H42" s="260"/>
      <c r="I42" s="261"/>
      <c r="J42" s="259" t="str">
        <f>TEXT($G$1, "[$-ko-KR]yyyy-mm-dd(ddd) ") &amp; "오후 21:00"</f>
        <v>2021-06-10(목) 오후 21:00</v>
      </c>
      <c r="K42" s="260"/>
      <c r="L42" s="261"/>
      <c r="M42" s="259" t="str">
        <f>TEXT($G$1+1, "[$-ko-KR]yyyy-mm-dd(ddd) ") &amp; "오전 00:00"</f>
        <v>2021-06-11(금) 오전 00:00</v>
      </c>
      <c r="N42" s="260"/>
      <c r="O42" s="261"/>
      <c r="Q42" s="245"/>
      <c r="R42" s="245"/>
      <c r="S42" s="245"/>
    </row>
    <row r="43" spans="1:19" ht="17.25" customHeight="1" thickBot="1">
      <c r="A43" s="291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97" t="s">
        <v>58</v>
      </c>
      <c r="H43" s="198" t="s">
        <v>298</v>
      </c>
      <c r="I43" s="199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5"/>
      <c r="R43" s="235"/>
      <c r="S43" s="235"/>
    </row>
    <row r="44" spans="1:19" ht="17.25" customHeight="1" thickBot="1">
      <c r="A44" s="161" t="s">
        <v>220</v>
      </c>
      <c r="B44" s="124">
        <v>11.5</v>
      </c>
      <c r="C44" s="76">
        <v>3.6036036E-2</v>
      </c>
      <c r="D44" s="13">
        <v>12.6</v>
      </c>
      <c r="E44" s="14">
        <f>IF(ISNUMBER(D44), (D44 - $B44) / $B44, "")</f>
        <v>9.5652173913043453E-2</v>
      </c>
      <c r="F44" s="16">
        <f>IF(ISNUMBER(D44), $B64 * E44, "")</f>
        <v>9565.2173913043462</v>
      </c>
      <c r="G44" s="29">
        <v>12.6</v>
      </c>
      <c r="H44" s="14">
        <f>IF(ISNUMBER(G44), (G44 - $B44) / $B44, "")</f>
        <v>9.5652173913043453E-2</v>
      </c>
      <c r="I44" s="100">
        <f>IF(ISNUMBER(G44), $B64 * H44, "")</f>
        <v>9565.2173913043462</v>
      </c>
      <c r="J44" s="13">
        <v>12.6</v>
      </c>
      <c r="K44" s="14">
        <f>IF(ISNUMBER(J44), (J44 - $B44) / $B44, "")</f>
        <v>9.5652173913043453E-2</v>
      </c>
      <c r="L44" s="16">
        <f>IF(ISNUMBER(J44), $B64 * K44, "")</f>
        <v>9565.2173913043462</v>
      </c>
      <c r="M44" s="29">
        <v>12.3</v>
      </c>
      <c r="N44" s="14">
        <f>IF(ISNUMBER(M44), (M44 - $B44) / $B44, "")</f>
        <v>6.9565217391304404E-2</v>
      </c>
      <c r="O44" s="16">
        <f>IF(ISNUMBER(M44), $B64 * N44, "")</f>
        <v>6956.5217391304404</v>
      </c>
      <c r="Q44" s="245"/>
      <c r="R44" s="245"/>
      <c r="S44" s="245"/>
    </row>
    <row r="45" spans="1:19" ht="17.25" customHeight="1" thickBot="1">
      <c r="A45" s="162" t="s">
        <v>278</v>
      </c>
      <c r="B45" s="126">
        <v>75.5</v>
      </c>
      <c r="C45" s="77">
        <v>-1.3227512999999999E-3</v>
      </c>
      <c r="D45" s="15">
        <v>79.400000000000006</v>
      </c>
      <c r="E45" s="32">
        <f t="shared" ref="E45:E48" si="14">IF(ISNUMBER(D45), (D45 - $B45) / $B45, "")</f>
        <v>5.1655629139072921E-2</v>
      </c>
      <c r="F45" s="18">
        <f>IF(ISNUMBER(D45), $B64 * E45, "")</f>
        <v>5165.5629139072926</v>
      </c>
      <c r="G45" s="31">
        <v>84.2</v>
      </c>
      <c r="H45" s="32">
        <f t="shared" ref="H45:H48" si="15">IF(ISNUMBER(G45), (G45 - $B45) / $B45, "")</f>
        <v>0.11523178807947024</v>
      </c>
      <c r="I45" s="101">
        <f>IF(ISNUMBER(G45), $B64 * H45, "")</f>
        <v>11523.178807947024</v>
      </c>
      <c r="J45" s="15">
        <v>79.7</v>
      </c>
      <c r="K45" s="32">
        <f t="shared" ref="K45:K48" si="16">IF(ISNUMBER(J45), (J45 - $B45) / $B45, "")</f>
        <v>5.5629139072847722E-2</v>
      </c>
      <c r="L45" s="18">
        <f>IF(ISNUMBER(J45), $B64 * K45, "")</f>
        <v>5562.913907284772</v>
      </c>
      <c r="M45" s="31">
        <v>77.599999999999994</v>
      </c>
      <c r="N45" s="32">
        <f t="shared" ref="N45:N48" si="17">IF(ISNUMBER(M45), (M45 - $B45) / $B45, "")</f>
        <v>2.7814569536423767E-2</v>
      </c>
      <c r="O45" s="18">
        <f>IF(ISNUMBER(M45), $B64 * N45, "")</f>
        <v>2781.4569536423769</v>
      </c>
      <c r="Q45" s="245"/>
      <c r="R45" s="245"/>
      <c r="S45" s="245"/>
    </row>
    <row r="46" spans="1:19" ht="17.25" customHeight="1" thickBot="1">
      <c r="A46" s="162" t="s">
        <v>156</v>
      </c>
      <c r="B46" s="126">
        <v>83.2</v>
      </c>
      <c r="C46" s="77">
        <v>-7.1599044999999997E-3</v>
      </c>
      <c r="D46" s="15">
        <v>85.7</v>
      </c>
      <c r="E46" s="32">
        <f t="shared" si="14"/>
        <v>3.004807692307692E-2</v>
      </c>
      <c r="F46" s="18">
        <f>IF(ISNUMBER(D46), $B64 * E46, "")</f>
        <v>3004.8076923076919</v>
      </c>
      <c r="G46" s="31">
        <v>87</v>
      </c>
      <c r="H46" s="32">
        <f t="shared" si="15"/>
        <v>4.5673076923076886E-2</v>
      </c>
      <c r="I46" s="101">
        <f>IF(ISNUMBER(G46), $B64 * H46, "")</f>
        <v>4567.3076923076887</v>
      </c>
      <c r="J46" s="15">
        <v>86.4</v>
      </c>
      <c r="K46" s="32">
        <f t="shared" si="16"/>
        <v>3.8461538461538491E-2</v>
      </c>
      <c r="L46" s="18">
        <f>IF(ISNUMBER(J46), $B64 * K46, "")</f>
        <v>3846.1538461538489</v>
      </c>
      <c r="M46" s="31">
        <v>85.1</v>
      </c>
      <c r="N46" s="32">
        <f t="shared" si="17"/>
        <v>2.283653846153836E-2</v>
      </c>
      <c r="O46" s="18">
        <f>IF(ISNUMBER(M46), $B64 * N46, "")</f>
        <v>2283.6538461538362</v>
      </c>
      <c r="Q46" s="235"/>
      <c r="R46" s="235"/>
      <c r="S46" s="235"/>
    </row>
    <row r="47" spans="1:19" ht="17.25" customHeight="1" thickBot="1">
      <c r="A47" s="162" t="s">
        <v>152</v>
      </c>
      <c r="B47" s="126">
        <v>18.399999999999999</v>
      </c>
      <c r="C47" s="77">
        <v>-1.0752688200000001E-2</v>
      </c>
      <c r="D47" s="15">
        <v>19.399999999999999</v>
      </c>
      <c r="E47" s="32">
        <f t="shared" si="14"/>
        <v>5.4347826086956527E-2</v>
      </c>
      <c r="F47" s="18">
        <f>IF(ISNUMBER(D47), $B64 * E47, "")</f>
        <v>5434.7826086956529</v>
      </c>
      <c r="G47" s="31">
        <v>19.899999999999999</v>
      </c>
      <c r="H47" s="32">
        <f t="shared" si="15"/>
        <v>8.1521739130434784E-2</v>
      </c>
      <c r="I47" s="101">
        <f>IF(ISNUMBER(G47), $B64 * H47, "")</f>
        <v>8152.173913043478</v>
      </c>
      <c r="J47" s="15">
        <v>19.600000000000001</v>
      </c>
      <c r="K47" s="32">
        <f t="shared" si="16"/>
        <v>6.5217391304347991E-2</v>
      </c>
      <c r="L47" s="18">
        <f>IF(ISNUMBER(J47), $B64 * K47, "")</f>
        <v>6521.7391304347993</v>
      </c>
      <c r="M47" s="31">
        <v>19.3</v>
      </c>
      <c r="N47" s="32">
        <f t="shared" si="17"/>
        <v>4.891304347826099E-2</v>
      </c>
      <c r="O47" s="18">
        <f>IF(ISNUMBER(M47), $B64 * N47, "")</f>
        <v>4891.3043478260988</v>
      </c>
      <c r="Q47" s="235"/>
      <c r="R47" s="235"/>
      <c r="S47" s="235"/>
    </row>
    <row r="48" spans="1:19" ht="17.25" customHeight="1" thickBot="1">
      <c r="A48" s="163" t="s">
        <v>168</v>
      </c>
      <c r="B48" s="128">
        <v>91.8</v>
      </c>
      <c r="C48" s="78">
        <v>-1.50214592E-2</v>
      </c>
      <c r="D48" s="20">
        <v>95</v>
      </c>
      <c r="E48" s="21">
        <f t="shared" si="14"/>
        <v>3.4858387799564301E-2</v>
      </c>
      <c r="F48" s="22">
        <f>IF(ISNUMBER(D48), $B64 * E48, "")</f>
        <v>3485.8387799564302</v>
      </c>
      <c r="G48" s="30">
        <v>97.3</v>
      </c>
      <c r="H48" s="21">
        <f t="shared" si="15"/>
        <v>5.9912854030501089E-2</v>
      </c>
      <c r="I48" s="105">
        <f>IF(ISNUMBER(G48), $B64 * H48, "")</f>
        <v>5991.2854030501094</v>
      </c>
      <c r="J48" s="20">
        <v>96</v>
      </c>
      <c r="K48" s="21">
        <f t="shared" si="16"/>
        <v>4.5751633986928136E-2</v>
      </c>
      <c r="L48" s="22">
        <f>IF(ISNUMBER(J48), $B64 * K48, "")</f>
        <v>4575.1633986928136</v>
      </c>
      <c r="M48" s="30">
        <v>95.8</v>
      </c>
      <c r="N48" s="21">
        <f t="shared" si="17"/>
        <v>4.357298474945534E-2</v>
      </c>
      <c r="O48" s="22">
        <f>IF(ISNUMBER(M48), $B64 * N48, "")</f>
        <v>4357.2984749455336</v>
      </c>
      <c r="Q48" s="235"/>
      <c r="R48" s="235"/>
      <c r="S48" s="235"/>
    </row>
    <row r="49" spans="1:19" ht="17.25" customHeight="1" thickBot="1">
      <c r="A49" s="162" t="s">
        <v>266</v>
      </c>
      <c r="B49" s="129">
        <v>51</v>
      </c>
      <c r="C49" s="80">
        <v>-1.54440154E-2</v>
      </c>
      <c r="D49" s="106">
        <v>57</v>
      </c>
      <c r="E49" s="107">
        <f>IF(ISNUMBER(D49), (D49 - $B49) / $B49, "")</f>
        <v>0.11764705882352941</v>
      </c>
      <c r="F49" s="108">
        <f>IF(ISNUMBER(D49), $B64 * E49, "")</f>
        <v>11764.705882352941</v>
      </c>
      <c r="G49" s="109">
        <v>62.7</v>
      </c>
      <c r="H49" s="107">
        <f>IF(ISNUMBER(G49), (G49 - $B49) / $B49, "")</f>
        <v>0.2294117647058824</v>
      </c>
      <c r="I49" s="110">
        <f>IF(ISNUMBER(G49), $B64 * H49, "")</f>
        <v>22941.176470588242</v>
      </c>
      <c r="J49" s="106">
        <v>59.9</v>
      </c>
      <c r="K49" s="107">
        <f>IF(ISNUMBER(J49), (J49 - $B49) / $B49, "")</f>
        <v>0.17450980392156859</v>
      </c>
      <c r="L49" s="108">
        <f>IF(ISNUMBER(J49), $B64 * K49, "")</f>
        <v>17450.98039215686</v>
      </c>
      <c r="M49" s="109">
        <v>56.4</v>
      </c>
      <c r="N49" s="107">
        <f>IF(ISNUMBER(M49), (M49 - $B49) / $B49, "")</f>
        <v>0.10588235294117644</v>
      </c>
      <c r="O49" s="108">
        <f>IF(ISNUMBER(M49), $B64 * N49, "")</f>
        <v>10588.235294117645</v>
      </c>
      <c r="Q49" s="235"/>
      <c r="R49" s="235"/>
      <c r="S49" s="235"/>
    </row>
    <row r="50" spans="1:19" ht="17.25" customHeight="1" thickBot="1">
      <c r="A50" s="162" t="s">
        <v>264</v>
      </c>
      <c r="B50" s="126">
        <v>76.2</v>
      </c>
      <c r="C50" s="77">
        <v>-1.5503876E-2</v>
      </c>
      <c r="D50" s="15">
        <v>83.9</v>
      </c>
      <c r="E50" s="32">
        <f t="shared" ref="E50:E53" si="18">IF(ISNUMBER(D50), (D50 - $B50) / $B50, "")</f>
        <v>0.10104986876640423</v>
      </c>
      <c r="F50" s="18">
        <f>IF(ISNUMBER(D50), $B64 * E50, "")</f>
        <v>10104.986876640423</v>
      </c>
      <c r="G50" s="31">
        <v>81.900000000000006</v>
      </c>
      <c r="H50" s="32">
        <f t="shared" ref="H50:H53" si="19">IF(ISNUMBER(G50), (G50 - $B50) / $B50, "")</f>
        <v>7.4803149606299246E-2</v>
      </c>
      <c r="I50" s="101">
        <f>IF(ISNUMBER(G50), $B64 * H50, "")</f>
        <v>7480.3149606299248</v>
      </c>
      <c r="J50" s="15">
        <v>83.8</v>
      </c>
      <c r="K50" s="32">
        <f t="shared" ref="K50:K53" si="20">IF(ISNUMBER(J50), (J50 - $B50) / $B50, "")</f>
        <v>9.9737532808398865E-2</v>
      </c>
      <c r="L50" s="18">
        <f>IF(ISNUMBER(J50), $B64 * K50, "")</f>
        <v>9973.7532808398864</v>
      </c>
      <c r="M50" s="31">
        <v>83.4</v>
      </c>
      <c r="N50" s="32">
        <f t="shared" ref="N50:N53" si="21">IF(ISNUMBER(M50), (M50 - $B50) / $B50, "")</f>
        <v>9.4488188976377993E-2</v>
      </c>
      <c r="O50" s="18">
        <f>IF(ISNUMBER(M50), $B64 * N50, "")</f>
        <v>9448.8188976377987</v>
      </c>
      <c r="Q50" s="235"/>
      <c r="R50" s="235"/>
      <c r="S50" s="235"/>
    </row>
    <row r="51" spans="1:19" ht="17.25" customHeight="1" thickBot="1">
      <c r="A51" s="162" t="s">
        <v>65</v>
      </c>
      <c r="B51" s="126">
        <v>32.299999999999997</v>
      </c>
      <c r="C51" s="77">
        <v>-1.82370821E-2</v>
      </c>
      <c r="D51" s="15">
        <v>33.799999999999997</v>
      </c>
      <c r="E51" s="32">
        <f t="shared" si="18"/>
        <v>4.6439628482972138E-2</v>
      </c>
      <c r="F51" s="18">
        <f>IF(ISNUMBER(D51), $B64 * E51, "")</f>
        <v>4643.9628482972139</v>
      </c>
      <c r="G51" s="31">
        <v>34.1</v>
      </c>
      <c r="H51" s="32">
        <f t="shared" si="19"/>
        <v>5.57275541795667E-2</v>
      </c>
      <c r="I51" s="101">
        <f>IF(ISNUMBER(G51), $B64 * H51, "")</f>
        <v>5572.7554179566696</v>
      </c>
      <c r="J51" s="15">
        <v>34.299999999999997</v>
      </c>
      <c r="K51" s="32">
        <f t="shared" si="20"/>
        <v>6.1919504643962855E-2</v>
      </c>
      <c r="L51" s="18">
        <f>IF(ISNUMBER(J51), $B64 * K51, "")</f>
        <v>6191.9504643962855</v>
      </c>
      <c r="M51" s="31">
        <v>33.5</v>
      </c>
      <c r="N51" s="32">
        <f t="shared" si="21"/>
        <v>3.7151702786377798E-2</v>
      </c>
      <c r="O51" s="18">
        <f>IF(ISNUMBER(M51), $B64 * N51, "")</f>
        <v>3715.1702786377796</v>
      </c>
      <c r="Q51" s="235"/>
      <c r="R51" s="235"/>
      <c r="S51" s="235"/>
    </row>
    <row r="52" spans="1:19" ht="17.25" customHeight="1" thickBot="1">
      <c r="A52" s="162" t="s">
        <v>254</v>
      </c>
      <c r="B52" s="126">
        <v>44</v>
      </c>
      <c r="C52" s="77">
        <v>-2.00445434E-2</v>
      </c>
      <c r="D52" s="15">
        <v>64.2</v>
      </c>
      <c r="E52" s="32">
        <f t="shared" si="18"/>
        <v>0.45909090909090916</v>
      </c>
      <c r="F52" s="18">
        <f>IF(ISNUMBER(D52), $B64 * E52, "")</f>
        <v>45909.090909090919</v>
      </c>
      <c r="G52" s="31">
        <v>74.5</v>
      </c>
      <c r="H52" s="32">
        <f t="shared" si="19"/>
        <v>0.69318181818181823</v>
      </c>
      <c r="I52" s="101">
        <f>IF(ISNUMBER(G52), $B64 * H52, "")</f>
        <v>69318.181818181823</v>
      </c>
      <c r="J52" s="15">
        <v>71.900000000000006</v>
      </c>
      <c r="K52" s="32">
        <f t="shared" si="20"/>
        <v>0.63409090909090926</v>
      </c>
      <c r="L52" s="18">
        <f>IF(ISNUMBER(J52), $B64 * K52, "")</f>
        <v>63409.090909090926</v>
      </c>
      <c r="M52" s="31">
        <v>66.3</v>
      </c>
      <c r="N52" s="32">
        <f t="shared" si="21"/>
        <v>0.50681818181818172</v>
      </c>
      <c r="O52" s="18">
        <f>IF(ISNUMBER(M52), $B64 * N52, "")</f>
        <v>50681.818181818169</v>
      </c>
      <c r="Q52" s="33"/>
      <c r="R52" s="33"/>
    </row>
    <row r="53" spans="1:19" ht="17.25" customHeight="1" thickBot="1">
      <c r="A53" s="130" t="s">
        <v>100</v>
      </c>
      <c r="B53" s="131">
        <v>4.18</v>
      </c>
      <c r="C53" s="79">
        <v>-2.1077283400000001E-2</v>
      </c>
      <c r="D53" s="24">
        <v>4.28</v>
      </c>
      <c r="E53" s="25">
        <f t="shared" si="18"/>
        <v>2.3923444976076683E-2</v>
      </c>
      <c r="F53" s="104">
        <f>IF(ISNUMBER(D53), $B64 * E53, "")</f>
        <v>2392.3444976076685</v>
      </c>
      <c r="G53" s="102">
        <v>4.3099999999999996</v>
      </c>
      <c r="H53" s="25">
        <f t="shared" si="19"/>
        <v>3.1100478468899496E-2</v>
      </c>
      <c r="I53" s="103">
        <f>IF(ISNUMBER(G53), $B64 * H53, "")</f>
        <v>3110.0478468899496</v>
      </c>
      <c r="J53" s="24">
        <v>4.2699999999999996</v>
      </c>
      <c r="K53" s="25">
        <f t="shared" si="20"/>
        <v>2.1531100478468866E-2</v>
      </c>
      <c r="L53" s="104">
        <f>IF(ISNUMBER(J53), $B64 * K53, "")</f>
        <v>2153.1100478468866</v>
      </c>
      <c r="M53" s="102">
        <v>4.24</v>
      </c>
      <c r="N53" s="25">
        <f t="shared" si="21"/>
        <v>1.4354066985646053E-2</v>
      </c>
      <c r="O53" s="104">
        <f>IF(ISNUMBER(M53), $B64 * N53, "")</f>
        <v>1435.4066985646052</v>
      </c>
      <c r="Q53" s="236"/>
      <c r="R53" s="237"/>
      <c r="S53" s="238"/>
    </row>
    <row r="54" spans="1:19" ht="17.25" customHeight="1">
      <c r="A54" s="161" t="s">
        <v>134</v>
      </c>
      <c r="B54" s="124">
        <v>84.4</v>
      </c>
      <c r="C54" s="76">
        <v>-2.3148148100000002E-2</v>
      </c>
      <c r="D54" s="13">
        <v>86.1</v>
      </c>
      <c r="E54" s="14">
        <f>IF(ISNUMBER(D54), (D54 - $B54) / $B54, "")</f>
        <v>2.0142180094786594E-2</v>
      </c>
      <c r="F54" s="16">
        <f>IF(ISNUMBER(D54), $B64 * E54, "")</f>
        <v>2014.2180094786595</v>
      </c>
      <c r="G54" s="29">
        <v>91</v>
      </c>
      <c r="H54" s="14">
        <f>IF(ISNUMBER(G54), (G54 - $B54) / $B54, "")</f>
        <v>7.8199052132701355E-2</v>
      </c>
      <c r="I54" s="100">
        <f>IF(ISNUMBER(G54), $B64 * H54, "")</f>
        <v>7819.9052132701354</v>
      </c>
      <c r="J54" s="13">
        <v>89.8</v>
      </c>
      <c r="K54" s="14">
        <f>IF(ISNUMBER(J54), (J54 - $B54) / $B54, "")</f>
        <v>6.3981042654028333E-2</v>
      </c>
      <c r="L54" s="16">
        <f>IF(ISNUMBER(J54), $B64 * K54, "")</f>
        <v>6398.1042654028333</v>
      </c>
      <c r="M54" s="29">
        <v>87.1</v>
      </c>
      <c r="N54" s="14">
        <f>IF(ISNUMBER(M54), (M54 - $B54) / $B54, "")</f>
        <v>3.1990521327014083E-2</v>
      </c>
      <c r="O54" s="16">
        <f>IF(ISNUMBER(M54), $B64 * N54, "")</f>
        <v>3199.0521327014085</v>
      </c>
      <c r="Q54" s="239"/>
      <c r="R54" s="240"/>
      <c r="S54" s="241"/>
    </row>
    <row r="55" spans="1:19" ht="17.25" customHeight="1" thickBot="1">
      <c r="A55" s="162" t="s">
        <v>214</v>
      </c>
      <c r="B55" s="126">
        <v>12</v>
      </c>
      <c r="C55" s="77">
        <v>-2.4390243900000001E-2</v>
      </c>
      <c r="D55" s="15">
        <v>12.9</v>
      </c>
      <c r="E55" s="32">
        <f t="shared" ref="E55:E58" si="22">IF(ISNUMBER(D55), (D55 - $B55) / $B55, "")</f>
        <v>7.5000000000000025E-2</v>
      </c>
      <c r="F55" s="18">
        <f>IF(ISNUMBER(D55), $B64 * E55, "")</f>
        <v>7500.0000000000027</v>
      </c>
      <c r="G55" s="31">
        <v>13.2</v>
      </c>
      <c r="H55" s="32">
        <f t="shared" ref="H55:H58" si="23">IF(ISNUMBER(G55), (G55 - $B55) / $B55, "")</f>
        <v>9.9999999999999936E-2</v>
      </c>
      <c r="I55" s="101">
        <f>IF(ISNUMBER(G55), $B64 * H55, "")</f>
        <v>9999.9999999999927</v>
      </c>
      <c r="J55" s="15">
        <v>13.3</v>
      </c>
      <c r="K55" s="32">
        <f t="shared" ref="K55:K58" si="24">IF(ISNUMBER(J55), (J55 - $B55) / $B55, "")</f>
        <v>0.10833333333333339</v>
      </c>
      <c r="L55" s="18">
        <f>IF(ISNUMBER(J55), $B64 * K55, "")</f>
        <v>10833.333333333339</v>
      </c>
      <c r="M55" s="31">
        <v>12.7</v>
      </c>
      <c r="N55" s="32">
        <f t="shared" ref="N55:N58" si="25">IF(ISNUMBER(M55), (M55 - $B55) / $B55, "")</f>
        <v>5.8333333333333272E-2</v>
      </c>
      <c r="O55" s="18">
        <f>IF(ISNUMBER(M55), $B64 * N55, "")</f>
        <v>5833.3333333333276</v>
      </c>
      <c r="Q55" s="242"/>
      <c r="R55" s="243"/>
      <c r="S55" s="244"/>
    </row>
    <row r="56" spans="1:19" ht="17.25" customHeight="1" thickBot="1">
      <c r="A56" s="162" t="s">
        <v>72</v>
      </c>
      <c r="B56" s="126">
        <v>18.600000000000001</v>
      </c>
      <c r="C56" s="77">
        <v>-2.6178010500000001E-2</v>
      </c>
      <c r="D56" s="15">
        <v>19.600000000000001</v>
      </c>
      <c r="E56" s="32">
        <f t="shared" si="22"/>
        <v>5.3763440860215048E-2</v>
      </c>
      <c r="F56" s="18">
        <f>IF(ISNUMBER(D56), $B64 * E56, "")</f>
        <v>5376.3440860215051</v>
      </c>
      <c r="G56" s="31">
        <v>19.8</v>
      </c>
      <c r="H56" s="32">
        <f t="shared" si="23"/>
        <v>6.4516129032258021E-2</v>
      </c>
      <c r="I56" s="101">
        <f>IF(ISNUMBER(G56), $B64 * H56, "")</f>
        <v>6451.6129032258023</v>
      </c>
      <c r="J56" s="15">
        <v>19.8</v>
      </c>
      <c r="K56" s="32">
        <f t="shared" si="24"/>
        <v>6.4516129032258021E-2</v>
      </c>
      <c r="L56" s="18">
        <f>IF(ISNUMBER(J56), $B64 * K56, "")</f>
        <v>6451.6129032258023</v>
      </c>
      <c r="M56" s="31">
        <v>19.7</v>
      </c>
      <c r="N56" s="32">
        <f t="shared" si="25"/>
        <v>5.9139784946236437E-2</v>
      </c>
      <c r="O56" s="18">
        <f>IF(ISNUMBER(M56), $B64 * N56, "")</f>
        <v>5913.9784946236441</v>
      </c>
      <c r="Q56" s="235"/>
      <c r="R56" s="235"/>
      <c r="S56" s="235"/>
    </row>
    <row r="57" spans="1:19" ht="17.25" customHeight="1" thickBot="1">
      <c r="A57" s="162" t="s">
        <v>126</v>
      </c>
      <c r="B57" s="126">
        <v>25.1</v>
      </c>
      <c r="C57" s="77">
        <v>-2.7131782900000002E-2</v>
      </c>
      <c r="D57" s="15">
        <v>26.5</v>
      </c>
      <c r="E57" s="32">
        <f t="shared" si="22"/>
        <v>5.5776892430278828E-2</v>
      </c>
      <c r="F57" s="18">
        <f>IF(ISNUMBER(D57), $B64 * E57, "")</f>
        <v>5577.6892430278831</v>
      </c>
      <c r="G57" s="31">
        <v>28.5</v>
      </c>
      <c r="H57" s="32">
        <f t="shared" si="23"/>
        <v>0.13545816733067723</v>
      </c>
      <c r="I57" s="101">
        <f>IF(ISNUMBER(G57), $B64 * H57, "")</f>
        <v>13545.816733067722</v>
      </c>
      <c r="J57" s="15">
        <v>27.6</v>
      </c>
      <c r="K57" s="32">
        <f t="shared" si="24"/>
        <v>9.9601593625498003E-2</v>
      </c>
      <c r="L57" s="18">
        <f>IF(ISNUMBER(J57), $B64 * K57, "")</f>
        <v>9960.1593625498008</v>
      </c>
      <c r="M57" s="31">
        <v>27</v>
      </c>
      <c r="N57" s="32">
        <f t="shared" si="25"/>
        <v>7.5697211155378419E-2</v>
      </c>
      <c r="O57" s="18">
        <f>IF(ISNUMBER(M57), $B64 * N57, "")</f>
        <v>7569.7211155378418</v>
      </c>
      <c r="Q57" s="245"/>
      <c r="R57" s="245"/>
      <c r="S57" s="245"/>
    </row>
    <row r="58" spans="1:19" ht="17.25" customHeight="1" thickBot="1">
      <c r="A58" s="163" t="s">
        <v>196</v>
      </c>
      <c r="B58" s="128">
        <v>10.6</v>
      </c>
      <c r="C58" s="78">
        <v>-2.7522935799999999E-2</v>
      </c>
      <c r="D58" s="20">
        <v>11.3</v>
      </c>
      <c r="E58" s="21">
        <f t="shared" si="22"/>
        <v>6.60377358490567E-2</v>
      </c>
      <c r="F58" s="22">
        <f>IF(ISNUMBER(D58), $B64 * E58, "")</f>
        <v>6603.7735849056698</v>
      </c>
      <c r="G58" s="30">
        <v>11.3</v>
      </c>
      <c r="H58" s="21">
        <f t="shared" si="23"/>
        <v>6.60377358490567E-2</v>
      </c>
      <c r="I58" s="105">
        <f>IF(ISNUMBER(G58), $B64 * H58, "")</f>
        <v>6603.7735849056698</v>
      </c>
      <c r="J58" s="20">
        <v>11.4</v>
      </c>
      <c r="K58" s="21">
        <f t="shared" si="24"/>
        <v>7.5471698113207614E-2</v>
      </c>
      <c r="L58" s="22">
        <f>IF(ISNUMBER(J58), $B64 * K58, "")</f>
        <v>7547.1698113207613</v>
      </c>
      <c r="M58" s="30">
        <v>11.2</v>
      </c>
      <c r="N58" s="21">
        <f t="shared" si="25"/>
        <v>5.6603773584905627E-2</v>
      </c>
      <c r="O58" s="22">
        <f>IF(ISNUMBER(M58), $B64 * N58, "")</f>
        <v>5660.377358490563</v>
      </c>
      <c r="Q58" s="245"/>
      <c r="R58" s="245"/>
      <c r="S58" s="245"/>
    </row>
    <row r="59" spans="1:19" ht="17.25" customHeight="1" thickBot="1">
      <c r="A59" s="162" t="s">
        <v>154</v>
      </c>
      <c r="B59" s="129">
        <v>10</v>
      </c>
      <c r="C59" s="80">
        <v>-2.9126213599999999E-2</v>
      </c>
      <c r="D59" s="106">
        <v>10.7</v>
      </c>
      <c r="E59" s="107">
        <f>IF(ISNUMBER(D59), (D59 - $B59) / $B59, "")</f>
        <v>6.9999999999999923E-2</v>
      </c>
      <c r="F59" s="108">
        <f>IF(ISNUMBER(D59), $B64 * E59, "")</f>
        <v>6999.9999999999927</v>
      </c>
      <c r="G59" s="109">
        <v>11.1</v>
      </c>
      <c r="H59" s="107">
        <f>IF(ISNUMBER(G59), (G59 - $B59) / $B59, "")</f>
        <v>0.10999999999999996</v>
      </c>
      <c r="I59" s="110">
        <f>IF(ISNUMBER(G59), $B64 * H59, "")</f>
        <v>10999.999999999996</v>
      </c>
      <c r="J59" s="106">
        <v>11</v>
      </c>
      <c r="K59" s="107">
        <f>IF(ISNUMBER(J59), (J59 - $B59) / $B59, "")</f>
        <v>0.1</v>
      </c>
      <c r="L59" s="108">
        <f>IF(ISNUMBER(J59), $B64 * K59, "")</f>
        <v>10000</v>
      </c>
      <c r="M59" s="109">
        <v>10.9</v>
      </c>
      <c r="N59" s="107">
        <f>IF(ISNUMBER(M59), (M59 - $B59) / $B59, "")</f>
        <v>9.0000000000000038E-2</v>
      </c>
      <c r="O59" s="108">
        <f>IF(ISNUMBER(M59), $B64 * N59, "")</f>
        <v>9000.0000000000036</v>
      </c>
      <c r="Q59" s="235"/>
      <c r="R59" s="235"/>
      <c r="S59" s="235"/>
    </row>
    <row r="60" spans="1:19" ht="17.25" customHeight="1" thickBot="1">
      <c r="A60" s="162" t="s">
        <v>222</v>
      </c>
      <c r="B60" s="126">
        <v>10.3</v>
      </c>
      <c r="C60" s="77">
        <v>-3.7383177599999998E-2</v>
      </c>
      <c r="D60" s="15">
        <v>10.9</v>
      </c>
      <c r="E60" s="32">
        <f t="shared" ref="E60:E63" si="26">IF(ISNUMBER(D60), (D60 - $B60) / $B60, "")</f>
        <v>5.825242718446598E-2</v>
      </c>
      <c r="F60" s="18">
        <f>IF(ISNUMBER(D60), $B64 * E60, "")</f>
        <v>5825.2427184465978</v>
      </c>
      <c r="G60" s="31">
        <v>11.4</v>
      </c>
      <c r="H60" s="32">
        <f t="shared" ref="H60:H63" si="27">IF(ISNUMBER(G60), (G60 - $B60) / $B60, "")</f>
        <v>0.10679611650485432</v>
      </c>
      <c r="I60" s="101">
        <f>IF(ISNUMBER(G60), $B64 * H60, "")</f>
        <v>10679.611650485433</v>
      </c>
      <c r="J60" s="15">
        <v>11.3</v>
      </c>
      <c r="K60" s="32">
        <f t="shared" ref="K60:K63" si="28">IF(ISNUMBER(J60), (J60 - $B60) / $B60, "")</f>
        <v>9.7087378640776698E-2</v>
      </c>
      <c r="L60" s="18">
        <f>IF(ISNUMBER(J60), $B64 * K60, "")</f>
        <v>9708.7378640776697</v>
      </c>
      <c r="M60" s="31">
        <v>11.3</v>
      </c>
      <c r="N60" s="32">
        <f t="shared" ref="N60:N63" si="29">IF(ISNUMBER(M60), (M60 - $B60) / $B60, "")</f>
        <v>9.7087378640776698E-2</v>
      </c>
      <c r="O60" s="18">
        <f>IF(ISNUMBER(M60), $B64 * N60, "")</f>
        <v>9708.7378640776697</v>
      </c>
      <c r="Q60" s="235"/>
      <c r="R60" s="235"/>
      <c r="S60" s="235"/>
    </row>
    <row r="61" spans="1:19" ht="17.25" customHeight="1" thickBot="1">
      <c r="A61" s="162" t="s">
        <v>228</v>
      </c>
      <c r="B61" s="126">
        <v>9.48</v>
      </c>
      <c r="C61" s="77">
        <v>-3.8539553800000001E-2</v>
      </c>
      <c r="D61" s="15">
        <v>9.94</v>
      </c>
      <c r="E61" s="32">
        <f t="shared" si="26"/>
        <v>4.8523206751054752E-2</v>
      </c>
      <c r="F61" s="18">
        <f>IF(ISNUMBER(D61), $B64 * E61, "")</f>
        <v>4852.3206751054749</v>
      </c>
      <c r="G61" s="31">
        <v>10.3</v>
      </c>
      <c r="H61" s="32">
        <f t="shared" si="27"/>
        <v>8.6497890295358676E-2</v>
      </c>
      <c r="I61" s="101">
        <f>IF(ISNUMBER(G61), $B64 * H61, "")</f>
        <v>8649.7890295358684</v>
      </c>
      <c r="J61" s="15">
        <v>10.3</v>
      </c>
      <c r="K61" s="32">
        <f t="shared" si="28"/>
        <v>8.6497890295358676E-2</v>
      </c>
      <c r="L61" s="18">
        <f>IF(ISNUMBER(J61), $B64 * K61, "")</f>
        <v>8649.7890295358684</v>
      </c>
      <c r="M61" s="31">
        <v>10.1</v>
      </c>
      <c r="N61" s="32">
        <f t="shared" si="29"/>
        <v>6.5400843881856449E-2</v>
      </c>
      <c r="O61" s="18">
        <f>IF(ISNUMBER(M61), $B64 * N61, "")</f>
        <v>6540.0843881856454</v>
      </c>
      <c r="Q61" s="235"/>
      <c r="R61" s="235"/>
      <c r="S61" s="235"/>
    </row>
    <row r="62" spans="1:19" ht="17.25" customHeight="1">
      <c r="A62" s="162" t="s">
        <v>218</v>
      </c>
      <c r="B62" s="126">
        <v>14.4</v>
      </c>
      <c r="C62" s="77">
        <v>-0.04</v>
      </c>
      <c r="D62" s="15">
        <v>15.4</v>
      </c>
      <c r="E62" s="32">
        <f t="shared" si="26"/>
        <v>6.9444444444444448E-2</v>
      </c>
      <c r="F62" s="18">
        <f>IF(ISNUMBER(D62), $B64 * E62, "")</f>
        <v>6944.4444444444443</v>
      </c>
      <c r="G62" s="31">
        <v>16.2</v>
      </c>
      <c r="H62" s="32">
        <f t="shared" si="27"/>
        <v>0.12499999999999992</v>
      </c>
      <c r="I62" s="101">
        <f>IF(ISNUMBER(G62), $B64 * H62, "")</f>
        <v>12499.999999999991</v>
      </c>
      <c r="J62" s="15">
        <v>17</v>
      </c>
      <c r="K62" s="32">
        <f t="shared" si="28"/>
        <v>0.18055555555555552</v>
      </c>
      <c r="L62" s="18">
        <f>IF(ISNUMBER(J62), $B64 * K62, "")</f>
        <v>18055.555555555551</v>
      </c>
      <c r="M62" s="31">
        <v>15.8</v>
      </c>
      <c r="N62" s="32">
        <f t="shared" si="29"/>
        <v>9.7222222222222238E-2</v>
      </c>
      <c r="O62" s="18">
        <f>IF(ISNUMBER(M62), $B64 * N62, "")</f>
        <v>9722.2222222222244</v>
      </c>
      <c r="Q62" s="224"/>
      <c r="R62" s="225"/>
      <c r="S62" s="226"/>
    </row>
    <row r="63" spans="1:19" ht="17.25" customHeight="1" thickBot="1">
      <c r="A63" s="130" t="s">
        <v>198</v>
      </c>
      <c r="B63" s="131">
        <v>14</v>
      </c>
      <c r="C63" s="79">
        <v>-4.1095890400000001E-2</v>
      </c>
      <c r="D63" s="24">
        <v>14.7</v>
      </c>
      <c r="E63" s="25">
        <f t="shared" si="26"/>
        <v>4.9999999999999947E-2</v>
      </c>
      <c r="F63" s="104">
        <f>IF(ISNUMBER(D63), $B64 * E63, "")</f>
        <v>4999.9999999999945</v>
      </c>
      <c r="G63" s="102">
        <v>15.3</v>
      </c>
      <c r="H63" s="25">
        <f t="shared" si="27"/>
        <v>9.2857142857142902E-2</v>
      </c>
      <c r="I63" s="103">
        <f>IF(ISNUMBER(G63), $B64 * H63, "")</f>
        <v>9285.7142857142899</v>
      </c>
      <c r="J63" s="24">
        <v>15.4</v>
      </c>
      <c r="K63" s="25">
        <f t="shared" si="28"/>
        <v>0.10000000000000002</v>
      </c>
      <c r="L63" s="104">
        <f>IF(ISNUMBER(J63), $B64 * K63, "")</f>
        <v>10000.000000000002</v>
      </c>
      <c r="M63" s="102">
        <v>15.3</v>
      </c>
      <c r="N63" s="25">
        <f t="shared" si="29"/>
        <v>9.2857142857142902E-2</v>
      </c>
      <c r="O63" s="104">
        <f>IF(ISNUMBER(M63), $B64 * N63, "")</f>
        <v>9285.7142857142899</v>
      </c>
      <c r="Q63" s="227"/>
      <c r="R63" s="228"/>
      <c r="S63" s="229"/>
    </row>
    <row r="64" spans="1:19" ht="17.25" customHeight="1" thickBot="1">
      <c r="A64" s="132" t="s">
        <v>300</v>
      </c>
      <c r="B64" s="288">
        <f>$B$37</f>
        <v>100000</v>
      </c>
      <c r="C64" s="289"/>
      <c r="D64" s="26" t="s">
        <v>301</v>
      </c>
      <c r="E64" s="27">
        <f>IF(COUNT(E44:E63), SUM(E44:E63) / COUNT(E44:E63), 0)</f>
        <v>7.9082666580795408E-2</v>
      </c>
      <c r="F64" s="28">
        <f>SUM(F44:F63)</f>
        <v>158165.3331615908</v>
      </c>
      <c r="G64" s="26" t="s">
        <v>301</v>
      </c>
      <c r="H64" s="27">
        <f>IF(COUNT(H44:H63), SUM(H44:H63) / COUNT(H44:H63), 0)</f>
        <v>0.12237893156105209</v>
      </c>
      <c r="I64" s="28">
        <f>SUM(I44:I63)</f>
        <v>244757.86312210411</v>
      </c>
      <c r="J64" s="26" t="s">
        <v>301</v>
      </c>
      <c r="K64" s="27">
        <f>IF(COUNT(K44:K63), SUM(K44:K63) / COUNT(K44:K63), 0)</f>
        <v>0.11342726744660152</v>
      </c>
      <c r="L64" s="28">
        <f>SUM(L44:L63)</f>
        <v>226854.53489320306</v>
      </c>
      <c r="M64" s="26" t="s">
        <v>301</v>
      </c>
      <c r="N64" s="27">
        <f>IF(COUNT(N44:N63), SUM(N44:N63) / COUNT(N44:N63), 0)</f>
        <v>8.4786452953680466E-2</v>
      </c>
      <c r="O64" s="28">
        <f>SUM(O44:O63)</f>
        <v>169572.9059073609</v>
      </c>
      <c r="Q64" s="230"/>
      <c r="R64" s="231"/>
      <c r="S64" s="232"/>
    </row>
    <row r="65" spans="1:19" ht="17.25" customHeight="1"/>
    <row r="66" spans="1:19" ht="17.25" customHeight="1" thickBot="1"/>
    <row r="67" spans="1:19" ht="17.25" thickBot="1">
      <c r="A67" s="246" t="s">
        <v>45</v>
      </c>
      <c r="B67" s="247"/>
      <c r="C67" s="247"/>
      <c r="D67" s="247"/>
      <c r="E67" s="247"/>
      <c r="F67" s="247"/>
      <c r="G67" s="247"/>
      <c r="H67" s="247"/>
      <c r="I67" s="247"/>
      <c r="J67" s="247"/>
      <c r="K67" s="247"/>
      <c r="L67" s="247"/>
      <c r="M67" s="247"/>
      <c r="N67" s="247"/>
      <c r="O67" s="248"/>
      <c r="Q67" s="245"/>
      <c r="R67" s="245"/>
      <c r="S67" s="245"/>
    </row>
    <row r="68" spans="1:19" ht="17.25" thickBot="1">
      <c r="A68" s="196" t="s">
        <v>297</v>
      </c>
      <c r="B68" s="246" t="s">
        <v>49</v>
      </c>
      <c r="C68" s="248"/>
      <c r="D68" s="246" t="s">
        <v>58</v>
      </c>
      <c r="E68" s="247"/>
      <c r="F68" s="248"/>
      <c r="G68" s="249">
        <f>_xlfn.IFNA(VLOOKUP(B68, 현재가테이블!$B$2:$D$200, 2, FALSE), "-")</f>
        <v>45335000</v>
      </c>
      <c r="H68" s="250"/>
      <c r="I68" s="251"/>
      <c r="J68" s="246" t="s">
        <v>59</v>
      </c>
      <c r="K68" s="247"/>
      <c r="L68" s="248"/>
      <c r="M68" s="252">
        <f>_xlfn.IFNA(VLOOKUP(B68, 현재가테이블!$B$2:$D$200, 3, FALSE), "-")</f>
        <v>-2.27209037E-2</v>
      </c>
      <c r="N68" s="253"/>
      <c r="O68" s="254"/>
      <c r="Q68" s="245"/>
      <c r="R68" s="245"/>
      <c r="S68" s="245"/>
    </row>
    <row r="69" spans="1:19" ht="17.25" thickBot="1">
      <c r="A69" s="290" t="s">
        <v>55</v>
      </c>
      <c r="B69" s="286" t="str">
        <f>TEXT($G$1, "[$-ko-KR]yyyy-mm-dd(ddd) ") &amp; "오전 00:00"</f>
        <v>2021-06-10(목) 오전 00:00</v>
      </c>
      <c r="C69" s="287"/>
      <c r="D69" s="259" t="str">
        <f>TEXT($G$1, "[$-ko-KR]yyyy-mm-dd(ddd) ") &amp; "오후 14:00"</f>
        <v>2021-06-10(목) 오후 14:00</v>
      </c>
      <c r="E69" s="260"/>
      <c r="F69" s="261"/>
      <c r="G69" s="259" t="str">
        <f>TEXT($G$1, "[$-ko-KR]yyyy-mm-dd(ddd) ") &amp; "오후 19:00"</f>
        <v>2021-06-10(목) 오후 19:00</v>
      </c>
      <c r="H69" s="260"/>
      <c r="I69" s="261"/>
      <c r="J69" s="259" t="str">
        <f>TEXT($G$1, "[$-ko-KR]yyyy-mm-dd(ddd) ") &amp; "오후 21:00"</f>
        <v>2021-06-10(목) 오후 21:00</v>
      </c>
      <c r="K69" s="260"/>
      <c r="L69" s="261"/>
      <c r="M69" s="259" t="str">
        <f>TEXT($G$1+1, "[$-ko-KR]yyyy-mm-dd(ddd) ") &amp; "오전 00:00"</f>
        <v>2021-06-11(금) 오전 00:00</v>
      </c>
      <c r="N69" s="260"/>
      <c r="O69" s="261"/>
      <c r="Q69" s="245"/>
      <c r="R69" s="245"/>
      <c r="S69" s="245"/>
    </row>
    <row r="70" spans="1:19" ht="17.25" thickBot="1">
      <c r="A70" s="291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97" t="s">
        <v>58</v>
      </c>
      <c r="H70" s="198" t="s">
        <v>298</v>
      </c>
      <c r="I70" s="199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5"/>
      <c r="R70" s="235"/>
      <c r="S70" s="235"/>
    </row>
    <row r="71" spans="1:19" ht="17.25" thickBot="1">
      <c r="A71" s="161" t="s">
        <v>142</v>
      </c>
      <c r="B71" s="124">
        <v>709</v>
      </c>
      <c r="C71" s="76">
        <v>8.2442748100000005E-2</v>
      </c>
      <c r="D71" s="13">
        <v>659</v>
      </c>
      <c r="E71" s="14">
        <f>IF(ISNUMBER(D71), (D71 - $B71) / $B71, "")</f>
        <v>-7.0521861777150918E-2</v>
      </c>
      <c r="F71" s="16">
        <f>IF(ISNUMBER(D71), $B91 * E71, "")</f>
        <v>-7052.1861777150916</v>
      </c>
      <c r="G71" s="29">
        <v>651</v>
      </c>
      <c r="H71" s="14">
        <f>IF(ISNUMBER(G71), (G71 - $B71) / $B71, "")</f>
        <v>-8.1805359661495061E-2</v>
      </c>
      <c r="I71" s="100">
        <f>IF(ISNUMBER(G71), $B91 * H71, "")</f>
        <v>-8180.5359661495058</v>
      </c>
      <c r="J71" s="13">
        <v>632</v>
      </c>
      <c r="K71" s="14">
        <f>IF(ISNUMBER(J71), (J71 - $B71) / $B71, "")</f>
        <v>-0.10860366713681241</v>
      </c>
      <c r="L71" s="16">
        <f>IF(ISNUMBER(J71), $B91 * K71, "")</f>
        <v>-10860.36671368124</v>
      </c>
      <c r="M71" s="29">
        <v>630</v>
      </c>
      <c r="N71" s="14">
        <f>IF(ISNUMBER(M71), (M71 - $B71) / $B71, "")</f>
        <v>-0.11142454160789844</v>
      </c>
      <c r="O71" s="16">
        <f>IF(ISNUMBER(M71), $B91 * N71, "")</f>
        <v>-11142.454160789845</v>
      </c>
      <c r="Q71" s="245"/>
      <c r="R71" s="245"/>
      <c r="S71" s="245"/>
    </row>
    <row r="72" spans="1:19" ht="17.25" thickBot="1">
      <c r="A72" s="162" t="s">
        <v>280</v>
      </c>
      <c r="B72" s="126">
        <v>997</v>
      </c>
      <c r="C72" s="77">
        <v>4.3979057600000003E-2</v>
      </c>
      <c r="D72" s="15">
        <v>983</v>
      </c>
      <c r="E72" s="32">
        <f t="shared" ref="E72:E75" si="30">IF(ISNUMBER(D72), (D72 - $B72) / $B72, "")</f>
        <v>-1.4042126379137413E-2</v>
      </c>
      <c r="F72" s="18">
        <f>IF(ISNUMBER(D72), $B91 * E72, "")</f>
        <v>-1404.2126379137412</v>
      </c>
      <c r="G72" s="31">
        <v>1005</v>
      </c>
      <c r="H72" s="32">
        <f t="shared" ref="H72:H75" si="31">IF(ISNUMBER(G72), (G72 - $B72) / $B72, "")</f>
        <v>8.0240722166499499E-3</v>
      </c>
      <c r="I72" s="101">
        <f>IF(ISNUMBER(G72), $B91 * H72, "")</f>
        <v>802.40722166499495</v>
      </c>
      <c r="J72" s="15">
        <v>1005</v>
      </c>
      <c r="K72" s="32">
        <f t="shared" ref="K72:K75" si="32">IF(ISNUMBER(J72), (J72 - $B72) / $B72, "")</f>
        <v>8.0240722166499499E-3</v>
      </c>
      <c r="L72" s="18">
        <f>IF(ISNUMBER(J72), $B91 * K72, "")</f>
        <v>802.40722166499495</v>
      </c>
      <c r="M72" s="31">
        <v>992</v>
      </c>
      <c r="N72" s="32">
        <f t="shared" ref="N72:N75" si="33">IF(ISNUMBER(M72), (M72 - $B72) / $B72, "")</f>
        <v>-5.0150451354062184E-3</v>
      </c>
      <c r="O72" s="18">
        <f>IF(ISNUMBER(M72), $B91 * N72, "")</f>
        <v>-501.50451354062187</v>
      </c>
      <c r="Q72" s="245"/>
      <c r="R72" s="245"/>
      <c r="S72" s="245"/>
    </row>
    <row r="73" spans="1:19" ht="17.25" thickBot="1">
      <c r="A73" s="162" t="s">
        <v>270</v>
      </c>
      <c r="B73" s="126">
        <v>335</v>
      </c>
      <c r="C73" s="77">
        <v>3.3950617299999999E-2</v>
      </c>
      <c r="D73" s="15">
        <v>336</v>
      </c>
      <c r="E73" s="32">
        <f t="shared" si="30"/>
        <v>2.9850746268656717E-3</v>
      </c>
      <c r="F73" s="18">
        <f>IF(ISNUMBER(D73), $B91 * E73, "")</f>
        <v>298.50746268656718</v>
      </c>
      <c r="G73" s="31">
        <v>337</v>
      </c>
      <c r="H73" s="32">
        <f t="shared" si="31"/>
        <v>5.9701492537313433E-3</v>
      </c>
      <c r="I73" s="101">
        <f>IF(ISNUMBER(G73), $B91 * H73, "")</f>
        <v>597.01492537313436</v>
      </c>
      <c r="J73" s="15">
        <v>341</v>
      </c>
      <c r="K73" s="32">
        <f t="shared" si="32"/>
        <v>1.7910447761194031E-2</v>
      </c>
      <c r="L73" s="18">
        <f>IF(ISNUMBER(J73), $B91 * K73, "")</f>
        <v>1791.0447761194032</v>
      </c>
      <c r="M73" s="31">
        <v>339</v>
      </c>
      <c r="N73" s="32">
        <f t="shared" si="33"/>
        <v>1.1940298507462687E-2</v>
      </c>
      <c r="O73" s="18">
        <f>IF(ISNUMBER(M73), $B91 * N73, "")</f>
        <v>1194.0298507462687</v>
      </c>
      <c r="Q73" s="235"/>
      <c r="R73" s="235"/>
      <c r="S73" s="235"/>
    </row>
    <row r="74" spans="1:19" ht="17.25" thickBot="1">
      <c r="A74" s="162" t="s">
        <v>82</v>
      </c>
      <c r="B74" s="126">
        <v>978</v>
      </c>
      <c r="C74" s="77">
        <v>1.9812304499999999E-2</v>
      </c>
      <c r="D74" s="15">
        <v>996</v>
      </c>
      <c r="E74" s="32">
        <f t="shared" si="30"/>
        <v>1.8404907975460124E-2</v>
      </c>
      <c r="F74" s="18">
        <f>IF(ISNUMBER(D74), $B91 * E74, "")</f>
        <v>1840.4907975460123</v>
      </c>
      <c r="G74" s="31">
        <v>1035</v>
      </c>
      <c r="H74" s="32">
        <f t="shared" si="31"/>
        <v>5.8282208588957052E-2</v>
      </c>
      <c r="I74" s="101">
        <f>IF(ISNUMBER(G74), $B91 * H74, "")</f>
        <v>5828.2208588957055</v>
      </c>
      <c r="J74" s="15">
        <v>1045</v>
      </c>
      <c r="K74" s="32">
        <f t="shared" si="32"/>
        <v>6.8507157464212681E-2</v>
      </c>
      <c r="L74" s="18">
        <f>IF(ISNUMBER(J74), $B91 * K74, "")</f>
        <v>6850.7157464212678</v>
      </c>
      <c r="M74" s="31">
        <v>1020</v>
      </c>
      <c r="N74" s="32">
        <f t="shared" si="33"/>
        <v>4.2944785276073622E-2</v>
      </c>
      <c r="O74" s="18">
        <f>IF(ISNUMBER(M74), $B91 * N74, "")</f>
        <v>4294.4785276073626</v>
      </c>
      <c r="Q74" s="235"/>
      <c r="R74" s="235"/>
      <c r="S74" s="235"/>
    </row>
    <row r="75" spans="1:19" ht="17.25" thickBot="1">
      <c r="A75" s="163" t="s">
        <v>210</v>
      </c>
      <c r="B75" s="128">
        <v>117</v>
      </c>
      <c r="C75" s="78">
        <v>1.73913043E-2</v>
      </c>
      <c r="D75" s="20">
        <v>118</v>
      </c>
      <c r="E75" s="21">
        <f t="shared" si="30"/>
        <v>8.5470085470085479E-3</v>
      </c>
      <c r="F75" s="22">
        <f>IF(ISNUMBER(D75), $B91 * E75, "")</f>
        <v>854.70085470085473</v>
      </c>
      <c r="G75" s="30">
        <v>121</v>
      </c>
      <c r="H75" s="21">
        <f t="shared" si="31"/>
        <v>3.4188034188034191E-2</v>
      </c>
      <c r="I75" s="105">
        <f>IF(ISNUMBER(G75), $B91 * H75, "")</f>
        <v>3418.8034188034189</v>
      </c>
      <c r="J75" s="20">
        <v>121</v>
      </c>
      <c r="K75" s="21">
        <f t="shared" si="32"/>
        <v>3.4188034188034191E-2</v>
      </c>
      <c r="L75" s="22">
        <f>IF(ISNUMBER(J75), $B91 * K75, "")</f>
        <v>3418.8034188034189</v>
      </c>
      <c r="M75" s="30">
        <v>120</v>
      </c>
      <c r="N75" s="21">
        <f t="shared" si="33"/>
        <v>2.564102564102564E-2</v>
      </c>
      <c r="O75" s="22">
        <f>IF(ISNUMBER(M75), $B91 * N75, "")</f>
        <v>2564.102564102564</v>
      </c>
      <c r="Q75" s="235"/>
      <c r="R75" s="235"/>
      <c r="S75" s="235"/>
    </row>
    <row r="76" spans="1:19" ht="17.25" thickBot="1">
      <c r="A76" s="162" t="s">
        <v>120</v>
      </c>
      <c r="B76" s="129">
        <v>134</v>
      </c>
      <c r="C76" s="80">
        <v>1.51515152E-2</v>
      </c>
      <c r="D76" s="106">
        <v>138</v>
      </c>
      <c r="E76" s="107">
        <f>IF(ISNUMBER(D76), (D76 - $B76) / $B76, "")</f>
        <v>2.9850746268656716E-2</v>
      </c>
      <c r="F76" s="108">
        <f>IF(ISNUMBER(D76), $B91 * E76, "")</f>
        <v>2985.0746268656717</v>
      </c>
      <c r="G76" s="109">
        <v>140</v>
      </c>
      <c r="H76" s="107">
        <f>IF(ISNUMBER(G76), (G76 - $B76) / $B76, "")</f>
        <v>4.4776119402985072E-2</v>
      </c>
      <c r="I76" s="110">
        <f>IF(ISNUMBER(G76), $B91 * H76, "")</f>
        <v>4477.6119402985069</v>
      </c>
      <c r="J76" s="106">
        <v>140</v>
      </c>
      <c r="K76" s="107">
        <f>IF(ISNUMBER(J76), (J76 - $B76) / $B76, "")</f>
        <v>4.4776119402985072E-2</v>
      </c>
      <c r="L76" s="108">
        <f>IF(ISNUMBER(J76), $B91 * K76, "")</f>
        <v>4477.6119402985069</v>
      </c>
      <c r="M76" s="109">
        <v>139</v>
      </c>
      <c r="N76" s="107">
        <f>IF(ISNUMBER(M76), (M76 - $B76) / $B76, "")</f>
        <v>3.7313432835820892E-2</v>
      </c>
      <c r="O76" s="108">
        <f>IF(ISNUMBER(M76), $B91 * N76, "")</f>
        <v>3731.343283582089</v>
      </c>
      <c r="Q76" s="235"/>
      <c r="R76" s="235"/>
      <c r="S76" s="235"/>
    </row>
    <row r="77" spans="1:19" ht="17.25" thickBot="1">
      <c r="A77" s="162" t="s">
        <v>57</v>
      </c>
      <c r="B77" s="126">
        <v>191</v>
      </c>
      <c r="C77" s="77">
        <v>5.2631579E-3</v>
      </c>
      <c r="D77" s="15">
        <v>198</v>
      </c>
      <c r="E77" s="32">
        <f t="shared" ref="E77:E80" si="34">IF(ISNUMBER(D77), (D77 - $B77) / $B77, "")</f>
        <v>3.6649214659685861E-2</v>
      </c>
      <c r="F77" s="18">
        <f>IF(ISNUMBER(D77), $B91 * E77, "")</f>
        <v>3664.9214659685863</v>
      </c>
      <c r="G77" s="31">
        <v>200</v>
      </c>
      <c r="H77" s="32">
        <f t="shared" ref="H77:H80" si="35">IF(ISNUMBER(G77), (G77 - $B77) / $B77, "")</f>
        <v>4.712041884816754E-2</v>
      </c>
      <c r="I77" s="101">
        <f>IF(ISNUMBER(G77), $B91 * H77, "")</f>
        <v>4712.0418848167537</v>
      </c>
      <c r="J77" s="15">
        <v>199</v>
      </c>
      <c r="K77" s="32">
        <f t="shared" ref="K77:K80" si="36">IF(ISNUMBER(J77), (J77 - $B77) / $B77, "")</f>
        <v>4.1884816753926704E-2</v>
      </c>
      <c r="L77" s="18">
        <f>IF(ISNUMBER(J77), $B91 * K77, "")</f>
        <v>4188.4816753926707</v>
      </c>
      <c r="M77" s="31">
        <v>198</v>
      </c>
      <c r="N77" s="32">
        <f t="shared" ref="N77:N80" si="37">IF(ISNUMBER(M77), (M77 - $B77) / $B77, "")</f>
        <v>3.6649214659685861E-2</v>
      </c>
      <c r="O77" s="18">
        <f>IF(ISNUMBER(M77), $B91 * N77, "")</f>
        <v>3664.9214659685863</v>
      </c>
      <c r="Q77" s="235"/>
      <c r="R77" s="235"/>
      <c r="S77" s="235"/>
    </row>
    <row r="78" spans="1:19" ht="17.25" thickBot="1">
      <c r="A78" s="162" t="s">
        <v>128</v>
      </c>
      <c r="B78" s="126">
        <v>329</v>
      </c>
      <c r="C78" s="77">
        <v>3.0487804999999998E-3</v>
      </c>
      <c r="D78" s="15">
        <v>336</v>
      </c>
      <c r="E78" s="32">
        <f t="shared" si="34"/>
        <v>2.1276595744680851E-2</v>
      </c>
      <c r="F78" s="18">
        <f>IF(ISNUMBER(D78), $B91 * E78, "")</f>
        <v>2127.6595744680849</v>
      </c>
      <c r="G78" s="31">
        <v>342</v>
      </c>
      <c r="H78" s="32">
        <f t="shared" si="35"/>
        <v>3.9513677811550151E-2</v>
      </c>
      <c r="I78" s="101">
        <f>IF(ISNUMBER(G78), $B91 * H78, "")</f>
        <v>3951.3677811550151</v>
      </c>
      <c r="J78" s="15">
        <v>339</v>
      </c>
      <c r="K78" s="32">
        <f t="shared" si="36"/>
        <v>3.0395136778115502E-2</v>
      </c>
      <c r="L78" s="18">
        <f>IF(ISNUMBER(J78), $B91 * K78, "")</f>
        <v>3039.5136778115502</v>
      </c>
      <c r="M78" s="31">
        <v>334</v>
      </c>
      <c r="N78" s="32">
        <f t="shared" si="37"/>
        <v>1.5197568389057751E-2</v>
      </c>
      <c r="O78" s="18">
        <f>IF(ISNUMBER(M78), $B91 * N78, "")</f>
        <v>1519.7568389057751</v>
      </c>
      <c r="Q78" s="235"/>
      <c r="R78" s="235"/>
      <c r="S78" s="235"/>
    </row>
    <row r="79" spans="1:19" ht="17.25" thickBot="1">
      <c r="A79" s="162" t="s">
        <v>136</v>
      </c>
      <c r="B79" s="126">
        <v>125</v>
      </c>
      <c r="C79" s="77">
        <v>0</v>
      </c>
      <c r="D79" s="15">
        <v>128</v>
      </c>
      <c r="E79" s="32">
        <f t="shared" si="34"/>
        <v>2.4E-2</v>
      </c>
      <c r="F79" s="18">
        <f>IF(ISNUMBER(D79), $B91 * E79, "")</f>
        <v>2400</v>
      </c>
      <c r="G79" s="31">
        <v>128</v>
      </c>
      <c r="H79" s="32">
        <f t="shared" si="35"/>
        <v>2.4E-2</v>
      </c>
      <c r="I79" s="101">
        <f>IF(ISNUMBER(G79), $B91 * H79, "")</f>
        <v>2400</v>
      </c>
      <c r="J79" s="15">
        <v>128</v>
      </c>
      <c r="K79" s="32">
        <f t="shared" si="36"/>
        <v>2.4E-2</v>
      </c>
      <c r="L79" s="18">
        <f>IF(ISNUMBER(J79), $B91 * K79, "")</f>
        <v>2400</v>
      </c>
      <c r="M79" s="31">
        <v>127</v>
      </c>
      <c r="N79" s="32">
        <f t="shared" si="37"/>
        <v>1.6E-2</v>
      </c>
      <c r="O79" s="18">
        <f>IF(ISNUMBER(M79), $B91 * N79, "")</f>
        <v>1600</v>
      </c>
      <c r="Q79" s="33"/>
      <c r="R79" s="33"/>
    </row>
    <row r="80" spans="1:19" ht="17.25" thickBot="1">
      <c r="A80" s="130" t="s">
        <v>256</v>
      </c>
      <c r="B80" s="131">
        <v>159</v>
      </c>
      <c r="C80" s="79">
        <v>0</v>
      </c>
      <c r="D80" s="24">
        <v>158</v>
      </c>
      <c r="E80" s="25">
        <f t="shared" si="34"/>
        <v>-6.2893081761006293E-3</v>
      </c>
      <c r="F80" s="104">
        <f>IF(ISNUMBER(D80), $B91 * E80, "")</f>
        <v>-628.93081761006295</v>
      </c>
      <c r="G80" s="102">
        <v>162</v>
      </c>
      <c r="H80" s="25">
        <f t="shared" si="35"/>
        <v>1.8867924528301886E-2</v>
      </c>
      <c r="I80" s="103">
        <f>IF(ISNUMBER(G80), $B91 * H80, "")</f>
        <v>1886.7924528301885</v>
      </c>
      <c r="J80" s="24">
        <v>162</v>
      </c>
      <c r="K80" s="25">
        <f t="shared" si="36"/>
        <v>1.8867924528301886E-2</v>
      </c>
      <c r="L80" s="104">
        <f>IF(ISNUMBER(J80), $B91 * K80, "")</f>
        <v>1886.7924528301885</v>
      </c>
      <c r="M80" s="102">
        <v>160</v>
      </c>
      <c r="N80" s="25">
        <f t="shared" si="37"/>
        <v>6.2893081761006293E-3</v>
      </c>
      <c r="O80" s="104">
        <f>IF(ISNUMBER(M80), $B91 * N80, "")</f>
        <v>628.93081761006295</v>
      </c>
      <c r="Q80" s="236"/>
      <c r="R80" s="237"/>
      <c r="S80" s="238"/>
    </row>
    <row r="81" spans="1:19">
      <c r="A81" s="161" t="s">
        <v>80</v>
      </c>
      <c r="B81" s="124">
        <v>773</v>
      </c>
      <c r="C81" s="76">
        <v>-1.2919896999999999E-3</v>
      </c>
      <c r="D81" s="13">
        <v>789</v>
      </c>
      <c r="E81" s="14">
        <f>IF(ISNUMBER(D81), (D81 - $B81) / $B81, "")</f>
        <v>2.0698576972833119E-2</v>
      </c>
      <c r="F81" s="16">
        <f>IF(ISNUMBER(D81), $B91 * E81, "")</f>
        <v>2069.8576972833121</v>
      </c>
      <c r="G81" s="29">
        <v>795</v>
      </c>
      <c r="H81" s="14">
        <f>IF(ISNUMBER(G81), (G81 - $B81) / $B81, "")</f>
        <v>2.8460543337645538E-2</v>
      </c>
      <c r="I81" s="100">
        <f>IF(ISNUMBER(G81), $B91 * H81, "")</f>
        <v>2846.0543337645536</v>
      </c>
      <c r="J81" s="13">
        <v>787</v>
      </c>
      <c r="K81" s="14">
        <f>IF(ISNUMBER(J81), (J81 - $B81) / $B81, "")</f>
        <v>1.8111254851228976E-2</v>
      </c>
      <c r="L81" s="16">
        <f>IF(ISNUMBER(J81), $B91 * K81, "")</f>
        <v>1811.1254851228975</v>
      </c>
      <c r="M81" s="29">
        <v>767</v>
      </c>
      <c r="N81" s="14">
        <f>IF(ISNUMBER(M81), (M81 - $B81) / $B81, "")</f>
        <v>-7.7619663648124193E-3</v>
      </c>
      <c r="O81" s="16">
        <f>IF(ISNUMBER(M81), $B91 * N81, "")</f>
        <v>-776.19663648124197</v>
      </c>
      <c r="Q81" s="239"/>
      <c r="R81" s="240"/>
      <c r="S81" s="241"/>
    </row>
    <row r="82" spans="1:19" ht="17.25" thickBot="1">
      <c r="A82" s="162" t="s">
        <v>88</v>
      </c>
      <c r="B82" s="126">
        <v>267</v>
      </c>
      <c r="C82" s="77">
        <v>-7.4349441999999998E-3</v>
      </c>
      <c r="D82" s="15">
        <v>269</v>
      </c>
      <c r="E82" s="32">
        <f t="shared" ref="E82:E85" si="38">IF(ISNUMBER(D82), (D82 - $B82) / $B82, "")</f>
        <v>7.4906367041198503E-3</v>
      </c>
      <c r="F82" s="18">
        <f>IF(ISNUMBER(D82), $B91 * E82, "")</f>
        <v>749.06367041198507</v>
      </c>
      <c r="G82" s="31">
        <v>274</v>
      </c>
      <c r="H82" s="32">
        <f t="shared" ref="H82:H85" si="39">IF(ISNUMBER(G82), (G82 - $B82) / $B82, "")</f>
        <v>2.6217228464419477E-2</v>
      </c>
      <c r="I82" s="101">
        <f>IF(ISNUMBER(G82), $B91 * H82, "")</f>
        <v>2621.7228464419477</v>
      </c>
      <c r="J82" s="15">
        <v>274</v>
      </c>
      <c r="K82" s="32">
        <f t="shared" ref="K82:K85" si="40">IF(ISNUMBER(J82), (J82 - $B82) / $B82, "")</f>
        <v>2.6217228464419477E-2</v>
      </c>
      <c r="L82" s="18">
        <f>IF(ISNUMBER(J82), $B91 * K82, "")</f>
        <v>2621.7228464419477</v>
      </c>
      <c r="M82" s="31">
        <v>270</v>
      </c>
      <c r="N82" s="32">
        <f t="shared" ref="N82:N85" si="41">IF(ISNUMBER(M82), (M82 - $B82) / $B82, "")</f>
        <v>1.1235955056179775E-2</v>
      </c>
      <c r="O82" s="18">
        <f>IF(ISNUMBER(M82), $B91 * N82, "")</f>
        <v>1123.5955056179776</v>
      </c>
      <c r="Q82" s="242"/>
      <c r="R82" s="243"/>
      <c r="S82" s="244"/>
    </row>
    <row r="83" spans="1:19" ht="17.25" thickBot="1">
      <c r="A83" s="162" t="s">
        <v>296</v>
      </c>
      <c r="B83" s="126">
        <v>373</v>
      </c>
      <c r="C83" s="77">
        <v>-7.9787234000000002E-3</v>
      </c>
      <c r="D83" s="15">
        <v>388</v>
      </c>
      <c r="E83" s="32">
        <f t="shared" si="38"/>
        <v>4.0214477211796246E-2</v>
      </c>
      <c r="F83" s="18">
        <f>IF(ISNUMBER(D83), $B91 * E83, "")</f>
        <v>4021.4477211796248</v>
      </c>
      <c r="G83" s="31">
        <v>391</v>
      </c>
      <c r="H83" s="32">
        <f t="shared" si="39"/>
        <v>4.8257372654155493E-2</v>
      </c>
      <c r="I83" s="101">
        <f>IF(ISNUMBER(G83), $B91 * H83, "")</f>
        <v>4825.7372654155497</v>
      </c>
      <c r="J83" s="15">
        <v>388</v>
      </c>
      <c r="K83" s="32">
        <f t="shared" si="40"/>
        <v>4.0214477211796246E-2</v>
      </c>
      <c r="L83" s="18">
        <f>IF(ISNUMBER(J83), $B91 * K83, "")</f>
        <v>4021.4477211796248</v>
      </c>
      <c r="M83" s="31">
        <v>383</v>
      </c>
      <c r="N83" s="32">
        <f t="shared" si="41"/>
        <v>2.6809651474530832E-2</v>
      </c>
      <c r="O83" s="18">
        <f>IF(ISNUMBER(M83), $B91 * N83, "")</f>
        <v>2680.9651474530833</v>
      </c>
      <c r="Q83" s="235"/>
      <c r="R83" s="235"/>
      <c r="S83" s="235"/>
    </row>
    <row r="84" spans="1:19" ht="17.25" thickBot="1">
      <c r="A84" s="162" t="s">
        <v>240</v>
      </c>
      <c r="B84" s="126">
        <v>115</v>
      </c>
      <c r="C84" s="77">
        <v>-8.6206896999999998E-3</v>
      </c>
      <c r="D84" s="15">
        <v>116</v>
      </c>
      <c r="E84" s="32">
        <f t="shared" si="38"/>
        <v>8.6956521739130436E-3</v>
      </c>
      <c r="F84" s="18">
        <f>IF(ISNUMBER(D84), $B91 * E84, "")</f>
        <v>869.56521739130437</v>
      </c>
      <c r="G84" s="31">
        <v>120</v>
      </c>
      <c r="H84" s="32">
        <f t="shared" si="39"/>
        <v>4.3478260869565216E-2</v>
      </c>
      <c r="I84" s="101">
        <f>IF(ISNUMBER(G84), $B91 * H84, "")</f>
        <v>4347.826086956522</v>
      </c>
      <c r="J84" s="15">
        <v>118</v>
      </c>
      <c r="K84" s="32">
        <f t="shared" si="40"/>
        <v>2.6086956521739129E-2</v>
      </c>
      <c r="L84" s="18">
        <f>IF(ISNUMBER(J84), $B91 * K84, "")</f>
        <v>2608.695652173913</v>
      </c>
      <c r="M84" s="31">
        <v>117</v>
      </c>
      <c r="N84" s="32">
        <f t="shared" si="41"/>
        <v>1.7391304347826087E-2</v>
      </c>
      <c r="O84" s="18">
        <f>IF(ISNUMBER(M84), $B91 * N84, "")</f>
        <v>1739.1304347826087</v>
      </c>
      <c r="Q84" s="245"/>
      <c r="R84" s="245"/>
      <c r="S84" s="245"/>
    </row>
    <row r="85" spans="1:19" ht="17.25" thickBot="1">
      <c r="A85" s="163" t="s">
        <v>238</v>
      </c>
      <c r="B85" s="128">
        <v>163</v>
      </c>
      <c r="C85" s="78">
        <v>-1.2121212100000001E-2</v>
      </c>
      <c r="D85" s="20">
        <v>165</v>
      </c>
      <c r="E85" s="21">
        <f t="shared" si="38"/>
        <v>1.2269938650306749E-2</v>
      </c>
      <c r="F85" s="22">
        <f>IF(ISNUMBER(D85), $B91 * E85, "")</f>
        <v>1226.9938650306749</v>
      </c>
      <c r="G85" s="30">
        <v>171</v>
      </c>
      <c r="H85" s="21">
        <f t="shared" si="39"/>
        <v>4.9079754601226995E-2</v>
      </c>
      <c r="I85" s="105">
        <f>IF(ISNUMBER(G85), $B91 * H85, "")</f>
        <v>4907.9754601226996</v>
      </c>
      <c r="J85" s="20">
        <v>170</v>
      </c>
      <c r="K85" s="21">
        <f t="shared" si="40"/>
        <v>4.2944785276073622E-2</v>
      </c>
      <c r="L85" s="22">
        <f>IF(ISNUMBER(J85), $B91 * K85, "")</f>
        <v>4294.4785276073626</v>
      </c>
      <c r="M85" s="30">
        <v>169</v>
      </c>
      <c r="N85" s="21">
        <f t="shared" si="41"/>
        <v>3.6809815950920248E-2</v>
      </c>
      <c r="O85" s="22">
        <f>IF(ISNUMBER(M85), $B91 * N85, "")</f>
        <v>3680.9815950920247</v>
      </c>
      <c r="Q85" s="245"/>
      <c r="R85" s="245"/>
      <c r="S85" s="245"/>
    </row>
    <row r="86" spans="1:19" ht="17.25" thickBot="1">
      <c r="A86" s="162" t="s">
        <v>132</v>
      </c>
      <c r="B86" s="129">
        <v>129</v>
      </c>
      <c r="C86" s="80">
        <v>-1.52671756E-2</v>
      </c>
      <c r="D86" s="106">
        <v>137</v>
      </c>
      <c r="E86" s="107">
        <f>IF(ISNUMBER(D86), (D86 - $B86) / $B86, "")</f>
        <v>6.2015503875968991E-2</v>
      </c>
      <c r="F86" s="108">
        <f>IF(ISNUMBER(D86), $B91 * E86, "")</f>
        <v>6201.5503875968989</v>
      </c>
      <c r="G86" s="109">
        <v>135</v>
      </c>
      <c r="H86" s="107">
        <f>IF(ISNUMBER(G86), (G86 - $B86) / $B86, "")</f>
        <v>4.6511627906976744E-2</v>
      </c>
      <c r="I86" s="110">
        <f>IF(ISNUMBER(G86), $B91 * H86, "")</f>
        <v>4651.1627906976746</v>
      </c>
      <c r="J86" s="106">
        <v>135</v>
      </c>
      <c r="K86" s="107">
        <f>IF(ISNUMBER(J86), (J86 - $B86) / $B86, "")</f>
        <v>4.6511627906976744E-2</v>
      </c>
      <c r="L86" s="108">
        <f>IF(ISNUMBER(J86), $B91 * K86, "")</f>
        <v>4651.1627906976746</v>
      </c>
      <c r="M86" s="109">
        <v>132</v>
      </c>
      <c r="N86" s="107">
        <f>IF(ISNUMBER(M86), (M86 - $B86) / $B86, "")</f>
        <v>2.3255813953488372E-2</v>
      </c>
      <c r="O86" s="108">
        <f>IF(ISNUMBER(M86), $B91 * N86, "")</f>
        <v>2325.5813953488373</v>
      </c>
      <c r="Q86" s="235"/>
      <c r="R86" s="235"/>
      <c r="S86" s="235"/>
    </row>
    <row r="87" spans="1:19" ht="17.25" thickBot="1">
      <c r="A87" s="162" t="s">
        <v>262</v>
      </c>
      <c r="B87" s="126">
        <v>555</v>
      </c>
      <c r="C87" s="77">
        <v>-1.7699115000000001E-2</v>
      </c>
      <c r="D87" s="15">
        <v>576</v>
      </c>
      <c r="E87" s="32">
        <f t="shared" ref="E87:E90" si="42">IF(ISNUMBER(D87), (D87 - $B87) / $B87, "")</f>
        <v>3.783783783783784E-2</v>
      </c>
      <c r="F87" s="18">
        <f>IF(ISNUMBER(D87), $B91 * E87, "")</f>
        <v>3783.7837837837842</v>
      </c>
      <c r="G87" s="31">
        <v>581</v>
      </c>
      <c r="H87" s="32">
        <f t="shared" ref="H87:H90" si="43">IF(ISNUMBER(G87), (G87 - $B87) / $B87, "")</f>
        <v>4.6846846846846847E-2</v>
      </c>
      <c r="I87" s="101">
        <f>IF(ISNUMBER(G87), $B91 * H87, "")</f>
        <v>4684.6846846846847</v>
      </c>
      <c r="J87" s="15">
        <v>583</v>
      </c>
      <c r="K87" s="32">
        <f t="shared" ref="K87:K90" si="44">IF(ISNUMBER(J87), (J87 - $B87) / $B87, "")</f>
        <v>5.0450450450450449E-2</v>
      </c>
      <c r="L87" s="18">
        <f>IF(ISNUMBER(J87), $B91 * K87, "")</f>
        <v>5045.0450450450453</v>
      </c>
      <c r="M87" s="31">
        <v>568</v>
      </c>
      <c r="N87" s="32">
        <f t="shared" ref="N87:N90" si="45">IF(ISNUMBER(M87), (M87 - $B87) / $B87, "")</f>
        <v>2.3423423423423424E-2</v>
      </c>
      <c r="O87" s="18">
        <f>IF(ISNUMBER(M87), $B91 * N87, "")</f>
        <v>2342.3423423423424</v>
      </c>
      <c r="Q87" s="235"/>
      <c r="R87" s="235"/>
      <c r="S87" s="235"/>
    </row>
    <row r="88" spans="1:19" ht="17.25" thickBot="1">
      <c r="A88" s="162" t="s">
        <v>246</v>
      </c>
      <c r="B88" s="126">
        <v>270</v>
      </c>
      <c r="C88" s="77">
        <v>-1.8181818200000002E-2</v>
      </c>
      <c r="D88" s="15">
        <v>276</v>
      </c>
      <c r="E88" s="32">
        <f t="shared" si="42"/>
        <v>2.2222222222222223E-2</v>
      </c>
      <c r="F88" s="18">
        <f>IF(ISNUMBER(D88), $B91 * E88, "")</f>
        <v>2222.2222222222222</v>
      </c>
      <c r="G88" s="31">
        <v>292</v>
      </c>
      <c r="H88" s="32">
        <f t="shared" si="43"/>
        <v>8.1481481481481488E-2</v>
      </c>
      <c r="I88" s="101">
        <f>IF(ISNUMBER(G88), $B91 * H88, "")</f>
        <v>8148.1481481481487</v>
      </c>
      <c r="J88" s="15">
        <v>286</v>
      </c>
      <c r="K88" s="32">
        <f t="shared" si="44"/>
        <v>5.9259259259259262E-2</v>
      </c>
      <c r="L88" s="18">
        <f>IF(ISNUMBER(J88), $B91 * K88, "")</f>
        <v>5925.9259259259261</v>
      </c>
      <c r="M88" s="31">
        <v>283</v>
      </c>
      <c r="N88" s="32">
        <f t="shared" si="45"/>
        <v>4.8148148148148148E-2</v>
      </c>
      <c r="O88" s="18">
        <f>IF(ISNUMBER(M88), $B91 * N88, "")</f>
        <v>4814.8148148148148</v>
      </c>
      <c r="Q88" s="235"/>
      <c r="R88" s="235"/>
      <c r="S88" s="235"/>
    </row>
    <row r="89" spans="1:19">
      <c r="A89" s="162" t="s">
        <v>174</v>
      </c>
      <c r="B89" s="126">
        <v>157</v>
      </c>
      <c r="C89" s="77">
        <v>-1.8749999999999999E-2</v>
      </c>
      <c r="D89" s="15">
        <v>168</v>
      </c>
      <c r="E89" s="32">
        <f t="shared" si="42"/>
        <v>7.0063694267515922E-2</v>
      </c>
      <c r="F89" s="18">
        <f>IF(ISNUMBER(D89), $B91 * E89, "")</f>
        <v>7006.3694267515921</v>
      </c>
      <c r="G89" s="31">
        <v>167</v>
      </c>
      <c r="H89" s="32">
        <f t="shared" si="43"/>
        <v>6.3694267515923567E-2</v>
      </c>
      <c r="I89" s="101">
        <f>IF(ISNUMBER(G89), $B91 * H89, "")</f>
        <v>6369.4267515923566</v>
      </c>
      <c r="J89" s="15">
        <v>165</v>
      </c>
      <c r="K89" s="32">
        <f t="shared" si="44"/>
        <v>5.0955414012738856E-2</v>
      </c>
      <c r="L89" s="18">
        <f>IF(ISNUMBER(J89), $B91 * K89, "")</f>
        <v>5095.5414012738856</v>
      </c>
      <c r="M89" s="31">
        <v>163</v>
      </c>
      <c r="N89" s="32">
        <f t="shared" si="45"/>
        <v>3.8216560509554139E-2</v>
      </c>
      <c r="O89" s="18">
        <f>IF(ISNUMBER(M89), $B91 * N89, "")</f>
        <v>3821.6560509554138</v>
      </c>
      <c r="Q89" s="224"/>
      <c r="R89" s="225"/>
      <c r="S89" s="226"/>
    </row>
    <row r="90" spans="1:19" ht="17.25" thickBot="1">
      <c r="A90" s="130" t="s">
        <v>92</v>
      </c>
      <c r="B90" s="131">
        <v>986</v>
      </c>
      <c r="C90" s="79">
        <v>-1.8905472600000001E-2</v>
      </c>
      <c r="D90" s="24">
        <v>1030</v>
      </c>
      <c r="E90" s="25">
        <f t="shared" si="42"/>
        <v>4.4624746450304259E-2</v>
      </c>
      <c r="F90" s="104">
        <f>IF(ISNUMBER(D90), $B91 * E90, "")</f>
        <v>4462.4746450304256</v>
      </c>
      <c r="G90" s="102">
        <v>1015</v>
      </c>
      <c r="H90" s="25">
        <f t="shared" si="43"/>
        <v>2.9411764705882353E-2</v>
      </c>
      <c r="I90" s="103">
        <f>IF(ISNUMBER(G90), $B91 * H90, "")</f>
        <v>2941.1764705882351</v>
      </c>
      <c r="J90" s="24">
        <v>1020</v>
      </c>
      <c r="K90" s="25">
        <f t="shared" si="44"/>
        <v>3.4482758620689655E-2</v>
      </c>
      <c r="L90" s="104">
        <f>IF(ISNUMBER(J90), $B91 * K90, "")</f>
        <v>3448.2758620689656</v>
      </c>
      <c r="M90" s="102">
        <v>1005</v>
      </c>
      <c r="N90" s="25">
        <f t="shared" si="45"/>
        <v>1.9269776876267748E-2</v>
      </c>
      <c r="O90" s="104">
        <f>IF(ISNUMBER(M90), $B91 * N90, "")</f>
        <v>1926.9776876267749</v>
      </c>
      <c r="Q90" s="227"/>
      <c r="R90" s="228"/>
      <c r="S90" s="229"/>
    </row>
    <row r="91" spans="1:19" ht="17.25" thickBot="1">
      <c r="A91" s="132" t="s">
        <v>300</v>
      </c>
      <c r="B91" s="288">
        <f>$B$37</f>
        <v>100000</v>
      </c>
      <c r="C91" s="289"/>
      <c r="D91" s="26" t="s">
        <v>301</v>
      </c>
      <c r="E91" s="27">
        <f>IF(COUNT(E71:E90), SUM(E71:E90) / COUNT(E71:E90), 0)</f>
        <v>1.884967689283935E-2</v>
      </c>
      <c r="F91" s="28">
        <f>SUM(F71:F90)</f>
        <v>37699.353785678701</v>
      </c>
      <c r="G91" s="26" t="s">
        <v>301</v>
      </c>
      <c r="H91" s="27">
        <f>IF(COUNT(H71:H90), SUM(H71:H90) / COUNT(H71:H90), 0)</f>
        <v>3.311881967805029E-2</v>
      </c>
      <c r="I91" s="28">
        <f>SUM(I71:I90)</f>
        <v>66237.639356100583</v>
      </c>
      <c r="J91" s="26" t="s">
        <v>301</v>
      </c>
      <c r="K91" s="27">
        <f>IF(COUNT(K71:K90), SUM(K71:K90) / COUNT(K71:K90), 0)</f>
        <v>2.8759212726598999E-2</v>
      </c>
      <c r="L91" s="28">
        <f>SUM(L71:L90)</f>
        <v>57518.425453197997</v>
      </c>
      <c r="M91" s="26" t="s">
        <v>301</v>
      </c>
      <c r="N91" s="27">
        <f>IF(COUNT(N71:N90), SUM(N71:N90) / COUNT(N71:N90), 0)</f>
        <v>1.5616726505872435E-2</v>
      </c>
      <c r="O91" s="28">
        <f>SUM(O71:O90)</f>
        <v>31233.453011744874</v>
      </c>
      <c r="Q91" s="230"/>
      <c r="R91" s="231"/>
      <c r="S91" s="232"/>
    </row>
    <row r="93" spans="1:19" ht="17.25" thickBot="1"/>
    <row r="94" spans="1:19" ht="17.25" thickBot="1">
      <c r="A94" s="246" t="s">
        <v>46</v>
      </c>
      <c r="B94" s="247"/>
      <c r="C94" s="247"/>
      <c r="D94" s="247"/>
      <c r="E94" s="247"/>
      <c r="F94" s="247"/>
      <c r="G94" s="247"/>
      <c r="H94" s="247"/>
      <c r="I94" s="247"/>
      <c r="J94" s="247"/>
      <c r="K94" s="247"/>
      <c r="L94" s="247"/>
      <c r="M94" s="247"/>
      <c r="N94" s="247"/>
      <c r="O94" s="248"/>
      <c r="Q94" s="245"/>
      <c r="R94" s="245"/>
      <c r="S94" s="245"/>
    </row>
    <row r="95" spans="1:19" ht="17.25" thickBot="1">
      <c r="A95" s="196" t="s">
        <v>297</v>
      </c>
      <c r="B95" s="246" t="s">
        <v>49</v>
      </c>
      <c r="C95" s="248"/>
      <c r="D95" s="246" t="s">
        <v>58</v>
      </c>
      <c r="E95" s="247"/>
      <c r="F95" s="248"/>
      <c r="G95" s="249">
        <f>_xlfn.IFNA(VLOOKUP(B95, 현재가테이블!$B$2:$D$200, 2, FALSE), "-")</f>
        <v>45335000</v>
      </c>
      <c r="H95" s="250"/>
      <c r="I95" s="251"/>
      <c r="J95" s="246" t="s">
        <v>59</v>
      </c>
      <c r="K95" s="247"/>
      <c r="L95" s="248"/>
      <c r="M95" s="252">
        <f>_xlfn.IFNA(VLOOKUP(B95, 현재가테이블!$B$2:$D$200, 3, FALSE), "-")</f>
        <v>-2.27209037E-2</v>
      </c>
      <c r="N95" s="253"/>
      <c r="O95" s="254"/>
      <c r="Q95" s="245"/>
      <c r="R95" s="245"/>
      <c r="S95" s="245"/>
    </row>
    <row r="96" spans="1:19" ht="17.25" thickBot="1">
      <c r="A96" s="290" t="s">
        <v>55</v>
      </c>
      <c r="B96" s="286" t="str">
        <f>TEXT($G$1, "[$-ko-KR]yyyy-mm-dd(ddd) ") &amp; "오전 00:00"</f>
        <v>2021-06-10(목) 오전 00:00</v>
      </c>
      <c r="C96" s="287"/>
      <c r="D96" s="259" t="str">
        <f>TEXT($G$1, "[$-ko-KR]yyyy-mm-dd(ddd) ") &amp; "오후 14:00"</f>
        <v>2021-06-10(목) 오후 14:00</v>
      </c>
      <c r="E96" s="260"/>
      <c r="F96" s="261"/>
      <c r="G96" s="259" t="str">
        <f>TEXT($G$1, "[$-ko-KR]yyyy-mm-dd(ddd) ") &amp; "오후 19:00"</f>
        <v>2021-06-10(목) 오후 19:00</v>
      </c>
      <c r="H96" s="260"/>
      <c r="I96" s="261"/>
      <c r="J96" s="259" t="str">
        <f>TEXT($G$1, "[$-ko-KR]yyyy-mm-dd(ddd) ") &amp; "오후 21:00"</f>
        <v>2021-06-10(목) 오후 21:00</v>
      </c>
      <c r="K96" s="260"/>
      <c r="L96" s="261"/>
      <c r="M96" s="259" t="str">
        <f>TEXT($G$1+1, "[$-ko-KR]yyyy-mm-dd(ddd) ") &amp; "오전 00:00"</f>
        <v>2021-06-11(금) 오전 00:00</v>
      </c>
      <c r="N96" s="260"/>
      <c r="O96" s="261"/>
      <c r="Q96" s="245"/>
      <c r="R96" s="245"/>
      <c r="S96" s="245"/>
    </row>
    <row r="97" spans="1:19" ht="17.25" thickBot="1">
      <c r="A97" s="291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97" t="s">
        <v>58</v>
      </c>
      <c r="H97" s="198" t="s">
        <v>298</v>
      </c>
      <c r="I97" s="199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5"/>
      <c r="R97" s="235"/>
      <c r="S97" s="235"/>
    </row>
    <row r="98" spans="1:19" ht="17.25" thickBot="1">
      <c r="A98" s="161" t="s">
        <v>94</v>
      </c>
      <c r="B98" s="124">
        <v>73990</v>
      </c>
      <c r="C98" s="76">
        <v>0.2131496967</v>
      </c>
      <c r="D98" s="13">
        <v>84580</v>
      </c>
      <c r="E98" s="14">
        <f>IF(ISNUMBER(D98), (D98 - $B98) / $B98, "")</f>
        <v>0.14312744965535884</v>
      </c>
      <c r="F98" s="16">
        <f>IF(ISNUMBER(D98), $B118 * E98, "")</f>
        <v>14312.744965535883</v>
      </c>
      <c r="G98" s="29">
        <v>83350</v>
      </c>
      <c r="H98" s="14">
        <f>IF(ISNUMBER(G98), (G98 - $B98) / $B98, "")</f>
        <v>0.12650358156507635</v>
      </c>
      <c r="I98" s="100">
        <f>IF(ISNUMBER(G98), $B118 * H98, "")</f>
        <v>12650.358156507635</v>
      </c>
      <c r="J98" s="13">
        <v>85060</v>
      </c>
      <c r="K98" s="14">
        <f>IF(ISNUMBER(J98), (J98 - $B98) / $B98, "")</f>
        <v>0.14961481281254224</v>
      </c>
      <c r="L98" s="16">
        <f>IF(ISNUMBER(J98), $B118 * K98, "")</f>
        <v>14961.481281254224</v>
      </c>
      <c r="M98" s="29">
        <v>84140</v>
      </c>
      <c r="N98" s="14">
        <f>IF(ISNUMBER(M98), (M98 - $B98) / $B98, "")</f>
        <v>0.13718070009460737</v>
      </c>
      <c r="O98" s="16">
        <f>IF(ISNUMBER(M98), $B118 * N98, "")</f>
        <v>13718.070009460736</v>
      </c>
      <c r="Q98" s="245"/>
      <c r="R98" s="245"/>
      <c r="S98" s="245"/>
    </row>
    <row r="99" spans="1:19" ht="17.25" thickBot="1">
      <c r="A99" s="162" t="s">
        <v>142</v>
      </c>
      <c r="B99" s="126">
        <v>709</v>
      </c>
      <c r="C99" s="77">
        <v>8.2442748100000005E-2</v>
      </c>
      <c r="D99" s="15">
        <v>659</v>
      </c>
      <c r="E99" s="32">
        <f t="shared" ref="E99:E102" si="46">IF(ISNUMBER(D99), (D99 - $B99) / $B99, "")</f>
        <v>-7.0521861777150918E-2</v>
      </c>
      <c r="F99" s="18">
        <f>IF(ISNUMBER(D99), $B118 * E99, "")</f>
        <v>-7052.1861777150916</v>
      </c>
      <c r="G99" s="31">
        <v>651</v>
      </c>
      <c r="H99" s="32">
        <f t="shared" ref="H99:H102" si="47">IF(ISNUMBER(G99), (G99 - $B99) / $B99, "")</f>
        <v>-8.1805359661495061E-2</v>
      </c>
      <c r="I99" s="101">
        <f>IF(ISNUMBER(G99), $B118 * H99, "")</f>
        <v>-8180.5359661495058</v>
      </c>
      <c r="J99" s="15">
        <v>632</v>
      </c>
      <c r="K99" s="32">
        <f t="shared" ref="K99:K102" si="48">IF(ISNUMBER(J99), (J99 - $B99) / $B99, "")</f>
        <v>-0.10860366713681241</v>
      </c>
      <c r="L99" s="18">
        <f>IF(ISNUMBER(J99), $B118 * K99, "")</f>
        <v>-10860.36671368124</v>
      </c>
      <c r="M99" s="31">
        <v>630</v>
      </c>
      <c r="N99" s="32">
        <f t="shared" ref="N99:N102" si="49">IF(ISNUMBER(M99), (M99 - $B99) / $B99, "")</f>
        <v>-0.11142454160789844</v>
      </c>
      <c r="O99" s="18">
        <f>IF(ISNUMBER(M99), $B118 * N99, "")</f>
        <v>-11142.454160789845</v>
      </c>
      <c r="Q99" s="245"/>
      <c r="R99" s="245"/>
      <c r="S99" s="245"/>
    </row>
    <row r="100" spans="1:19" ht="17.25" thickBot="1">
      <c r="A100" s="162" t="s">
        <v>248</v>
      </c>
      <c r="B100" s="126">
        <v>1755</v>
      </c>
      <c r="C100" s="77">
        <v>0.08</v>
      </c>
      <c r="D100" s="15">
        <v>1680</v>
      </c>
      <c r="E100" s="32">
        <f t="shared" si="46"/>
        <v>-4.2735042735042736E-2</v>
      </c>
      <c r="F100" s="18">
        <f>IF(ISNUMBER(D100), $B118 * E100, "")</f>
        <v>-4273.5042735042734</v>
      </c>
      <c r="G100" s="31">
        <v>1710</v>
      </c>
      <c r="H100" s="32">
        <f t="shared" si="47"/>
        <v>-2.564102564102564E-2</v>
      </c>
      <c r="I100" s="101">
        <f>IF(ISNUMBER(G100), $B118 * H100, "")</f>
        <v>-2564.102564102564</v>
      </c>
      <c r="J100" s="15">
        <v>1710</v>
      </c>
      <c r="K100" s="32">
        <f t="shared" si="48"/>
        <v>-2.564102564102564E-2</v>
      </c>
      <c r="L100" s="18">
        <f>IF(ISNUMBER(J100), $B118 * K100, "")</f>
        <v>-2564.102564102564</v>
      </c>
      <c r="M100" s="31">
        <v>1685</v>
      </c>
      <c r="N100" s="32">
        <f t="shared" si="49"/>
        <v>-3.9886039886039885E-2</v>
      </c>
      <c r="O100" s="18">
        <f>IF(ISNUMBER(M100), $B118 * N100, "")</f>
        <v>-3988.6039886039885</v>
      </c>
      <c r="Q100" s="235"/>
      <c r="R100" s="235"/>
      <c r="S100" s="235"/>
    </row>
    <row r="101" spans="1:19" ht="17.25" thickBot="1">
      <c r="A101" s="162" t="s">
        <v>272</v>
      </c>
      <c r="B101" s="126">
        <v>1365</v>
      </c>
      <c r="C101" s="77">
        <v>5.4054054099999999E-2</v>
      </c>
      <c r="D101" s="15">
        <v>1375</v>
      </c>
      <c r="E101" s="32">
        <f t="shared" si="46"/>
        <v>7.326007326007326E-3</v>
      </c>
      <c r="F101" s="18">
        <f>IF(ISNUMBER(D101), $B118 * E101, "")</f>
        <v>732.60073260073261</v>
      </c>
      <c r="G101" s="31">
        <v>1370</v>
      </c>
      <c r="H101" s="32">
        <f t="shared" si="47"/>
        <v>3.663003663003663E-3</v>
      </c>
      <c r="I101" s="101">
        <f>IF(ISNUMBER(G101), $B118 * H101, "")</f>
        <v>366.30036630036631</v>
      </c>
      <c r="J101" s="15">
        <v>1360</v>
      </c>
      <c r="K101" s="32">
        <f t="shared" si="48"/>
        <v>-3.663003663003663E-3</v>
      </c>
      <c r="L101" s="18">
        <f>IF(ISNUMBER(J101), $B118 * K101, "")</f>
        <v>-366.30036630036631</v>
      </c>
      <c r="M101" s="31">
        <v>1365</v>
      </c>
      <c r="N101" s="32">
        <f t="shared" si="49"/>
        <v>0</v>
      </c>
      <c r="O101" s="18">
        <f>IF(ISNUMBER(M101), $B118 * N101, "")</f>
        <v>0</v>
      </c>
      <c r="Q101" s="235"/>
      <c r="R101" s="235"/>
      <c r="S101" s="235"/>
    </row>
    <row r="102" spans="1:19" ht="17.25" thickBot="1">
      <c r="A102" s="163" t="s">
        <v>280</v>
      </c>
      <c r="B102" s="128">
        <v>997</v>
      </c>
      <c r="C102" s="78">
        <v>4.3979057600000003E-2</v>
      </c>
      <c r="D102" s="20">
        <v>983</v>
      </c>
      <c r="E102" s="21">
        <f t="shared" si="46"/>
        <v>-1.4042126379137413E-2</v>
      </c>
      <c r="F102" s="22">
        <f>IF(ISNUMBER(D102), $B118 * E102, "")</f>
        <v>-1404.2126379137412</v>
      </c>
      <c r="G102" s="30">
        <v>1005</v>
      </c>
      <c r="H102" s="21">
        <f t="shared" si="47"/>
        <v>8.0240722166499499E-3</v>
      </c>
      <c r="I102" s="105">
        <f>IF(ISNUMBER(G102), $B118 * H102, "")</f>
        <v>802.40722166499495</v>
      </c>
      <c r="J102" s="20">
        <v>1005</v>
      </c>
      <c r="K102" s="21">
        <f t="shared" si="48"/>
        <v>8.0240722166499499E-3</v>
      </c>
      <c r="L102" s="22">
        <f>IF(ISNUMBER(J102), $B118 * K102, "")</f>
        <v>802.40722166499495</v>
      </c>
      <c r="M102" s="30">
        <v>992</v>
      </c>
      <c r="N102" s="21">
        <f t="shared" si="49"/>
        <v>-5.0150451354062184E-3</v>
      </c>
      <c r="O102" s="22">
        <f>IF(ISNUMBER(M102), $B118 * N102, "")</f>
        <v>-501.50451354062187</v>
      </c>
      <c r="Q102" s="235"/>
      <c r="R102" s="235"/>
      <c r="S102" s="235"/>
    </row>
    <row r="103" spans="1:19" ht="17.25" thickBot="1">
      <c r="A103" s="162" t="s">
        <v>49</v>
      </c>
      <c r="B103" s="129">
        <v>40074000</v>
      </c>
      <c r="C103" s="80">
        <v>4.10453577E-2</v>
      </c>
      <c r="D103" s="106">
        <v>42299000</v>
      </c>
      <c r="E103" s="107">
        <f>IF(ISNUMBER(D103), (D103 - $B103) / $B103, "")</f>
        <v>5.5522283775016217E-2</v>
      </c>
      <c r="F103" s="108">
        <f>IF(ISNUMBER(D103), $B118 * E103, "")</f>
        <v>5552.2283775016213</v>
      </c>
      <c r="G103" s="109">
        <v>43202000</v>
      </c>
      <c r="H103" s="107">
        <f>IF(ISNUMBER(G103), (G103 - $B103) / $B103, "")</f>
        <v>7.8055597145281236E-2</v>
      </c>
      <c r="I103" s="110">
        <f>IF(ISNUMBER(G103), $B118 * H103, "")</f>
        <v>7805.5597145281235</v>
      </c>
      <c r="J103" s="106">
        <v>43570000</v>
      </c>
      <c r="K103" s="107">
        <f>IF(ISNUMBER(J103), (J103 - $B103) / $B103, "")</f>
        <v>8.7238608574137844E-2</v>
      </c>
      <c r="L103" s="108">
        <f>IF(ISNUMBER(J103), $B118 * K103, "")</f>
        <v>8723.8608574137852</v>
      </c>
      <c r="M103" s="109">
        <v>42789000</v>
      </c>
      <c r="N103" s="107">
        <f>IF(ISNUMBER(M103), (M103 - $B103) / $B103, "")</f>
        <v>6.7749663123222045E-2</v>
      </c>
      <c r="O103" s="108">
        <f>IF(ISNUMBER(M103), $B118 * N103, "")</f>
        <v>6774.9663123222044</v>
      </c>
      <c r="Q103" s="235"/>
      <c r="R103" s="235"/>
      <c r="S103" s="235"/>
    </row>
    <row r="104" spans="1:19" ht="17.25" thickBot="1">
      <c r="A104" s="162" t="s">
        <v>220</v>
      </c>
      <c r="B104" s="126">
        <v>11.5</v>
      </c>
      <c r="C104" s="77">
        <v>3.6036036E-2</v>
      </c>
      <c r="D104" s="15">
        <v>12.6</v>
      </c>
      <c r="E104" s="32">
        <f t="shared" ref="E104:E107" si="50">IF(ISNUMBER(D104), (D104 - $B104) / $B104, "")</f>
        <v>9.5652173913043453E-2</v>
      </c>
      <c r="F104" s="18">
        <f>IF(ISNUMBER(D104), $B118 * E104, "")</f>
        <v>9565.2173913043462</v>
      </c>
      <c r="G104" s="31">
        <v>12.6</v>
      </c>
      <c r="H104" s="32">
        <f t="shared" ref="H104:H107" si="51">IF(ISNUMBER(G104), (G104 - $B104) / $B104, "")</f>
        <v>9.5652173913043453E-2</v>
      </c>
      <c r="I104" s="101">
        <f>IF(ISNUMBER(G104), $B118 * H104, "")</f>
        <v>9565.2173913043462</v>
      </c>
      <c r="J104" s="15">
        <v>12.6</v>
      </c>
      <c r="K104" s="32">
        <f t="shared" ref="K104:K107" si="52">IF(ISNUMBER(J104), (J104 - $B104) / $B104, "")</f>
        <v>9.5652173913043453E-2</v>
      </c>
      <c r="L104" s="18">
        <f>IF(ISNUMBER(J104), $B118 * K104, "")</f>
        <v>9565.2173913043462</v>
      </c>
      <c r="M104" s="31">
        <v>12.3</v>
      </c>
      <c r="N104" s="32">
        <f t="shared" ref="N104:N107" si="53">IF(ISNUMBER(M104), (M104 - $B104) / $B104, "")</f>
        <v>6.9565217391304404E-2</v>
      </c>
      <c r="O104" s="18">
        <f>IF(ISNUMBER(M104), $B118 * N104, "")</f>
        <v>6956.5217391304404</v>
      </c>
      <c r="Q104" s="235"/>
      <c r="R104" s="235"/>
      <c r="S104" s="235"/>
    </row>
    <row r="105" spans="1:19" ht="17.25" thickBot="1">
      <c r="A105" s="162" t="s">
        <v>270</v>
      </c>
      <c r="B105" s="126">
        <v>335</v>
      </c>
      <c r="C105" s="77">
        <v>3.3950617299999999E-2</v>
      </c>
      <c r="D105" s="15">
        <v>336</v>
      </c>
      <c r="E105" s="32">
        <f t="shared" si="50"/>
        <v>2.9850746268656717E-3</v>
      </c>
      <c r="F105" s="18">
        <f>IF(ISNUMBER(D105), $B118 * E105, "")</f>
        <v>298.50746268656718</v>
      </c>
      <c r="G105" s="31">
        <v>337</v>
      </c>
      <c r="H105" s="32">
        <f t="shared" si="51"/>
        <v>5.9701492537313433E-3</v>
      </c>
      <c r="I105" s="101">
        <f>IF(ISNUMBER(G105), $B118 * H105, "")</f>
        <v>597.01492537313436</v>
      </c>
      <c r="J105" s="15">
        <v>341</v>
      </c>
      <c r="K105" s="32">
        <f t="shared" si="52"/>
        <v>1.7910447761194031E-2</v>
      </c>
      <c r="L105" s="18">
        <f>IF(ISNUMBER(J105), $B118 * K105, "")</f>
        <v>1791.0447761194032</v>
      </c>
      <c r="M105" s="31">
        <v>339</v>
      </c>
      <c r="N105" s="32">
        <f t="shared" si="53"/>
        <v>1.1940298507462687E-2</v>
      </c>
      <c r="O105" s="18">
        <f>IF(ISNUMBER(M105), $B118 * N105, "")</f>
        <v>1194.0298507462687</v>
      </c>
      <c r="Q105" s="235"/>
      <c r="R105" s="235"/>
      <c r="S105" s="235"/>
    </row>
    <row r="106" spans="1:19" ht="17.25" thickBot="1">
      <c r="A106" s="162" t="s">
        <v>244</v>
      </c>
      <c r="B106" s="126">
        <v>1690</v>
      </c>
      <c r="C106" s="77">
        <v>3.3639143699999999E-2</v>
      </c>
      <c r="D106" s="15">
        <v>1675</v>
      </c>
      <c r="E106" s="32">
        <f t="shared" si="50"/>
        <v>-8.8757396449704144E-3</v>
      </c>
      <c r="F106" s="18">
        <f>IF(ISNUMBER(D106), $B118 * E106, "")</f>
        <v>-887.5739644970414</v>
      </c>
      <c r="G106" s="31">
        <v>1735</v>
      </c>
      <c r="H106" s="32">
        <f t="shared" si="51"/>
        <v>2.6627218934911243E-2</v>
      </c>
      <c r="I106" s="101">
        <f>IF(ISNUMBER(G106), $B118 * H106, "")</f>
        <v>2662.7218934911243</v>
      </c>
      <c r="J106" s="15">
        <v>1720</v>
      </c>
      <c r="K106" s="32">
        <f t="shared" si="52"/>
        <v>1.7751479289940829E-2</v>
      </c>
      <c r="L106" s="18">
        <f>IF(ISNUMBER(J106), $B118 * K106, "")</f>
        <v>1775.1479289940828</v>
      </c>
      <c r="M106" s="31">
        <v>1695</v>
      </c>
      <c r="N106" s="32">
        <f t="shared" si="53"/>
        <v>2.9585798816568047E-3</v>
      </c>
      <c r="O106" s="18">
        <f>IF(ISNUMBER(M106), $B118 * N106, "")</f>
        <v>295.85798816568047</v>
      </c>
      <c r="Q106" s="33"/>
      <c r="R106" s="33"/>
    </row>
    <row r="107" spans="1:19" ht="17.25" thickBot="1">
      <c r="A107" s="130" t="s">
        <v>114</v>
      </c>
      <c r="B107" s="131">
        <v>10700</v>
      </c>
      <c r="C107" s="79">
        <v>2.29445507E-2</v>
      </c>
      <c r="D107" s="24">
        <v>10420</v>
      </c>
      <c r="E107" s="25">
        <f t="shared" si="50"/>
        <v>-2.6168224299065422E-2</v>
      </c>
      <c r="F107" s="104">
        <f>IF(ISNUMBER(D107), $B118 * E107, "")</f>
        <v>-2616.8224299065423</v>
      </c>
      <c r="G107" s="102">
        <v>10400</v>
      </c>
      <c r="H107" s="25">
        <f t="shared" si="51"/>
        <v>-2.8037383177570093E-2</v>
      </c>
      <c r="I107" s="103">
        <f>IF(ISNUMBER(G107), $B118 * H107, "")</f>
        <v>-2803.7383177570091</v>
      </c>
      <c r="J107" s="24">
        <v>10320</v>
      </c>
      <c r="K107" s="25">
        <f t="shared" si="52"/>
        <v>-3.5514018691588788E-2</v>
      </c>
      <c r="L107" s="104">
        <f>IF(ISNUMBER(J107), $B118 * K107, "")</f>
        <v>-3551.401869158879</v>
      </c>
      <c r="M107" s="102">
        <v>10170</v>
      </c>
      <c r="N107" s="25">
        <f t="shared" si="53"/>
        <v>-4.9532710280373829E-2</v>
      </c>
      <c r="O107" s="104">
        <f>IF(ISNUMBER(M107), $B118 * N107, "")</f>
        <v>-4953.2710280373831</v>
      </c>
      <c r="Q107" s="236"/>
      <c r="R107" s="237"/>
      <c r="S107" s="238"/>
    </row>
    <row r="108" spans="1:19">
      <c r="A108" s="161" t="s">
        <v>102</v>
      </c>
      <c r="B108" s="124">
        <v>66700</v>
      </c>
      <c r="C108" s="76">
        <v>2.09704577E-2</v>
      </c>
      <c r="D108" s="13">
        <v>69790</v>
      </c>
      <c r="E108" s="14">
        <f>IF(ISNUMBER(D108), (D108 - $B108) / $B108, "")</f>
        <v>4.6326836581709142E-2</v>
      </c>
      <c r="F108" s="16">
        <f>IF(ISNUMBER(D108), $B118 * E108, "")</f>
        <v>4632.683658170914</v>
      </c>
      <c r="G108" s="29">
        <v>69210</v>
      </c>
      <c r="H108" s="14">
        <f>IF(ISNUMBER(G108), (G108 - $B108) / $B108, "")</f>
        <v>3.7631184407796101E-2</v>
      </c>
      <c r="I108" s="100">
        <f>IF(ISNUMBER(G108), $B118 * H108, "")</f>
        <v>3763.11844077961</v>
      </c>
      <c r="J108" s="13">
        <v>69240</v>
      </c>
      <c r="K108" s="14">
        <f>IF(ISNUMBER(J108), (J108 - $B108) / $B108, "")</f>
        <v>3.8080959520239883E-2</v>
      </c>
      <c r="L108" s="16">
        <f>IF(ISNUMBER(J108), $B118 * K108, "")</f>
        <v>3808.0959520239885</v>
      </c>
      <c r="M108" s="29">
        <v>68500</v>
      </c>
      <c r="N108" s="14">
        <f>IF(ISNUMBER(M108), (M108 - $B108) / $B108, "")</f>
        <v>2.6986506746626688E-2</v>
      </c>
      <c r="O108" s="16">
        <f>IF(ISNUMBER(M108), $B118 * N108, "")</f>
        <v>2698.6506746626687</v>
      </c>
      <c r="Q108" s="239"/>
      <c r="R108" s="240"/>
      <c r="S108" s="241"/>
    </row>
    <row r="109" spans="1:19" ht="17.25" thickBot="1">
      <c r="A109" s="162" t="s">
        <v>82</v>
      </c>
      <c r="B109" s="126">
        <v>978</v>
      </c>
      <c r="C109" s="77">
        <v>1.9812304499999999E-2</v>
      </c>
      <c r="D109" s="15">
        <v>996</v>
      </c>
      <c r="E109" s="32">
        <f t="shared" ref="E109:E112" si="54">IF(ISNUMBER(D109), (D109 - $B109) / $B109, "")</f>
        <v>1.8404907975460124E-2</v>
      </c>
      <c r="F109" s="18">
        <f>IF(ISNUMBER(D109), $B118 * E109, "")</f>
        <v>1840.4907975460123</v>
      </c>
      <c r="G109" s="31">
        <v>1035</v>
      </c>
      <c r="H109" s="32">
        <f t="shared" ref="H109:H112" si="55">IF(ISNUMBER(G109), (G109 - $B109) / $B109, "")</f>
        <v>5.8282208588957052E-2</v>
      </c>
      <c r="I109" s="101">
        <f>IF(ISNUMBER(G109), $B118 * H109, "")</f>
        <v>5828.2208588957055</v>
      </c>
      <c r="J109" s="15">
        <v>1045</v>
      </c>
      <c r="K109" s="32">
        <f t="shared" ref="K109:K112" si="56">IF(ISNUMBER(J109), (J109 - $B109) / $B109, "")</f>
        <v>6.8507157464212681E-2</v>
      </c>
      <c r="L109" s="18">
        <f>IF(ISNUMBER(J109), $B118 * K109, "")</f>
        <v>6850.7157464212678</v>
      </c>
      <c r="M109" s="31">
        <v>1020</v>
      </c>
      <c r="N109" s="32">
        <f t="shared" ref="N109:N112" si="57">IF(ISNUMBER(M109), (M109 - $B109) / $B109, "")</f>
        <v>4.2944785276073622E-2</v>
      </c>
      <c r="O109" s="18">
        <f>IF(ISNUMBER(M109), $B118 * N109, "")</f>
        <v>4294.4785276073626</v>
      </c>
      <c r="Q109" s="242"/>
      <c r="R109" s="243"/>
      <c r="S109" s="244"/>
    </row>
    <row r="110" spans="1:19" ht="17.25" thickBot="1">
      <c r="A110" s="162" t="s">
        <v>224</v>
      </c>
      <c r="B110" s="126">
        <v>1355</v>
      </c>
      <c r="C110" s="77">
        <v>1.8796992500000002E-2</v>
      </c>
      <c r="D110" s="15">
        <v>1445</v>
      </c>
      <c r="E110" s="32">
        <f t="shared" si="54"/>
        <v>6.6420664206642069E-2</v>
      </c>
      <c r="F110" s="18">
        <f>IF(ISNUMBER(D110), $B118 * E110, "")</f>
        <v>6642.0664206642068</v>
      </c>
      <c r="G110" s="31">
        <v>1415</v>
      </c>
      <c r="H110" s="32">
        <f t="shared" si="55"/>
        <v>4.4280442804428041E-2</v>
      </c>
      <c r="I110" s="101">
        <f>IF(ISNUMBER(G110), $B118 * H110, "")</f>
        <v>4428.0442804428039</v>
      </c>
      <c r="J110" s="15">
        <v>1390</v>
      </c>
      <c r="K110" s="32">
        <f t="shared" si="56"/>
        <v>2.5830258302583026E-2</v>
      </c>
      <c r="L110" s="18">
        <f>IF(ISNUMBER(J110), $B118 * K110, "")</f>
        <v>2583.0258302583024</v>
      </c>
      <c r="M110" s="31">
        <v>1390</v>
      </c>
      <c r="N110" s="32">
        <f t="shared" si="57"/>
        <v>2.5830258302583026E-2</v>
      </c>
      <c r="O110" s="18">
        <f>IF(ISNUMBER(M110), $B118 * N110, "")</f>
        <v>2583.0258302583024</v>
      </c>
      <c r="Q110" s="235"/>
      <c r="R110" s="235"/>
      <c r="S110" s="235"/>
    </row>
    <row r="111" spans="1:19" ht="17.25" thickBot="1">
      <c r="A111" s="162" t="s">
        <v>210</v>
      </c>
      <c r="B111" s="126">
        <v>117</v>
      </c>
      <c r="C111" s="77">
        <v>1.73913043E-2</v>
      </c>
      <c r="D111" s="15">
        <v>118</v>
      </c>
      <c r="E111" s="32">
        <f t="shared" si="54"/>
        <v>8.5470085470085479E-3</v>
      </c>
      <c r="F111" s="18">
        <f>IF(ISNUMBER(D111), $B118 * E111, "")</f>
        <v>854.70085470085473</v>
      </c>
      <c r="G111" s="31">
        <v>121</v>
      </c>
      <c r="H111" s="32">
        <f t="shared" si="55"/>
        <v>3.4188034188034191E-2</v>
      </c>
      <c r="I111" s="101">
        <f>IF(ISNUMBER(G111), $B118 * H111, "")</f>
        <v>3418.8034188034189</v>
      </c>
      <c r="J111" s="15">
        <v>121</v>
      </c>
      <c r="K111" s="32">
        <f t="shared" si="56"/>
        <v>3.4188034188034191E-2</v>
      </c>
      <c r="L111" s="18">
        <f>IF(ISNUMBER(J111), $B118 * K111, "")</f>
        <v>3418.8034188034189</v>
      </c>
      <c r="M111" s="31">
        <v>120</v>
      </c>
      <c r="N111" s="32">
        <f t="shared" si="57"/>
        <v>2.564102564102564E-2</v>
      </c>
      <c r="O111" s="18">
        <f>IF(ISNUMBER(M111), $B118 * N111, "")</f>
        <v>2564.102564102564</v>
      </c>
      <c r="Q111" s="245"/>
      <c r="R111" s="245"/>
      <c r="S111" s="245"/>
    </row>
    <row r="112" spans="1:19" ht="17.25" thickBot="1">
      <c r="A112" s="163" t="s">
        <v>108</v>
      </c>
      <c r="B112" s="128">
        <v>32230</v>
      </c>
      <c r="C112" s="78">
        <v>1.54379332E-2</v>
      </c>
      <c r="D112" s="20">
        <v>32460</v>
      </c>
      <c r="E112" s="21">
        <f t="shared" si="54"/>
        <v>7.1362085013962151E-3</v>
      </c>
      <c r="F112" s="22">
        <f>IF(ISNUMBER(D112), $B118 * E112, "")</f>
        <v>713.62085013962155</v>
      </c>
      <c r="G112" s="30">
        <v>32600</v>
      </c>
      <c r="H112" s="21">
        <f t="shared" si="55"/>
        <v>1.1479987589202606E-2</v>
      </c>
      <c r="I112" s="105">
        <f>IF(ISNUMBER(G112), $B118 * H112, "")</f>
        <v>1147.9987589202606</v>
      </c>
      <c r="J112" s="20">
        <v>32340</v>
      </c>
      <c r="K112" s="21">
        <f t="shared" si="56"/>
        <v>3.4129692832764505E-3</v>
      </c>
      <c r="L112" s="22">
        <f>IF(ISNUMBER(J112), $B118 * K112, "")</f>
        <v>341.29692832764505</v>
      </c>
      <c r="M112" s="30">
        <v>32170</v>
      </c>
      <c r="N112" s="21">
        <f t="shared" si="57"/>
        <v>-1.8616196090598821E-3</v>
      </c>
      <c r="O112" s="22">
        <f>IF(ISNUMBER(M112), $B118 * N112, "")</f>
        <v>-186.1619609059882</v>
      </c>
      <c r="Q112" s="245"/>
      <c r="R112" s="245"/>
      <c r="S112" s="245"/>
    </row>
    <row r="113" spans="1:19" ht="17.25" thickBot="1">
      <c r="A113" s="162" t="s">
        <v>140</v>
      </c>
      <c r="B113" s="129">
        <v>2335</v>
      </c>
      <c r="C113" s="80">
        <v>1.5217391300000001E-2</v>
      </c>
      <c r="D113" s="106">
        <v>2275</v>
      </c>
      <c r="E113" s="107">
        <f>IF(ISNUMBER(D113), (D113 - $B113) / $B113, "")</f>
        <v>-2.569593147751606E-2</v>
      </c>
      <c r="F113" s="108">
        <f>IF(ISNUMBER(D113), $B118 * E113, "")</f>
        <v>-2569.593147751606</v>
      </c>
      <c r="G113" s="109">
        <v>2320</v>
      </c>
      <c r="H113" s="107">
        <f>IF(ISNUMBER(G113), (G113 - $B113) / $B113, "")</f>
        <v>-6.4239828693790149E-3</v>
      </c>
      <c r="I113" s="110">
        <f>IF(ISNUMBER(G113), $B118 * H113, "")</f>
        <v>-642.3982869379015</v>
      </c>
      <c r="J113" s="106">
        <v>2295</v>
      </c>
      <c r="K113" s="107">
        <f>IF(ISNUMBER(J113), (J113 - $B113) / $B113, "")</f>
        <v>-1.7130620985010708E-2</v>
      </c>
      <c r="L113" s="108">
        <f>IF(ISNUMBER(J113), $B118 * K113, "")</f>
        <v>-1713.0620985010707</v>
      </c>
      <c r="M113" s="109">
        <v>2240</v>
      </c>
      <c r="N113" s="107">
        <f>IF(ISNUMBER(M113), (M113 - $B113) / $B113, "")</f>
        <v>-4.068522483940043E-2</v>
      </c>
      <c r="O113" s="108">
        <f>IF(ISNUMBER(M113), $B118 * N113, "")</f>
        <v>-4068.522483940043</v>
      </c>
      <c r="Q113" s="235"/>
      <c r="R113" s="235"/>
      <c r="S113" s="235"/>
    </row>
    <row r="114" spans="1:19" ht="17.25" thickBot="1">
      <c r="A114" s="162" t="s">
        <v>120</v>
      </c>
      <c r="B114" s="126">
        <v>134</v>
      </c>
      <c r="C114" s="77">
        <v>1.51515152E-2</v>
      </c>
      <c r="D114" s="15">
        <v>138</v>
      </c>
      <c r="E114" s="32">
        <f t="shared" ref="E114:E117" si="58">IF(ISNUMBER(D114), (D114 - $B114) / $B114, "")</f>
        <v>2.9850746268656716E-2</v>
      </c>
      <c r="F114" s="18">
        <f>IF(ISNUMBER(D114), $B118 * E114, "")</f>
        <v>2985.0746268656717</v>
      </c>
      <c r="G114" s="31">
        <v>140</v>
      </c>
      <c r="H114" s="32">
        <f t="shared" ref="H114:H117" si="59">IF(ISNUMBER(G114), (G114 - $B114) / $B114, "")</f>
        <v>4.4776119402985072E-2</v>
      </c>
      <c r="I114" s="101">
        <f>IF(ISNUMBER(G114), $B118 * H114, "")</f>
        <v>4477.6119402985069</v>
      </c>
      <c r="J114" s="15">
        <v>140</v>
      </c>
      <c r="K114" s="32">
        <f t="shared" ref="K114:K117" si="60">IF(ISNUMBER(J114), (J114 - $B114) / $B114, "")</f>
        <v>4.4776119402985072E-2</v>
      </c>
      <c r="L114" s="18">
        <f>IF(ISNUMBER(J114), $B118 * K114, "")</f>
        <v>4477.6119402985069</v>
      </c>
      <c r="M114" s="31">
        <v>139</v>
      </c>
      <c r="N114" s="32">
        <f t="shared" ref="N114:N117" si="61">IF(ISNUMBER(M114), (M114 - $B114) / $B114, "")</f>
        <v>3.7313432835820892E-2</v>
      </c>
      <c r="O114" s="18">
        <f>IF(ISNUMBER(M114), $B118 * N114, "")</f>
        <v>3731.343283582089</v>
      </c>
      <c r="Q114" s="235"/>
      <c r="R114" s="235"/>
      <c r="S114" s="235"/>
    </row>
    <row r="115" spans="1:19" ht="17.25" thickBot="1">
      <c r="A115" s="162" t="s">
        <v>69</v>
      </c>
      <c r="B115" s="126">
        <v>5000</v>
      </c>
      <c r="C115" s="77">
        <v>1.2145749000000001E-2</v>
      </c>
      <c r="D115" s="15">
        <v>5095</v>
      </c>
      <c r="E115" s="32">
        <f t="shared" si="58"/>
        <v>1.9E-2</v>
      </c>
      <c r="F115" s="18">
        <f>IF(ISNUMBER(D115), $B118 * E115, "")</f>
        <v>1900</v>
      </c>
      <c r="G115" s="31">
        <v>5180</v>
      </c>
      <c r="H115" s="32">
        <f t="shared" si="59"/>
        <v>3.5999999999999997E-2</v>
      </c>
      <c r="I115" s="101">
        <f>IF(ISNUMBER(G115), $B118 * H115, "")</f>
        <v>3599.9999999999995</v>
      </c>
      <c r="J115" s="15">
        <v>5090</v>
      </c>
      <c r="K115" s="32">
        <f t="shared" si="60"/>
        <v>1.7999999999999999E-2</v>
      </c>
      <c r="L115" s="18">
        <f>IF(ISNUMBER(J115), $B118 * K115, "")</f>
        <v>1799.9999999999998</v>
      </c>
      <c r="M115" s="31">
        <v>4960</v>
      </c>
      <c r="N115" s="32">
        <f t="shared" si="61"/>
        <v>-8.0000000000000002E-3</v>
      </c>
      <c r="O115" s="18">
        <f>IF(ISNUMBER(M115), $B118 * N115, "")</f>
        <v>-800</v>
      </c>
      <c r="Q115" s="235"/>
      <c r="R115" s="235"/>
      <c r="S115" s="235"/>
    </row>
    <row r="116" spans="1:19">
      <c r="A116" s="162" t="s">
        <v>162</v>
      </c>
      <c r="B116" s="126">
        <v>1115</v>
      </c>
      <c r="C116" s="77">
        <v>9.0497738000000008E-3</v>
      </c>
      <c r="D116" s="15">
        <v>1140</v>
      </c>
      <c r="E116" s="32">
        <f t="shared" si="58"/>
        <v>2.2421524663677129E-2</v>
      </c>
      <c r="F116" s="18">
        <f>IF(ISNUMBER(D116), $B118 * E116, "")</f>
        <v>2242.1524663677128</v>
      </c>
      <c r="G116" s="31">
        <v>1155</v>
      </c>
      <c r="H116" s="32">
        <f t="shared" si="59"/>
        <v>3.5874439461883408E-2</v>
      </c>
      <c r="I116" s="101">
        <f>IF(ISNUMBER(G116), $B118 * H116, "")</f>
        <v>3587.4439461883408</v>
      </c>
      <c r="J116" s="15">
        <v>1155</v>
      </c>
      <c r="K116" s="32">
        <f t="shared" si="60"/>
        <v>3.5874439461883408E-2</v>
      </c>
      <c r="L116" s="18">
        <f>IF(ISNUMBER(J116), $B118 * K116, "")</f>
        <v>3587.4439461883408</v>
      </c>
      <c r="M116" s="31">
        <v>1150</v>
      </c>
      <c r="N116" s="32">
        <f t="shared" si="61"/>
        <v>3.1390134529147982E-2</v>
      </c>
      <c r="O116" s="18">
        <f>IF(ISNUMBER(M116), $B118 * N116, "")</f>
        <v>3139.0134529147981</v>
      </c>
      <c r="Q116" s="224"/>
      <c r="R116" s="225"/>
      <c r="S116" s="226"/>
    </row>
    <row r="117" spans="1:19" ht="17.25" thickBot="1">
      <c r="A117" s="130" t="s">
        <v>90</v>
      </c>
      <c r="B117" s="131">
        <v>188000</v>
      </c>
      <c r="C117" s="79">
        <v>6.6934404000000003E-3</v>
      </c>
      <c r="D117" s="24">
        <v>195350</v>
      </c>
      <c r="E117" s="25">
        <f t="shared" si="58"/>
        <v>3.9095744680851065E-2</v>
      </c>
      <c r="F117" s="104">
        <f>IF(ISNUMBER(D117), $B118 * E117, "")</f>
        <v>3909.5744680851067</v>
      </c>
      <c r="G117" s="102">
        <v>196050</v>
      </c>
      <c r="H117" s="25">
        <f t="shared" si="59"/>
        <v>4.2819148936170212E-2</v>
      </c>
      <c r="I117" s="103">
        <f>IF(ISNUMBER(G117), $B118 * H117, "")</f>
        <v>4281.9148936170213</v>
      </c>
      <c r="J117" s="24">
        <v>196000</v>
      </c>
      <c r="K117" s="25">
        <f t="shared" si="60"/>
        <v>4.2553191489361701E-2</v>
      </c>
      <c r="L117" s="104">
        <f>IF(ISNUMBER(J117), $B118 * K117, "")</f>
        <v>4255.3191489361698</v>
      </c>
      <c r="M117" s="102">
        <v>195200</v>
      </c>
      <c r="N117" s="25">
        <f t="shared" si="61"/>
        <v>3.8297872340425532E-2</v>
      </c>
      <c r="O117" s="104">
        <f>IF(ISNUMBER(M117), $B118 * N117, "")</f>
        <v>3829.7872340425533</v>
      </c>
      <c r="Q117" s="227"/>
      <c r="R117" s="228"/>
      <c r="S117" s="229"/>
    </row>
    <row r="118" spans="1:19" ht="17.25" thickBot="1">
      <c r="A118" s="132" t="s">
        <v>300</v>
      </c>
      <c r="B118" s="288">
        <f>$B$37</f>
        <v>100000</v>
      </c>
      <c r="C118" s="289"/>
      <c r="D118" s="26" t="s">
        <v>301</v>
      </c>
      <c r="E118" s="27">
        <f>IF(COUNT(E98:E117), SUM(E98:E117) / COUNT(E98:E117), 0)</f>
        <v>1.8688885220440481E-2</v>
      </c>
      <c r="F118" s="28">
        <f>SUM(F98:F117)</f>
        <v>37377.770440880951</v>
      </c>
      <c r="G118" s="26" t="s">
        <v>301</v>
      </c>
      <c r="H118" s="27">
        <f>IF(COUNT(H98:H117), SUM(H98:H117) / COUNT(H98:H117), 0)</f>
        <v>2.7395980536084209E-2</v>
      </c>
      <c r="I118" s="28">
        <f>SUM(I98:I117)</f>
        <v>54791.961072168408</v>
      </c>
      <c r="J118" s="26" t="s">
        <v>301</v>
      </c>
      <c r="K118" s="27">
        <f>IF(COUNT(K98:K117), SUM(K98:K117) / COUNT(K98:K117), 0)</f>
        <v>2.4843119378132175E-2</v>
      </c>
      <c r="L118" s="28">
        <f>SUM(L98:L117)</f>
        <v>49686.238756264363</v>
      </c>
      <c r="M118" s="26" t="s">
        <v>301</v>
      </c>
      <c r="N118" s="27">
        <f>IF(COUNT(N98:N117), SUM(N98:N117) / COUNT(N98:N117), 0)</f>
        <v>1.3069664665588898E-2</v>
      </c>
      <c r="O118" s="28">
        <f>SUM(O98:O117)</f>
        <v>26139.329331177796</v>
      </c>
      <c r="Q118" s="230"/>
      <c r="R118" s="231"/>
      <c r="S118" s="232"/>
    </row>
    <row r="120" spans="1:19" ht="17.25" thickBot="1"/>
    <row r="121" spans="1:19" ht="17.25" thickBot="1">
      <c r="A121" s="246" t="s">
        <v>288</v>
      </c>
      <c r="B121" s="247"/>
      <c r="C121" s="247"/>
      <c r="D121" s="247"/>
      <c r="E121" s="247"/>
      <c r="F121" s="247"/>
      <c r="G121" s="247"/>
      <c r="H121" s="247"/>
      <c r="I121" s="247"/>
      <c r="J121" s="247"/>
      <c r="K121" s="247"/>
      <c r="L121" s="247"/>
      <c r="M121" s="247"/>
      <c r="N121" s="247"/>
      <c r="O121" s="248"/>
      <c r="Q121" s="245"/>
      <c r="R121" s="245"/>
      <c r="S121" s="245"/>
    </row>
    <row r="122" spans="1:19" ht="17.25" thickBot="1">
      <c r="A122" s="196" t="s">
        <v>297</v>
      </c>
      <c r="B122" s="246" t="s">
        <v>49</v>
      </c>
      <c r="C122" s="248"/>
      <c r="D122" s="246" t="s">
        <v>58</v>
      </c>
      <c r="E122" s="247"/>
      <c r="F122" s="248"/>
      <c r="G122" s="249">
        <f>_xlfn.IFNA(VLOOKUP(B122, 현재가테이블!$B$2:$D$200, 2, FALSE), "-")</f>
        <v>45335000</v>
      </c>
      <c r="H122" s="250"/>
      <c r="I122" s="251"/>
      <c r="J122" s="246" t="s">
        <v>59</v>
      </c>
      <c r="K122" s="247"/>
      <c r="L122" s="248"/>
      <c r="M122" s="252">
        <f>_xlfn.IFNA(VLOOKUP(B122, 현재가테이블!$B$2:$D$200, 3, FALSE), "-")</f>
        <v>-2.27209037E-2</v>
      </c>
      <c r="N122" s="253"/>
      <c r="O122" s="254"/>
      <c r="Q122" s="245"/>
      <c r="R122" s="245"/>
      <c r="S122" s="245"/>
    </row>
    <row r="123" spans="1:19" ht="17.25" thickBot="1">
      <c r="A123" s="290" t="s">
        <v>55</v>
      </c>
      <c r="B123" s="286" t="str">
        <f>TEXT($G$1, "[$-ko-KR]yyyy-mm-dd(ddd) ") &amp; "오전 00:00"</f>
        <v>2021-06-10(목) 오전 00:00</v>
      </c>
      <c r="C123" s="287"/>
      <c r="D123" s="259" t="str">
        <f>TEXT($G$1, "[$-ko-KR]yyyy-mm-dd(ddd) ") &amp; "오후 14:00"</f>
        <v>2021-06-10(목) 오후 14:00</v>
      </c>
      <c r="E123" s="260"/>
      <c r="F123" s="261"/>
      <c r="G123" s="259" t="str">
        <f>TEXT($G$1, "[$-ko-KR]yyyy-mm-dd(ddd) ") &amp; "오후 19:00"</f>
        <v>2021-06-10(목) 오후 19:00</v>
      </c>
      <c r="H123" s="260"/>
      <c r="I123" s="261"/>
      <c r="J123" s="259" t="str">
        <f>TEXT($G$1, "[$-ko-KR]yyyy-mm-dd(ddd) ") &amp; "오후 21:00"</f>
        <v>2021-06-10(목) 오후 21:00</v>
      </c>
      <c r="K123" s="260"/>
      <c r="L123" s="261"/>
      <c r="M123" s="259" t="str">
        <f>TEXT($G$1+1, "[$-ko-KR]yyyy-mm-dd(ddd) ") &amp; "오전 00:00"</f>
        <v>2021-06-11(금) 오전 00:00</v>
      </c>
      <c r="N123" s="260"/>
      <c r="O123" s="261"/>
      <c r="Q123" s="245"/>
      <c r="R123" s="245"/>
      <c r="S123" s="245"/>
    </row>
    <row r="124" spans="1:19" ht="17.25" thickBot="1">
      <c r="A124" s="291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97" t="s">
        <v>58</v>
      </c>
      <c r="H124" s="198" t="s">
        <v>298</v>
      </c>
      <c r="I124" s="199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5"/>
      <c r="R124" s="235"/>
      <c r="S124" s="235"/>
    </row>
    <row r="125" spans="1:19" ht="17.25" thickBot="1">
      <c r="A125" s="161" t="s">
        <v>65</v>
      </c>
      <c r="B125" s="124">
        <v>32.299999999999997</v>
      </c>
      <c r="C125" s="76">
        <v>-1.82370821E-2</v>
      </c>
      <c r="D125" s="13">
        <v>33.799999999999997</v>
      </c>
      <c r="E125" s="14">
        <f>IF(ISNUMBER(D125), (D125 - $B125) / $B125, "")</f>
        <v>4.6439628482972138E-2</v>
      </c>
      <c r="F125" s="16">
        <f>IF(ISNUMBER(D125), $B145 * E125, "")</f>
        <v>4643.9628482972139</v>
      </c>
      <c r="G125" s="29">
        <v>34.1</v>
      </c>
      <c r="H125" s="14">
        <f>IF(ISNUMBER(G125), (G125 - $B125) / $B125, "")</f>
        <v>5.57275541795667E-2</v>
      </c>
      <c r="I125" s="100">
        <f>IF(ISNUMBER(G125), $B145 * H125, "")</f>
        <v>5572.7554179566696</v>
      </c>
      <c r="J125" s="13">
        <v>34.299999999999997</v>
      </c>
      <c r="K125" s="14">
        <f>IF(ISNUMBER(J125), (J125 - $B125) / $B125, "")</f>
        <v>6.1919504643962855E-2</v>
      </c>
      <c r="L125" s="16">
        <f>IF(ISNUMBER(J125), $B145 * K125, "")</f>
        <v>6191.9504643962855</v>
      </c>
      <c r="M125" s="29">
        <v>33.5</v>
      </c>
      <c r="N125" s="14">
        <f>IF(ISNUMBER(M125), (M125 - $B125) / $B125, "")</f>
        <v>3.7151702786377798E-2</v>
      </c>
      <c r="O125" s="16">
        <f>IF(ISNUMBER(M125), $B145 * N125, "")</f>
        <v>3715.1702786377796</v>
      </c>
      <c r="Q125" s="245"/>
      <c r="R125" s="245"/>
      <c r="S125" s="245"/>
    </row>
    <row r="126" spans="1:19" ht="17.25" thickBot="1">
      <c r="A126" s="162" t="s">
        <v>254</v>
      </c>
      <c r="B126" s="126">
        <v>44</v>
      </c>
      <c r="C126" s="77">
        <v>-2.00445434E-2</v>
      </c>
      <c r="D126" s="15">
        <v>64.2</v>
      </c>
      <c r="E126" s="32">
        <f t="shared" ref="E126:E129" si="62">IF(ISNUMBER(D126), (D126 - $B126) / $B126, "")</f>
        <v>0.45909090909090916</v>
      </c>
      <c r="F126" s="18">
        <f>IF(ISNUMBER(D126), $B145 * E126, "")</f>
        <v>45909.090909090919</v>
      </c>
      <c r="G126" s="31">
        <v>74.5</v>
      </c>
      <c r="H126" s="32">
        <f t="shared" ref="H126:H129" si="63">IF(ISNUMBER(G126), (G126 - $B126) / $B126, "")</f>
        <v>0.69318181818181823</v>
      </c>
      <c r="I126" s="101">
        <f>IF(ISNUMBER(G126), $B145 * H126, "")</f>
        <v>69318.181818181823</v>
      </c>
      <c r="J126" s="15">
        <v>71.900000000000006</v>
      </c>
      <c r="K126" s="32">
        <f t="shared" ref="K126:K129" si="64">IF(ISNUMBER(J126), (J126 - $B126) / $B126, "")</f>
        <v>0.63409090909090926</v>
      </c>
      <c r="L126" s="18">
        <f>IF(ISNUMBER(J126), $B145 * K126, "")</f>
        <v>63409.090909090926</v>
      </c>
      <c r="M126" s="31">
        <v>66.3</v>
      </c>
      <c r="N126" s="32">
        <f t="shared" ref="N126:N129" si="65">IF(ISNUMBER(M126), (M126 - $B126) / $B126, "")</f>
        <v>0.50681818181818172</v>
      </c>
      <c r="O126" s="18">
        <f>IF(ISNUMBER(M126), $B145 * N126, "")</f>
        <v>50681.818181818169</v>
      </c>
      <c r="Q126" s="245"/>
      <c r="R126" s="245"/>
      <c r="S126" s="245"/>
    </row>
    <row r="127" spans="1:19" ht="17.25" thickBot="1">
      <c r="A127" s="162" t="s">
        <v>100</v>
      </c>
      <c r="B127" s="126">
        <v>4.18</v>
      </c>
      <c r="C127" s="77">
        <v>-2.1077283400000001E-2</v>
      </c>
      <c r="D127" s="15">
        <v>4.28</v>
      </c>
      <c r="E127" s="32">
        <f t="shared" si="62"/>
        <v>2.3923444976076683E-2</v>
      </c>
      <c r="F127" s="18">
        <f>IF(ISNUMBER(D127), $B145 * E127, "")</f>
        <v>2392.3444976076685</v>
      </c>
      <c r="G127" s="31">
        <v>4.3099999999999996</v>
      </c>
      <c r="H127" s="32">
        <f t="shared" si="63"/>
        <v>3.1100478468899496E-2</v>
      </c>
      <c r="I127" s="101">
        <f>IF(ISNUMBER(G127), $B145 * H127, "")</f>
        <v>3110.0478468899496</v>
      </c>
      <c r="J127" s="15">
        <v>4.2699999999999996</v>
      </c>
      <c r="K127" s="32">
        <f t="shared" si="64"/>
        <v>2.1531100478468866E-2</v>
      </c>
      <c r="L127" s="18">
        <f>IF(ISNUMBER(J127), $B145 * K127, "")</f>
        <v>2153.1100478468866</v>
      </c>
      <c r="M127" s="31">
        <v>4.24</v>
      </c>
      <c r="N127" s="32">
        <f t="shared" si="65"/>
        <v>1.4354066985646053E-2</v>
      </c>
      <c r="O127" s="18">
        <f>IF(ISNUMBER(M127), $B145 * N127, "")</f>
        <v>1435.4066985646052</v>
      </c>
      <c r="Q127" s="235"/>
      <c r="R127" s="235"/>
      <c r="S127" s="235"/>
    </row>
    <row r="128" spans="1:19" ht="17.25" thickBot="1">
      <c r="A128" s="162" t="s">
        <v>134</v>
      </c>
      <c r="B128" s="126">
        <v>84.4</v>
      </c>
      <c r="C128" s="77">
        <v>-2.3148148100000002E-2</v>
      </c>
      <c r="D128" s="15">
        <v>86.1</v>
      </c>
      <c r="E128" s="32">
        <f t="shared" si="62"/>
        <v>2.0142180094786594E-2</v>
      </c>
      <c r="F128" s="18">
        <f>IF(ISNUMBER(D128), $B145 * E128, "")</f>
        <v>2014.2180094786595</v>
      </c>
      <c r="G128" s="31">
        <v>91</v>
      </c>
      <c r="H128" s="32">
        <f t="shared" si="63"/>
        <v>7.8199052132701355E-2</v>
      </c>
      <c r="I128" s="101">
        <f>IF(ISNUMBER(G128), $B145 * H128, "")</f>
        <v>7819.9052132701354</v>
      </c>
      <c r="J128" s="15">
        <v>89.8</v>
      </c>
      <c r="K128" s="32">
        <f t="shared" si="64"/>
        <v>6.3981042654028333E-2</v>
      </c>
      <c r="L128" s="18">
        <f>IF(ISNUMBER(J128), $B145 * K128, "")</f>
        <v>6398.1042654028333</v>
      </c>
      <c r="M128" s="31">
        <v>87.1</v>
      </c>
      <c r="N128" s="32">
        <f t="shared" si="65"/>
        <v>3.1990521327014083E-2</v>
      </c>
      <c r="O128" s="18">
        <f>IF(ISNUMBER(M128), $B145 * N128, "")</f>
        <v>3199.0521327014085</v>
      </c>
      <c r="Q128" s="235"/>
      <c r="R128" s="235"/>
      <c r="S128" s="235"/>
    </row>
    <row r="129" spans="1:19" ht="17.25" thickBot="1">
      <c r="A129" s="163" t="s">
        <v>214</v>
      </c>
      <c r="B129" s="128">
        <v>12</v>
      </c>
      <c r="C129" s="78">
        <v>-2.4390243900000001E-2</v>
      </c>
      <c r="D129" s="20">
        <v>12.9</v>
      </c>
      <c r="E129" s="21">
        <f t="shared" si="62"/>
        <v>7.5000000000000025E-2</v>
      </c>
      <c r="F129" s="22">
        <f>IF(ISNUMBER(D129), $B145 * E129, "")</f>
        <v>7500.0000000000027</v>
      </c>
      <c r="G129" s="30">
        <v>13.2</v>
      </c>
      <c r="H129" s="21">
        <f t="shared" si="63"/>
        <v>9.9999999999999936E-2</v>
      </c>
      <c r="I129" s="105">
        <f>IF(ISNUMBER(G129), $B145 * H129, "")</f>
        <v>9999.9999999999927</v>
      </c>
      <c r="J129" s="20">
        <v>13.3</v>
      </c>
      <c r="K129" s="21">
        <f t="shared" si="64"/>
        <v>0.10833333333333339</v>
      </c>
      <c r="L129" s="22">
        <f>IF(ISNUMBER(J129), $B145 * K129, "")</f>
        <v>10833.333333333339</v>
      </c>
      <c r="M129" s="30">
        <v>12.7</v>
      </c>
      <c r="N129" s="21">
        <f t="shared" si="65"/>
        <v>5.8333333333333272E-2</v>
      </c>
      <c r="O129" s="22">
        <f>IF(ISNUMBER(M129), $B145 * N129, "")</f>
        <v>5833.3333333333276</v>
      </c>
      <c r="Q129" s="235"/>
      <c r="R129" s="235"/>
      <c r="S129" s="235"/>
    </row>
    <row r="130" spans="1:19" ht="17.25" thickBot="1">
      <c r="A130" s="162" t="s">
        <v>72</v>
      </c>
      <c r="B130" s="129">
        <v>18.600000000000001</v>
      </c>
      <c r="C130" s="80">
        <v>-2.6178010500000001E-2</v>
      </c>
      <c r="D130" s="106">
        <v>19.600000000000001</v>
      </c>
      <c r="E130" s="107">
        <f>IF(ISNUMBER(D130), (D130 - $B130) / $B130, "")</f>
        <v>5.3763440860215048E-2</v>
      </c>
      <c r="F130" s="108">
        <f>IF(ISNUMBER(D130), $B145 * E130, "")</f>
        <v>5376.3440860215051</v>
      </c>
      <c r="G130" s="109">
        <v>19.8</v>
      </c>
      <c r="H130" s="107">
        <f>IF(ISNUMBER(G130), (G130 - $B130) / $B130, "")</f>
        <v>6.4516129032258021E-2</v>
      </c>
      <c r="I130" s="110">
        <f>IF(ISNUMBER(G130), $B145 * H130, "")</f>
        <v>6451.6129032258023</v>
      </c>
      <c r="J130" s="106">
        <v>19.8</v>
      </c>
      <c r="K130" s="107">
        <f>IF(ISNUMBER(J130), (J130 - $B130) / $B130, "")</f>
        <v>6.4516129032258021E-2</v>
      </c>
      <c r="L130" s="108">
        <f>IF(ISNUMBER(J130), $B145 * K130, "")</f>
        <v>6451.6129032258023</v>
      </c>
      <c r="M130" s="109">
        <v>19.7</v>
      </c>
      <c r="N130" s="107">
        <f>IF(ISNUMBER(M130), (M130 - $B130) / $B130, "")</f>
        <v>5.9139784946236437E-2</v>
      </c>
      <c r="O130" s="108">
        <f>IF(ISNUMBER(M130), $B145 * N130, "")</f>
        <v>5913.9784946236441</v>
      </c>
      <c r="Q130" s="235"/>
      <c r="R130" s="235"/>
      <c r="S130" s="235"/>
    </row>
    <row r="131" spans="1:19" ht="17.25" thickBot="1">
      <c r="A131" s="162" t="s">
        <v>126</v>
      </c>
      <c r="B131" s="126">
        <v>25.1</v>
      </c>
      <c r="C131" s="77">
        <v>-2.7131782900000002E-2</v>
      </c>
      <c r="D131" s="15">
        <v>26.5</v>
      </c>
      <c r="E131" s="32">
        <f t="shared" ref="E131:E134" si="66">IF(ISNUMBER(D131), (D131 - $B131) / $B131, "")</f>
        <v>5.5776892430278828E-2</v>
      </c>
      <c r="F131" s="18">
        <f>IF(ISNUMBER(D131), $B145 * E131, "")</f>
        <v>5577.6892430278831</v>
      </c>
      <c r="G131" s="31">
        <v>28.5</v>
      </c>
      <c r="H131" s="32">
        <f t="shared" ref="H131:H134" si="67">IF(ISNUMBER(G131), (G131 - $B131) / $B131, "")</f>
        <v>0.13545816733067723</v>
      </c>
      <c r="I131" s="101">
        <f>IF(ISNUMBER(G131), $B145 * H131, "")</f>
        <v>13545.816733067722</v>
      </c>
      <c r="J131" s="15">
        <v>27.6</v>
      </c>
      <c r="K131" s="32">
        <f t="shared" ref="K131:K134" si="68">IF(ISNUMBER(J131), (J131 - $B131) / $B131, "")</f>
        <v>9.9601593625498003E-2</v>
      </c>
      <c r="L131" s="18">
        <f>IF(ISNUMBER(J131), $B145 * K131, "")</f>
        <v>9960.1593625498008</v>
      </c>
      <c r="M131" s="31">
        <v>27</v>
      </c>
      <c r="N131" s="32">
        <f t="shared" ref="N131:N134" si="69">IF(ISNUMBER(M131), (M131 - $B131) / $B131, "")</f>
        <v>7.5697211155378419E-2</v>
      </c>
      <c r="O131" s="18">
        <f>IF(ISNUMBER(M131), $B145 * N131, "")</f>
        <v>7569.7211155378418</v>
      </c>
      <c r="Q131" s="235"/>
      <c r="R131" s="235"/>
      <c r="S131" s="235"/>
    </row>
    <row r="132" spans="1:19" ht="17.25" thickBot="1">
      <c r="A132" s="162" t="s">
        <v>196</v>
      </c>
      <c r="B132" s="126">
        <v>10.6</v>
      </c>
      <c r="C132" s="77">
        <v>-2.7522935799999999E-2</v>
      </c>
      <c r="D132" s="15">
        <v>11.3</v>
      </c>
      <c r="E132" s="32">
        <f t="shared" si="66"/>
        <v>6.60377358490567E-2</v>
      </c>
      <c r="F132" s="18">
        <f>IF(ISNUMBER(D132), $B145 * E132, "")</f>
        <v>6603.7735849056698</v>
      </c>
      <c r="G132" s="31">
        <v>11.3</v>
      </c>
      <c r="H132" s="32">
        <f t="shared" si="67"/>
        <v>6.60377358490567E-2</v>
      </c>
      <c r="I132" s="101">
        <f>IF(ISNUMBER(G132), $B145 * H132, "")</f>
        <v>6603.7735849056698</v>
      </c>
      <c r="J132" s="15">
        <v>11.4</v>
      </c>
      <c r="K132" s="32">
        <f t="shared" si="68"/>
        <v>7.5471698113207614E-2</v>
      </c>
      <c r="L132" s="18">
        <f>IF(ISNUMBER(J132), $B145 * K132, "")</f>
        <v>7547.1698113207613</v>
      </c>
      <c r="M132" s="31">
        <v>11.2</v>
      </c>
      <c r="N132" s="32">
        <f t="shared" si="69"/>
        <v>5.6603773584905627E-2</v>
      </c>
      <c r="O132" s="18">
        <f>IF(ISNUMBER(M132), $B145 * N132, "")</f>
        <v>5660.377358490563</v>
      </c>
      <c r="Q132" s="235"/>
      <c r="R132" s="235"/>
      <c r="S132" s="235"/>
    </row>
    <row r="133" spans="1:19" ht="17.25" thickBot="1">
      <c r="A133" s="162" t="s">
        <v>154</v>
      </c>
      <c r="B133" s="126">
        <v>10</v>
      </c>
      <c r="C133" s="77">
        <v>-2.9126213599999999E-2</v>
      </c>
      <c r="D133" s="15">
        <v>10.7</v>
      </c>
      <c r="E133" s="32">
        <f t="shared" si="66"/>
        <v>6.9999999999999923E-2</v>
      </c>
      <c r="F133" s="18">
        <f>IF(ISNUMBER(D133), $B145 * E133, "")</f>
        <v>6999.9999999999927</v>
      </c>
      <c r="G133" s="31">
        <v>11.1</v>
      </c>
      <c r="H133" s="32">
        <f t="shared" si="67"/>
        <v>0.10999999999999996</v>
      </c>
      <c r="I133" s="101">
        <f>IF(ISNUMBER(G133), $B145 * H133, "")</f>
        <v>10999.999999999996</v>
      </c>
      <c r="J133" s="15">
        <v>11</v>
      </c>
      <c r="K133" s="32">
        <f t="shared" si="68"/>
        <v>0.1</v>
      </c>
      <c r="L133" s="18">
        <f>IF(ISNUMBER(J133), $B145 * K133, "")</f>
        <v>10000</v>
      </c>
      <c r="M133" s="31">
        <v>10.9</v>
      </c>
      <c r="N133" s="32">
        <f t="shared" si="69"/>
        <v>9.0000000000000038E-2</v>
      </c>
      <c r="O133" s="18">
        <f>IF(ISNUMBER(M133), $B145 * N133, "")</f>
        <v>9000.0000000000036</v>
      </c>
      <c r="Q133" s="33"/>
      <c r="R133" s="33"/>
    </row>
    <row r="134" spans="1:19" ht="17.25" thickBot="1">
      <c r="A134" s="130" t="s">
        <v>222</v>
      </c>
      <c r="B134" s="131">
        <v>10.3</v>
      </c>
      <c r="C134" s="79">
        <v>-3.7383177599999998E-2</v>
      </c>
      <c r="D134" s="24">
        <v>10.9</v>
      </c>
      <c r="E134" s="25">
        <f t="shared" si="66"/>
        <v>5.825242718446598E-2</v>
      </c>
      <c r="F134" s="104">
        <f>IF(ISNUMBER(D134), $B145 * E134, "")</f>
        <v>5825.2427184465978</v>
      </c>
      <c r="G134" s="102">
        <v>11.4</v>
      </c>
      <c r="H134" s="25">
        <f t="shared" si="67"/>
        <v>0.10679611650485432</v>
      </c>
      <c r="I134" s="103">
        <f>IF(ISNUMBER(G134), $B145 * H134, "")</f>
        <v>10679.611650485433</v>
      </c>
      <c r="J134" s="24">
        <v>11.3</v>
      </c>
      <c r="K134" s="25">
        <f t="shared" si="68"/>
        <v>9.7087378640776698E-2</v>
      </c>
      <c r="L134" s="104">
        <f>IF(ISNUMBER(J134), $B145 * K134, "")</f>
        <v>9708.7378640776697</v>
      </c>
      <c r="M134" s="102">
        <v>11.3</v>
      </c>
      <c r="N134" s="25">
        <f t="shared" si="69"/>
        <v>9.7087378640776698E-2</v>
      </c>
      <c r="O134" s="104">
        <f>IF(ISNUMBER(M134), $B145 * N134, "")</f>
        <v>9708.7378640776697</v>
      </c>
      <c r="Q134" s="236"/>
      <c r="R134" s="237"/>
      <c r="S134" s="238"/>
    </row>
    <row r="135" spans="1:19">
      <c r="A135" s="161" t="s">
        <v>228</v>
      </c>
      <c r="B135" s="124">
        <v>9.48</v>
      </c>
      <c r="C135" s="76">
        <v>-3.8539553800000001E-2</v>
      </c>
      <c r="D135" s="13">
        <v>9.94</v>
      </c>
      <c r="E135" s="14">
        <f>IF(ISNUMBER(D135), (D135 - $B135) / $B135, "")</f>
        <v>4.8523206751054752E-2</v>
      </c>
      <c r="F135" s="16">
        <f>IF(ISNUMBER(D135), $B145 * E135, "")</f>
        <v>4852.3206751054749</v>
      </c>
      <c r="G135" s="29">
        <v>10.3</v>
      </c>
      <c r="H135" s="14">
        <f>IF(ISNUMBER(G135), (G135 - $B135) / $B135, "")</f>
        <v>8.6497890295358676E-2</v>
      </c>
      <c r="I135" s="100">
        <f>IF(ISNUMBER(G135), $B145 * H135, "")</f>
        <v>8649.7890295358684</v>
      </c>
      <c r="J135" s="13">
        <v>10.3</v>
      </c>
      <c r="K135" s="14">
        <f>IF(ISNUMBER(J135), (J135 - $B135) / $B135, "")</f>
        <v>8.6497890295358676E-2</v>
      </c>
      <c r="L135" s="16">
        <f>IF(ISNUMBER(J135), $B145 * K135, "")</f>
        <v>8649.7890295358684</v>
      </c>
      <c r="M135" s="29">
        <v>10.1</v>
      </c>
      <c r="N135" s="14">
        <f>IF(ISNUMBER(M135), (M135 - $B135) / $B135, "")</f>
        <v>6.5400843881856449E-2</v>
      </c>
      <c r="O135" s="16">
        <f>IF(ISNUMBER(M135), $B145 * N135, "")</f>
        <v>6540.0843881856454</v>
      </c>
      <c r="Q135" s="239"/>
      <c r="R135" s="240"/>
      <c r="S135" s="241"/>
    </row>
    <row r="136" spans="1:19" ht="17.25" thickBot="1">
      <c r="A136" s="162" t="s">
        <v>218</v>
      </c>
      <c r="B136" s="126">
        <v>14.4</v>
      </c>
      <c r="C136" s="77">
        <v>-0.04</v>
      </c>
      <c r="D136" s="15">
        <v>15.4</v>
      </c>
      <c r="E136" s="32">
        <f t="shared" ref="E136:E139" si="70">IF(ISNUMBER(D136), (D136 - $B136) / $B136, "")</f>
        <v>6.9444444444444448E-2</v>
      </c>
      <c r="F136" s="18">
        <f>IF(ISNUMBER(D136), $B145 * E136, "")</f>
        <v>6944.4444444444443</v>
      </c>
      <c r="G136" s="31">
        <v>16.2</v>
      </c>
      <c r="H136" s="32">
        <f t="shared" ref="H136:H139" si="71">IF(ISNUMBER(G136), (G136 - $B136) / $B136, "")</f>
        <v>0.12499999999999992</v>
      </c>
      <c r="I136" s="101">
        <f>IF(ISNUMBER(G136), $B145 * H136, "")</f>
        <v>12499.999999999991</v>
      </c>
      <c r="J136" s="15">
        <v>17</v>
      </c>
      <c r="K136" s="32">
        <f t="shared" ref="K136:K139" si="72">IF(ISNUMBER(J136), (J136 - $B136) / $B136, "")</f>
        <v>0.18055555555555552</v>
      </c>
      <c r="L136" s="18">
        <f>IF(ISNUMBER(J136), $B145 * K136, "")</f>
        <v>18055.555555555551</v>
      </c>
      <c r="M136" s="31">
        <v>15.8</v>
      </c>
      <c r="N136" s="32">
        <f t="shared" ref="N136:N139" si="73">IF(ISNUMBER(M136), (M136 - $B136) / $B136, "")</f>
        <v>9.7222222222222238E-2</v>
      </c>
      <c r="O136" s="18">
        <f>IF(ISNUMBER(M136), $B145 * N136, "")</f>
        <v>9722.2222222222244</v>
      </c>
      <c r="Q136" s="242"/>
      <c r="R136" s="243"/>
      <c r="S136" s="244"/>
    </row>
    <row r="137" spans="1:19" ht="17.25" thickBot="1">
      <c r="A137" s="162" t="s">
        <v>198</v>
      </c>
      <c r="B137" s="126">
        <v>14</v>
      </c>
      <c r="C137" s="77">
        <v>-4.1095890400000001E-2</v>
      </c>
      <c r="D137" s="15">
        <v>14.7</v>
      </c>
      <c r="E137" s="32">
        <f t="shared" si="70"/>
        <v>4.9999999999999947E-2</v>
      </c>
      <c r="F137" s="18">
        <f>IF(ISNUMBER(D137), $B145 * E137, "")</f>
        <v>4999.9999999999945</v>
      </c>
      <c r="G137" s="31">
        <v>15.3</v>
      </c>
      <c r="H137" s="32">
        <f t="shared" si="71"/>
        <v>9.2857142857142902E-2</v>
      </c>
      <c r="I137" s="101">
        <f>IF(ISNUMBER(G137), $B145 * H137, "")</f>
        <v>9285.7142857142899</v>
      </c>
      <c r="J137" s="15">
        <v>15.4</v>
      </c>
      <c r="K137" s="32">
        <f t="shared" si="72"/>
        <v>0.10000000000000002</v>
      </c>
      <c r="L137" s="18">
        <f>IF(ISNUMBER(J137), $B145 * K137, "")</f>
        <v>10000.000000000002</v>
      </c>
      <c r="M137" s="31">
        <v>15.3</v>
      </c>
      <c r="N137" s="32">
        <f t="shared" si="73"/>
        <v>9.2857142857142902E-2</v>
      </c>
      <c r="O137" s="18">
        <f>IF(ISNUMBER(M137), $B145 * N137, "")</f>
        <v>9285.7142857142899</v>
      </c>
      <c r="Q137" s="235"/>
      <c r="R137" s="235"/>
      <c r="S137" s="235"/>
    </row>
    <row r="138" spans="1:19" ht="17.25" thickBot="1">
      <c r="A138" s="162" t="s">
        <v>268</v>
      </c>
      <c r="B138" s="126">
        <v>44.7</v>
      </c>
      <c r="C138" s="77">
        <v>-4.2826552499999997E-2</v>
      </c>
      <c r="D138" s="15">
        <v>51.8</v>
      </c>
      <c r="E138" s="32">
        <f t="shared" si="70"/>
        <v>0.15883668903803119</v>
      </c>
      <c r="F138" s="18">
        <f>IF(ISNUMBER(D138), $B145 * E138, "")</f>
        <v>15883.66890380312</v>
      </c>
      <c r="G138" s="31">
        <v>53.1</v>
      </c>
      <c r="H138" s="32">
        <f t="shared" si="71"/>
        <v>0.18791946308724827</v>
      </c>
      <c r="I138" s="101">
        <f>IF(ISNUMBER(G138), $B145 * H138, "")</f>
        <v>18791.946308724826</v>
      </c>
      <c r="J138" s="15">
        <v>52.3</v>
      </c>
      <c r="K138" s="32">
        <f t="shared" si="72"/>
        <v>0.17002237136465312</v>
      </c>
      <c r="L138" s="18">
        <f>IF(ISNUMBER(J138), $B145 * K138, "")</f>
        <v>17002.237136465312</v>
      </c>
      <c r="M138" s="31">
        <v>50.3</v>
      </c>
      <c r="N138" s="32">
        <f t="shared" si="73"/>
        <v>0.12527964205816541</v>
      </c>
      <c r="O138" s="18">
        <f>IF(ISNUMBER(M138), $B145 * N138, "")</f>
        <v>12527.964205816541</v>
      </c>
      <c r="Q138" s="245"/>
      <c r="R138" s="245"/>
      <c r="S138" s="245"/>
    </row>
    <row r="139" spans="1:19" ht="17.25" thickBot="1">
      <c r="A139" s="163" t="s">
        <v>122</v>
      </c>
      <c r="B139" s="128">
        <v>55.4</v>
      </c>
      <c r="C139" s="78">
        <v>-4.3177892900000001E-2</v>
      </c>
      <c r="D139" s="20">
        <v>66.5</v>
      </c>
      <c r="E139" s="21">
        <f t="shared" si="70"/>
        <v>0.20036101083032495</v>
      </c>
      <c r="F139" s="22">
        <f>IF(ISNUMBER(D139), $B145 * E139, "")</f>
        <v>20036.101083032496</v>
      </c>
      <c r="G139" s="30">
        <v>76</v>
      </c>
      <c r="H139" s="21">
        <f t="shared" si="71"/>
        <v>0.37184115523465705</v>
      </c>
      <c r="I139" s="105">
        <f>IF(ISNUMBER(G139), $B145 * H139, "")</f>
        <v>37184.115523465705</v>
      </c>
      <c r="J139" s="20">
        <v>74.599999999999994</v>
      </c>
      <c r="K139" s="21">
        <f t="shared" si="72"/>
        <v>0.34657039711191329</v>
      </c>
      <c r="L139" s="22">
        <f>IF(ISNUMBER(J139), $B145 * K139, "")</f>
        <v>34657.039711191326</v>
      </c>
      <c r="M139" s="30">
        <v>70.400000000000006</v>
      </c>
      <c r="N139" s="21">
        <f t="shared" si="73"/>
        <v>0.27075812274368244</v>
      </c>
      <c r="O139" s="22">
        <f>IF(ISNUMBER(M139), $B145 * N139, "")</f>
        <v>27075.812274368243</v>
      </c>
      <c r="Q139" s="245"/>
      <c r="R139" s="245"/>
      <c r="S139" s="245"/>
    </row>
    <row r="140" spans="1:19" ht="17.25" thickBot="1">
      <c r="A140" s="162" t="s">
        <v>212</v>
      </c>
      <c r="B140" s="129">
        <v>63.8</v>
      </c>
      <c r="C140" s="80">
        <v>-4.4910179600000003E-2</v>
      </c>
      <c r="D140" s="106">
        <v>67.900000000000006</v>
      </c>
      <c r="E140" s="107">
        <f>IF(ISNUMBER(D140), (D140 - $B140) / $B140, "")</f>
        <v>6.426332288401268E-2</v>
      </c>
      <c r="F140" s="108">
        <f>IF(ISNUMBER(D140), $B145 * E140, "")</f>
        <v>6426.3322884012678</v>
      </c>
      <c r="G140" s="109">
        <v>72.3</v>
      </c>
      <c r="H140" s="107">
        <f>IF(ISNUMBER(G140), (G140 - $B140) / $B140, "")</f>
        <v>0.13322884012539185</v>
      </c>
      <c r="I140" s="110">
        <f>IF(ISNUMBER(G140), $B145 * H140, "")</f>
        <v>13322.884012539185</v>
      </c>
      <c r="J140" s="106">
        <v>71.7</v>
      </c>
      <c r="K140" s="107">
        <f>IF(ISNUMBER(J140), (J140 - $B140) / $B140, "")</f>
        <v>0.1238244514106584</v>
      </c>
      <c r="L140" s="108">
        <f>IF(ISNUMBER(J140), $B145 * K140, "")</f>
        <v>12382.44514106584</v>
      </c>
      <c r="M140" s="109">
        <v>68.900000000000006</v>
      </c>
      <c r="N140" s="107">
        <f>IF(ISNUMBER(M140), (M140 - $B140) / $B140, "")</f>
        <v>7.9937304075235249E-2</v>
      </c>
      <c r="O140" s="108">
        <f>IF(ISNUMBER(M140), $B145 * N140, "")</f>
        <v>7993.7304075235252</v>
      </c>
      <c r="Q140" s="235"/>
      <c r="R140" s="235"/>
      <c r="S140" s="235"/>
    </row>
    <row r="141" spans="1:19" ht="17.25" thickBot="1">
      <c r="A141" s="162" t="s">
        <v>260</v>
      </c>
      <c r="B141" s="126">
        <v>60.8</v>
      </c>
      <c r="C141" s="77">
        <v>-4.7021943599999998E-2</v>
      </c>
      <c r="D141" s="15">
        <v>65.900000000000006</v>
      </c>
      <c r="E141" s="32">
        <f t="shared" ref="E141:E144" si="74">IF(ISNUMBER(D141), (D141 - $B141) / $B141, "")</f>
        <v>8.3881578947368571E-2</v>
      </c>
      <c r="F141" s="18">
        <f>IF(ISNUMBER(D141), $B145 * E141, "")</f>
        <v>8388.1578947368562</v>
      </c>
      <c r="G141" s="31">
        <v>69.3</v>
      </c>
      <c r="H141" s="32">
        <f t="shared" ref="H141:H144" si="75">IF(ISNUMBER(G141), (G141 - $B141) / $B141, "")</f>
        <v>0.13980263157894737</v>
      </c>
      <c r="I141" s="101">
        <f>IF(ISNUMBER(G141), $B145 * H141, "")</f>
        <v>13980.263157894737</v>
      </c>
      <c r="J141" s="15">
        <v>69</v>
      </c>
      <c r="K141" s="32">
        <f t="shared" ref="K141:K144" si="76">IF(ISNUMBER(J141), (J141 - $B141) / $B141, "")</f>
        <v>0.13486842105263164</v>
      </c>
      <c r="L141" s="18">
        <f>IF(ISNUMBER(J141), $B145 * K141, "")</f>
        <v>13486.842105263164</v>
      </c>
      <c r="M141" s="31">
        <v>66.400000000000006</v>
      </c>
      <c r="N141" s="32">
        <f t="shared" ref="N141:N144" si="77">IF(ISNUMBER(M141), (M141 - $B141) / $B141, "")</f>
        <v>9.2105263157894884E-2</v>
      </c>
      <c r="O141" s="18">
        <f>IF(ISNUMBER(M141), $B145 * N141, "")</f>
        <v>9210.5263157894879</v>
      </c>
      <c r="Q141" s="235"/>
      <c r="R141" s="235"/>
      <c r="S141" s="235"/>
    </row>
    <row r="142" spans="1:19" ht="17.25" thickBot="1">
      <c r="A142" s="162" t="s">
        <v>186</v>
      </c>
      <c r="B142" s="126">
        <v>15.1</v>
      </c>
      <c r="C142" s="77">
        <v>-5.0314465400000001E-2</v>
      </c>
      <c r="D142" s="15">
        <v>17.899999999999999</v>
      </c>
      <c r="E142" s="32">
        <f t="shared" si="74"/>
        <v>0.18543046357615886</v>
      </c>
      <c r="F142" s="18">
        <f>IF(ISNUMBER(D142), $B145 * E142, "")</f>
        <v>18543.046357615887</v>
      </c>
      <c r="G142" s="31">
        <v>18.600000000000001</v>
      </c>
      <c r="H142" s="32">
        <f t="shared" si="75"/>
        <v>0.2317880794701988</v>
      </c>
      <c r="I142" s="101">
        <f>IF(ISNUMBER(G142), $B145 * H142, "")</f>
        <v>23178.807947019879</v>
      </c>
      <c r="J142" s="15">
        <v>18.399999999999999</v>
      </c>
      <c r="K142" s="32">
        <f t="shared" si="76"/>
        <v>0.21854304635761582</v>
      </c>
      <c r="L142" s="18">
        <f>IF(ISNUMBER(J142), $B145 * K142, "")</f>
        <v>21854.304635761582</v>
      </c>
      <c r="M142" s="31">
        <v>17.7</v>
      </c>
      <c r="N142" s="32">
        <f t="shared" si="77"/>
        <v>0.17218543046357615</v>
      </c>
      <c r="O142" s="18">
        <f>IF(ISNUMBER(M142), $B145 * N142, "")</f>
        <v>17218.543046357616</v>
      </c>
      <c r="Q142" s="235"/>
      <c r="R142" s="235"/>
      <c r="S142" s="235"/>
    </row>
    <row r="143" spans="1:19">
      <c r="A143" s="162" t="s">
        <v>236</v>
      </c>
      <c r="B143" s="126">
        <v>51.3</v>
      </c>
      <c r="C143" s="77">
        <v>-5.1756007399999998E-2</v>
      </c>
      <c r="D143" s="15">
        <v>54.2</v>
      </c>
      <c r="E143" s="32">
        <f t="shared" si="74"/>
        <v>5.6530214424951382E-2</v>
      </c>
      <c r="F143" s="18">
        <f>IF(ISNUMBER(D143), $B145 * E143, "")</f>
        <v>5653.0214424951382</v>
      </c>
      <c r="G143" s="31">
        <v>54.6</v>
      </c>
      <c r="H143" s="32">
        <f t="shared" si="75"/>
        <v>6.4327485380117053E-2</v>
      </c>
      <c r="I143" s="101">
        <f>IF(ISNUMBER(G143), $B145 * H143, "")</f>
        <v>6432.748538011705</v>
      </c>
      <c r="J143" s="15">
        <v>54.6</v>
      </c>
      <c r="K143" s="32">
        <f t="shared" si="76"/>
        <v>6.4327485380117053E-2</v>
      </c>
      <c r="L143" s="18">
        <f>IF(ISNUMBER(J143), $B145 * K143, "")</f>
        <v>6432.748538011705</v>
      </c>
      <c r="M143" s="31">
        <v>53.7</v>
      </c>
      <c r="N143" s="32">
        <f t="shared" si="77"/>
        <v>4.6783625730994267E-2</v>
      </c>
      <c r="O143" s="18">
        <f>IF(ISNUMBER(M143), $B145 * N143, "")</f>
        <v>4678.3625730994263</v>
      </c>
      <c r="Q143" s="224"/>
      <c r="R143" s="225"/>
      <c r="S143" s="226"/>
    </row>
    <row r="144" spans="1:19" ht="17.25" thickBot="1">
      <c r="A144" s="130" t="s">
        <v>172</v>
      </c>
      <c r="B144" s="131">
        <v>13.4</v>
      </c>
      <c r="C144" s="79">
        <v>-5.6338028200000001E-2</v>
      </c>
      <c r="D144" s="24">
        <v>13.8</v>
      </c>
      <c r="E144" s="25">
        <f t="shared" si="74"/>
        <v>2.9850746268656744E-2</v>
      </c>
      <c r="F144" s="104">
        <f>IF(ISNUMBER(D144), $B145 * E144, "")</f>
        <v>2985.0746268656744</v>
      </c>
      <c r="G144" s="102">
        <v>14.4</v>
      </c>
      <c r="H144" s="25">
        <f t="shared" si="75"/>
        <v>7.4626865671641784E-2</v>
      </c>
      <c r="I144" s="103">
        <f>IF(ISNUMBER(G144), $B145 * H144, "")</f>
        <v>7462.6865671641781</v>
      </c>
      <c r="J144" s="24">
        <v>14.3</v>
      </c>
      <c r="K144" s="25">
        <f t="shared" si="76"/>
        <v>6.7164179104477639E-2</v>
      </c>
      <c r="L144" s="104">
        <f>IF(ISNUMBER(J144), $B145 * K144, "")</f>
        <v>6716.4179104477644</v>
      </c>
      <c r="M144" s="102">
        <v>14.1</v>
      </c>
      <c r="N144" s="25">
        <f t="shared" si="77"/>
        <v>5.2238805970149196E-2</v>
      </c>
      <c r="O144" s="104">
        <f>IF(ISNUMBER(M144), $B145 * N144, "")</f>
        <v>5223.8805970149197</v>
      </c>
      <c r="Q144" s="227"/>
      <c r="R144" s="228"/>
      <c r="S144" s="229"/>
    </row>
    <row r="145" spans="1:19" ht="17.25" thickBot="1">
      <c r="A145" s="132" t="s">
        <v>300</v>
      </c>
      <c r="B145" s="288">
        <f>$B$37</f>
        <v>100000</v>
      </c>
      <c r="C145" s="289"/>
      <c r="D145" s="26" t="s">
        <v>301</v>
      </c>
      <c r="E145" s="27">
        <f>IF(COUNT(E125:E144), SUM(E125:E144) / COUNT(E125:E144), 0)</f>
        <v>9.3777416806688232E-2</v>
      </c>
      <c r="F145" s="28">
        <f>SUM(F125:F144)</f>
        <v>187554.83361337642</v>
      </c>
      <c r="G145" s="26" t="s">
        <v>301</v>
      </c>
      <c r="H145" s="27">
        <f>IF(COUNT(H125:H144), SUM(H125:H144) / COUNT(H125:H144), 0)</f>
        <v>0.14744533026902679</v>
      </c>
      <c r="I145" s="28">
        <f>SUM(I125:I144)</f>
        <v>294890.66053805355</v>
      </c>
      <c r="J145" s="26" t="s">
        <v>301</v>
      </c>
      <c r="K145" s="27">
        <f>IF(COUNT(K125:K144), SUM(K125:K144) / COUNT(K125:K144), 0)</f>
        <v>0.1409453243622712</v>
      </c>
      <c r="L145" s="28">
        <f>SUM(L125:L144)</f>
        <v>281890.64872454241</v>
      </c>
      <c r="M145" s="26" t="s">
        <v>301</v>
      </c>
      <c r="N145" s="27">
        <f>IF(COUNT(N125:N144), SUM(N125:N144) / COUNT(N125:N144), 0)</f>
        <v>0.10609721788693849</v>
      </c>
      <c r="O145" s="28">
        <f>SUM(O125:O144)</f>
        <v>212194.4357738769</v>
      </c>
      <c r="Q145" s="230"/>
      <c r="R145" s="231"/>
      <c r="S145" s="232"/>
    </row>
    <row r="147" spans="1:19" ht="17.25" thickBot="1"/>
    <row r="148" spans="1:19" ht="17.25" thickBot="1">
      <c r="A148" s="246" t="s">
        <v>289</v>
      </c>
      <c r="B148" s="247"/>
      <c r="C148" s="247"/>
      <c r="D148" s="247"/>
      <c r="E148" s="247"/>
      <c r="F148" s="247"/>
      <c r="G148" s="247"/>
      <c r="H148" s="247"/>
      <c r="I148" s="247"/>
      <c r="J148" s="247"/>
      <c r="K148" s="247"/>
      <c r="L148" s="247"/>
      <c r="M148" s="247"/>
      <c r="N148" s="247"/>
      <c r="O148" s="248"/>
      <c r="Q148" s="245"/>
      <c r="R148" s="245"/>
      <c r="S148" s="245"/>
    </row>
    <row r="149" spans="1:19" ht="17.25" thickBot="1">
      <c r="A149" s="196" t="s">
        <v>297</v>
      </c>
      <c r="B149" s="246" t="s">
        <v>49</v>
      </c>
      <c r="C149" s="248"/>
      <c r="D149" s="246" t="s">
        <v>58</v>
      </c>
      <c r="E149" s="247"/>
      <c r="F149" s="248"/>
      <c r="G149" s="249">
        <f>_xlfn.IFNA(VLOOKUP(B149, 현재가테이블!$B$2:$D$200, 2, FALSE), "-")</f>
        <v>45335000</v>
      </c>
      <c r="H149" s="250"/>
      <c r="I149" s="251"/>
      <c r="J149" s="246" t="s">
        <v>59</v>
      </c>
      <c r="K149" s="247"/>
      <c r="L149" s="248"/>
      <c r="M149" s="252">
        <f>_xlfn.IFNA(VLOOKUP(B149, 현재가테이블!$B$2:$D$200, 3, FALSE), "-")</f>
        <v>-2.27209037E-2</v>
      </c>
      <c r="N149" s="253"/>
      <c r="O149" s="254"/>
      <c r="Q149" s="245"/>
      <c r="R149" s="245"/>
      <c r="S149" s="245"/>
    </row>
    <row r="150" spans="1:19" ht="17.25" thickBot="1">
      <c r="A150" s="290" t="s">
        <v>55</v>
      </c>
      <c r="B150" s="286" t="str">
        <f>TEXT($G$1, "[$-ko-KR]yyyy-mm-dd(ddd) ") &amp; "오전 00:00"</f>
        <v>2021-06-10(목) 오전 00:00</v>
      </c>
      <c r="C150" s="287"/>
      <c r="D150" s="259" t="str">
        <f>TEXT($G$1, "[$-ko-KR]yyyy-mm-dd(ddd) ") &amp; "오후 14:00"</f>
        <v>2021-06-10(목) 오후 14:00</v>
      </c>
      <c r="E150" s="260"/>
      <c r="F150" s="261"/>
      <c r="G150" s="259" t="str">
        <f>TEXT($G$1, "[$-ko-KR]yyyy-mm-dd(ddd) ") &amp; "오후 19:00"</f>
        <v>2021-06-10(목) 오후 19:00</v>
      </c>
      <c r="H150" s="260"/>
      <c r="I150" s="261"/>
      <c r="J150" s="259" t="str">
        <f>TEXT($G$1, "[$-ko-KR]yyyy-mm-dd(ddd) ") &amp; "오후 21:00"</f>
        <v>2021-06-10(목) 오후 21:00</v>
      </c>
      <c r="K150" s="260"/>
      <c r="L150" s="261"/>
      <c r="M150" s="259" t="str">
        <f>TEXT($G$1+1, "[$-ko-KR]yyyy-mm-dd(ddd) ") &amp; "오전 00:00"</f>
        <v>2021-06-11(금) 오전 00:00</v>
      </c>
      <c r="N150" s="260"/>
      <c r="O150" s="261"/>
      <c r="Q150" s="245"/>
      <c r="R150" s="245"/>
      <c r="S150" s="245"/>
    </row>
    <row r="151" spans="1:19" ht="17.25" thickBot="1">
      <c r="A151" s="291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97" t="s">
        <v>58</v>
      </c>
      <c r="H151" s="198" t="s">
        <v>298</v>
      </c>
      <c r="I151" s="199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5"/>
      <c r="R151" s="235"/>
      <c r="S151" s="235"/>
    </row>
    <row r="152" spans="1:19" ht="17.25" thickBot="1">
      <c r="A152" s="161" t="s">
        <v>116</v>
      </c>
      <c r="B152" s="124">
        <v>318</v>
      </c>
      <c r="C152" s="76">
        <v>-2.1538461500000002E-2</v>
      </c>
      <c r="D152" s="13">
        <v>328</v>
      </c>
      <c r="E152" s="14">
        <f>IF(ISNUMBER(D152), (D152 - $B152) / $B152, "")</f>
        <v>3.1446540880503145E-2</v>
      </c>
      <c r="F152" s="16">
        <f>IF(ISNUMBER(D152), $B172 * E152, "")</f>
        <v>3144.6540880503144</v>
      </c>
      <c r="G152" s="29">
        <v>347</v>
      </c>
      <c r="H152" s="14">
        <f>IF(ISNUMBER(G152), (G152 - $B152) / $B152, "")</f>
        <v>9.1194968553459113E-2</v>
      </c>
      <c r="I152" s="100">
        <f>IF(ISNUMBER(G152), $B172 * H152, "")</f>
        <v>9119.4968553459112</v>
      </c>
      <c r="J152" s="13">
        <v>340</v>
      </c>
      <c r="K152" s="14">
        <f>IF(ISNUMBER(J152), (J152 - $B152) / $B152, "")</f>
        <v>6.9182389937106917E-2</v>
      </c>
      <c r="L152" s="16">
        <f>IF(ISNUMBER(J152), $B172 * K152, "")</f>
        <v>6918.2389937106918</v>
      </c>
      <c r="M152" s="29">
        <v>338</v>
      </c>
      <c r="N152" s="14">
        <f>IF(ISNUMBER(M152), (M152 - $B152) / $B152, "")</f>
        <v>6.2893081761006289E-2</v>
      </c>
      <c r="O152" s="16">
        <f>IF(ISNUMBER(M152), $B172 * N152, "")</f>
        <v>6289.3081761006288</v>
      </c>
      <c r="Q152" s="245"/>
      <c r="R152" s="245"/>
      <c r="S152" s="245"/>
    </row>
    <row r="153" spans="1:19" ht="17.25" thickBot="1">
      <c r="A153" s="162" t="s">
        <v>226</v>
      </c>
      <c r="B153" s="126">
        <v>264</v>
      </c>
      <c r="C153" s="77">
        <v>-2.2222222199999999E-2</v>
      </c>
      <c r="D153" s="15">
        <v>273</v>
      </c>
      <c r="E153" s="32">
        <f t="shared" ref="E153:E156" si="78">IF(ISNUMBER(D153), (D153 - $B153) / $B153, "")</f>
        <v>3.4090909090909088E-2</v>
      </c>
      <c r="F153" s="18">
        <f>IF(ISNUMBER(D153), $B172 * E153, "")</f>
        <v>3409.090909090909</v>
      </c>
      <c r="G153" s="31">
        <v>282</v>
      </c>
      <c r="H153" s="32">
        <f t="shared" ref="H153:H156" si="79">IF(ISNUMBER(G153), (G153 - $B153) / $B153, "")</f>
        <v>6.8181818181818177E-2</v>
      </c>
      <c r="I153" s="101">
        <f>IF(ISNUMBER(G153), $B172 * H153, "")</f>
        <v>6818.181818181818</v>
      </c>
      <c r="J153" s="15">
        <v>283</v>
      </c>
      <c r="K153" s="32">
        <f t="shared" ref="K153:K156" si="80">IF(ISNUMBER(J153), (J153 - $B153) / $B153, "")</f>
        <v>7.1969696969696975E-2</v>
      </c>
      <c r="L153" s="18">
        <f>IF(ISNUMBER(J153), $B172 * K153, "")</f>
        <v>7196.9696969696979</v>
      </c>
      <c r="M153" s="31">
        <v>277</v>
      </c>
      <c r="N153" s="32">
        <f t="shared" ref="N153:N156" si="81">IF(ISNUMBER(M153), (M153 - $B153) / $B153, "")</f>
        <v>4.924242424242424E-2</v>
      </c>
      <c r="O153" s="18">
        <f>IF(ISNUMBER(M153), $B172 * N153, "")</f>
        <v>4924.242424242424</v>
      </c>
      <c r="Q153" s="245"/>
      <c r="R153" s="245"/>
      <c r="S153" s="245"/>
    </row>
    <row r="154" spans="1:19" ht="17.25" thickBot="1">
      <c r="A154" s="162" t="s">
        <v>200</v>
      </c>
      <c r="B154" s="126">
        <v>184</v>
      </c>
      <c r="C154" s="77">
        <v>-2.6455026499999999E-2</v>
      </c>
      <c r="D154" s="15">
        <v>198</v>
      </c>
      <c r="E154" s="32">
        <f t="shared" si="78"/>
        <v>7.6086956521739135E-2</v>
      </c>
      <c r="F154" s="18">
        <f>IF(ISNUMBER(D154), $B172 * E154, "")</f>
        <v>7608.6956521739139</v>
      </c>
      <c r="G154" s="31">
        <v>202</v>
      </c>
      <c r="H154" s="32">
        <f t="shared" si="79"/>
        <v>9.7826086956521743E-2</v>
      </c>
      <c r="I154" s="101">
        <f>IF(ISNUMBER(G154), $B172 * H154, "")</f>
        <v>9782.608695652174</v>
      </c>
      <c r="J154" s="15">
        <v>202</v>
      </c>
      <c r="K154" s="32">
        <f t="shared" si="80"/>
        <v>9.7826086956521743E-2</v>
      </c>
      <c r="L154" s="18">
        <f>IF(ISNUMBER(J154), $B172 * K154, "")</f>
        <v>9782.608695652174</v>
      </c>
      <c r="M154" s="31">
        <v>198</v>
      </c>
      <c r="N154" s="32">
        <f t="shared" si="81"/>
        <v>7.6086956521739135E-2</v>
      </c>
      <c r="O154" s="18">
        <f>IF(ISNUMBER(M154), $B172 * N154, "")</f>
        <v>7608.6956521739139</v>
      </c>
      <c r="Q154" s="235"/>
      <c r="R154" s="235"/>
      <c r="S154" s="235"/>
    </row>
    <row r="155" spans="1:19" ht="17.25" thickBot="1">
      <c r="A155" s="162" t="s">
        <v>284</v>
      </c>
      <c r="B155" s="126">
        <v>220</v>
      </c>
      <c r="C155" s="77">
        <v>-2.65486726E-2</v>
      </c>
      <c r="D155" s="15">
        <v>227</v>
      </c>
      <c r="E155" s="32">
        <f t="shared" si="78"/>
        <v>3.1818181818181815E-2</v>
      </c>
      <c r="F155" s="18">
        <f>IF(ISNUMBER(D155), $B172 * E155, "")</f>
        <v>3181.8181818181815</v>
      </c>
      <c r="G155" s="31">
        <v>237</v>
      </c>
      <c r="H155" s="32">
        <f t="shared" si="79"/>
        <v>7.7272727272727271E-2</v>
      </c>
      <c r="I155" s="101">
        <f>IF(ISNUMBER(G155), $B172 * H155, "")</f>
        <v>7727.272727272727</v>
      </c>
      <c r="J155" s="15">
        <v>235</v>
      </c>
      <c r="K155" s="32">
        <f t="shared" si="80"/>
        <v>6.8181818181818177E-2</v>
      </c>
      <c r="L155" s="18">
        <f>IF(ISNUMBER(J155), $B172 * K155, "")</f>
        <v>6818.181818181818</v>
      </c>
      <c r="M155" s="31">
        <v>233</v>
      </c>
      <c r="N155" s="32">
        <f t="shared" si="81"/>
        <v>5.909090909090909E-2</v>
      </c>
      <c r="O155" s="18">
        <f>IF(ISNUMBER(M155), $B172 * N155, "")</f>
        <v>5909.090909090909</v>
      </c>
      <c r="Q155" s="235"/>
      <c r="R155" s="235"/>
      <c r="S155" s="235"/>
    </row>
    <row r="156" spans="1:19" ht="17.25" thickBot="1">
      <c r="A156" s="163" t="s">
        <v>61</v>
      </c>
      <c r="B156" s="128">
        <v>797</v>
      </c>
      <c r="C156" s="78">
        <v>-2.92326431E-2</v>
      </c>
      <c r="D156" s="20">
        <v>830</v>
      </c>
      <c r="E156" s="21">
        <f t="shared" si="78"/>
        <v>4.1405269761606023E-2</v>
      </c>
      <c r="F156" s="22">
        <f>IF(ISNUMBER(D156), $B172 * E156, "")</f>
        <v>4140.5269761606023</v>
      </c>
      <c r="G156" s="30">
        <v>829</v>
      </c>
      <c r="H156" s="21">
        <f t="shared" si="79"/>
        <v>4.0150564617314928E-2</v>
      </c>
      <c r="I156" s="105">
        <f>IF(ISNUMBER(G156), $B172 * H156, "")</f>
        <v>4015.0564617314926</v>
      </c>
      <c r="J156" s="20">
        <v>824</v>
      </c>
      <c r="K156" s="21">
        <f t="shared" si="80"/>
        <v>3.3877038895859475E-2</v>
      </c>
      <c r="L156" s="22">
        <f>IF(ISNUMBER(J156), $B172 * K156, "")</f>
        <v>3387.7038895859473</v>
      </c>
      <c r="M156" s="30">
        <v>817</v>
      </c>
      <c r="N156" s="21">
        <f t="shared" si="81"/>
        <v>2.5094102885821833E-2</v>
      </c>
      <c r="O156" s="22">
        <f>IF(ISNUMBER(M156), $B172 * N156, "")</f>
        <v>2509.4102885821831</v>
      </c>
      <c r="Q156" s="235"/>
      <c r="R156" s="235"/>
      <c r="S156" s="235"/>
    </row>
    <row r="157" spans="1:19" ht="17.25" thickBot="1">
      <c r="A157" s="162" t="s">
        <v>51</v>
      </c>
      <c r="B157" s="129">
        <v>390</v>
      </c>
      <c r="C157" s="80">
        <v>-3.2258064500000003E-2</v>
      </c>
      <c r="D157" s="106">
        <v>409</v>
      </c>
      <c r="E157" s="107">
        <f>IF(ISNUMBER(D157), (D157 - $B157) / $B157, "")</f>
        <v>4.8717948717948718E-2</v>
      </c>
      <c r="F157" s="108">
        <f>IF(ISNUMBER(D157), $B172 * E157, "")</f>
        <v>4871.7948717948721</v>
      </c>
      <c r="G157" s="109">
        <v>403</v>
      </c>
      <c r="H157" s="107">
        <f>IF(ISNUMBER(G157), (G157 - $B157) / $B157, "")</f>
        <v>3.3333333333333333E-2</v>
      </c>
      <c r="I157" s="110">
        <f>IF(ISNUMBER(G157), $B172 * H157, "")</f>
        <v>3333.3333333333335</v>
      </c>
      <c r="J157" s="106">
        <v>404</v>
      </c>
      <c r="K157" s="107">
        <f>IF(ISNUMBER(J157), (J157 - $B157) / $B157, "")</f>
        <v>3.5897435897435895E-2</v>
      </c>
      <c r="L157" s="108">
        <f>IF(ISNUMBER(J157), $B172 * K157, "")</f>
        <v>3589.7435897435894</v>
      </c>
      <c r="M157" s="109">
        <v>396</v>
      </c>
      <c r="N157" s="107">
        <f>IF(ISNUMBER(M157), (M157 - $B157) / $B157, "")</f>
        <v>1.5384615384615385E-2</v>
      </c>
      <c r="O157" s="108">
        <f>IF(ISNUMBER(M157), $B172 * N157, "")</f>
        <v>1538.4615384615386</v>
      </c>
      <c r="Q157" s="235"/>
      <c r="R157" s="235"/>
      <c r="S157" s="235"/>
    </row>
    <row r="158" spans="1:19" ht="17.25" thickBot="1">
      <c r="A158" s="162" t="s">
        <v>258</v>
      </c>
      <c r="B158" s="126">
        <v>419</v>
      </c>
      <c r="C158" s="77">
        <v>-3.4562212000000002E-2</v>
      </c>
      <c r="D158" s="15">
        <v>461</v>
      </c>
      <c r="E158" s="32">
        <f t="shared" ref="E158:E161" si="82">IF(ISNUMBER(D158), (D158 - $B158) / $B158, "")</f>
        <v>0.10023866348448687</v>
      </c>
      <c r="F158" s="18">
        <f>IF(ISNUMBER(D158), $B172 * E158, "")</f>
        <v>10023.866348448688</v>
      </c>
      <c r="G158" s="31">
        <v>456</v>
      </c>
      <c r="H158" s="32">
        <f t="shared" ref="H158:H161" si="83">IF(ISNUMBER(G158), (G158 - $B158) / $B158, "")</f>
        <v>8.83054892601432E-2</v>
      </c>
      <c r="I158" s="101">
        <f>IF(ISNUMBER(G158), $B172 * H158, "")</f>
        <v>8830.5489260143204</v>
      </c>
      <c r="J158" s="15">
        <v>453</v>
      </c>
      <c r="K158" s="32">
        <f t="shared" ref="K158:K161" si="84">IF(ISNUMBER(J158), (J158 - $B158) / $B158, "")</f>
        <v>8.1145584725536998E-2</v>
      </c>
      <c r="L158" s="18">
        <f>IF(ISNUMBER(J158), $B172 * K158, "")</f>
        <v>8114.5584725537001</v>
      </c>
      <c r="M158" s="31">
        <v>446</v>
      </c>
      <c r="N158" s="32">
        <f t="shared" ref="N158:N161" si="85">IF(ISNUMBER(M158), (M158 - $B158) / $B158, "")</f>
        <v>6.4439140811455853E-2</v>
      </c>
      <c r="O158" s="18">
        <f>IF(ISNUMBER(M158), $B172 * N158, "")</f>
        <v>6443.9140811455854</v>
      </c>
      <c r="Q158" s="235"/>
      <c r="R158" s="235"/>
      <c r="S158" s="235"/>
    </row>
    <row r="159" spans="1:19" ht="17.25" thickBot="1">
      <c r="A159" s="162" t="s">
        <v>250</v>
      </c>
      <c r="B159" s="126">
        <v>111</v>
      </c>
      <c r="C159" s="77">
        <v>-3.4782608700000002E-2</v>
      </c>
      <c r="D159" s="15">
        <v>114</v>
      </c>
      <c r="E159" s="32">
        <f t="shared" si="82"/>
        <v>2.7027027027027029E-2</v>
      </c>
      <c r="F159" s="18">
        <f>IF(ISNUMBER(D159), $B172 * E159, "")</f>
        <v>2702.7027027027029</v>
      </c>
      <c r="G159" s="31">
        <v>121</v>
      </c>
      <c r="H159" s="32">
        <f t="shared" si="83"/>
        <v>9.0090090090090086E-2</v>
      </c>
      <c r="I159" s="101">
        <f>IF(ISNUMBER(G159), $B172 * H159, "")</f>
        <v>9009.0090090090089</v>
      </c>
      <c r="J159" s="15">
        <v>120</v>
      </c>
      <c r="K159" s="32">
        <f t="shared" si="84"/>
        <v>8.1081081081081086E-2</v>
      </c>
      <c r="L159" s="18">
        <f>IF(ISNUMBER(J159), $B172 * K159, "")</f>
        <v>8108.1081081081084</v>
      </c>
      <c r="M159" s="31">
        <v>121</v>
      </c>
      <c r="N159" s="32">
        <f t="shared" si="85"/>
        <v>9.0090090090090086E-2</v>
      </c>
      <c r="O159" s="18">
        <f>IF(ISNUMBER(M159), $B172 * N159, "")</f>
        <v>9009.0090090090089</v>
      </c>
      <c r="Q159" s="235"/>
      <c r="R159" s="235"/>
      <c r="S159" s="235"/>
    </row>
    <row r="160" spans="1:19" ht="17.25" thickBot="1">
      <c r="A160" s="162" t="s">
        <v>230</v>
      </c>
      <c r="B160" s="126">
        <v>106</v>
      </c>
      <c r="C160" s="77">
        <v>-3.6363636400000003E-2</v>
      </c>
      <c r="D160" s="15">
        <v>108</v>
      </c>
      <c r="E160" s="32">
        <f t="shared" si="82"/>
        <v>1.8867924528301886E-2</v>
      </c>
      <c r="F160" s="18">
        <f>IF(ISNUMBER(D160), $B172 * E160, "")</f>
        <v>1886.7924528301885</v>
      </c>
      <c r="G160" s="31">
        <v>113</v>
      </c>
      <c r="H160" s="32">
        <f t="shared" si="83"/>
        <v>6.6037735849056603E-2</v>
      </c>
      <c r="I160" s="101">
        <f>IF(ISNUMBER(G160), $B172 * H160, "")</f>
        <v>6603.7735849056598</v>
      </c>
      <c r="J160" s="15">
        <v>112</v>
      </c>
      <c r="K160" s="32">
        <f t="shared" si="84"/>
        <v>5.6603773584905662E-2</v>
      </c>
      <c r="L160" s="18">
        <f>IF(ISNUMBER(J160), $B172 * K160, "")</f>
        <v>5660.3773584905666</v>
      </c>
      <c r="M160" s="31">
        <v>111</v>
      </c>
      <c r="N160" s="32">
        <f t="shared" si="85"/>
        <v>4.716981132075472E-2</v>
      </c>
      <c r="O160" s="18">
        <f>IF(ISNUMBER(M160), $B172 * N160, "")</f>
        <v>4716.9811320754725</v>
      </c>
      <c r="Q160" s="33"/>
      <c r="R160" s="33"/>
    </row>
    <row r="161" spans="1:19" ht="17.25" thickBot="1">
      <c r="A161" s="130" t="s">
        <v>232</v>
      </c>
      <c r="B161" s="131">
        <v>105</v>
      </c>
      <c r="C161" s="79">
        <v>-3.6697247699999998E-2</v>
      </c>
      <c r="D161" s="24">
        <v>111</v>
      </c>
      <c r="E161" s="25">
        <f t="shared" si="82"/>
        <v>5.7142857142857141E-2</v>
      </c>
      <c r="F161" s="104">
        <f>IF(ISNUMBER(D161), $B172 * E161, "")</f>
        <v>5714.2857142857138</v>
      </c>
      <c r="G161" s="102">
        <v>111</v>
      </c>
      <c r="H161" s="25">
        <f t="shared" si="83"/>
        <v>5.7142857142857141E-2</v>
      </c>
      <c r="I161" s="103">
        <f>IF(ISNUMBER(G161), $B172 * H161, "")</f>
        <v>5714.2857142857138</v>
      </c>
      <c r="J161" s="24">
        <v>112</v>
      </c>
      <c r="K161" s="25">
        <f t="shared" si="84"/>
        <v>6.6666666666666666E-2</v>
      </c>
      <c r="L161" s="104">
        <f>IF(ISNUMBER(J161), $B172 * K161, "")</f>
        <v>6666.666666666667</v>
      </c>
      <c r="M161" s="102">
        <v>110</v>
      </c>
      <c r="N161" s="25">
        <f t="shared" si="85"/>
        <v>4.7619047619047616E-2</v>
      </c>
      <c r="O161" s="104">
        <f>IF(ISNUMBER(M161), $B172 * N161, "")</f>
        <v>4761.9047619047615</v>
      </c>
      <c r="Q161" s="236"/>
      <c r="R161" s="237"/>
      <c r="S161" s="238"/>
    </row>
    <row r="162" spans="1:19">
      <c r="A162" s="161" t="s">
        <v>202</v>
      </c>
      <c r="B162" s="124">
        <v>105</v>
      </c>
      <c r="C162" s="76">
        <v>-3.6697247699999998E-2</v>
      </c>
      <c r="D162" s="13">
        <v>109</v>
      </c>
      <c r="E162" s="14">
        <f>IF(ISNUMBER(D162), (D162 - $B162) / $B162, "")</f>
        <v>3.8095238095238099E-2</v>
      </c>
      <c r="F162" s="16">
        <f>IF(ISNUMBER(D162), $B172 * E162, "")</f>
        <v>3809.5238095238101</v>
      </c>
      <c r="G162" s="29">
        <v>114</v>
      </c>
      <c r="H162" s="14">
        <f>IF(ISNUMBER(G162), (G162 - $B162) / $B162, "")</f>
        <v>8.5714285714285715E-2</v>
      </c>
      <c r="I162" s="100">
        <f>IF(ISNUMBER(G162), $B172 * H162, "")</f>
        <v>8571.4285714285706</v>
      </c>
      <c r="J162" s="13">
        <v>116</v>
      </c>
      <c r="K162" s="14">
        <f>IF(ISNUMBER(J162), (J162 - $B162) / $B162, "")</f>
        <v>0.10476190476190476</v>
      </c>
      <c r="L162" s="16">
        <f>IF(ISNUMBER(J162), $B172 * K162, "")</f>
        <v>10476.190476190477</v>
      </c>
      <c r="M162" s="29">
        <v>112</v>
      </c>
      <c r="N162" s="14">
        <f>IF(ISNUMBER(M162), (M162 - $B162) / $B162, "")</f>
        <v>6.6666666666666666E-2</v>
      </c>
      <c r="O162" s="16">
        <f>IF(ISNUMBER(M162), $B172 * N162, "")</f>
        <v>6666.666666666667</v>
      </c>
      <c r="Q162" s="239"/>
      <c r="R162" s="240"/>
      <c r="S162" s="241"/>
    </row>
    <row r="163" spans="1:19" ht="17.25" thickBot="1">
      <c r="A163" s="162" t="s">
        <v>234</v>
      </c>
      <c r="B163" s="126">
        <v>708</v>
      </c>
      <c r="C163" s="77">
        <v>-3.6734693899999997E-2</v>
      </c>
      <c r="D163" s="15">
        <v>729</v>
      </c>
      <c r="E163" s="32">
        <f t="shared" ref="E163:E166" si="86">IF(ISNUMBER(D163), (D163 - $B163) / $B163, "")</f>
        <v>2.9661016949152543E-2</v>
      </c>
      <c r="F163" s="18">
        <f>IF(ISNUMBER(D163), $B172 * E163, "")</f>
        <v>2966.1016949152545</v>
      </c>
      <c r="G163" s="31">
        <v>746</v>
      </c>
      <c r="H163" s="32">
        <f t="shared" ref="H163:H166" si="87">IF(ISNUMBER(G163), (G163 - $B163) / $B163, "")</f>
        <v>5.3672316384180789E-2</v>
      </c>
      <c r="I163" s="101">
        <f>IF(ISNUMBER(G163), $B172 * H163, "")</f>
        <v>5367.2316384180785</v>
      </c>
      <c r="J163" s="15">
        <v>740</v>
      </c>
      <c r="K163" s="32">
        <f t="shared" ref="K163:K166" si="88">IF(ISNUMBER(J163), (J163 - $B163) / $B163, "")</f>
        <v>4.519774011299435E-2</v>
      </c>
      <c r="L163" s="18">
        <f>IF(ISNUMBER(J163), $B172 * K163, "")</f>
        <v>4519.7740112994352</v>
      </c>
      <c r="M163" s="31">
        <v>737</v>
      </c>
      <c r="N163" s="32">
        <f t="shared" ref="N163:N166" si="89">IF(ISNUMBER(M163), (M163 - $B163) / $B163, "")</f>
        <v>4.0960451977401127E-2</v>
      </c>
      <c r="O163" s="18">
        <f>IF(ISNUMBER(M163), $B172 * N163, "")</f>
        <v>4096.0451977401126</v>
      </c>
      <c r="Q163" s="242"/>
      <c r="R163" s="243"/>
      <c r="S163" s="244"/>
    </row>
    <row r="164" spans="1:19" ht="17.25" thickBot="1">
      <c r="A164" s="162" t="s">
        <v>282</v>
      </c>
      <c r="B164" s="126">
        <v>104</v>
      </c>
      <c r="C164" s="77">
        <v>-3.7037037000000002E-2</v>
      </c>
      <c r="D164" s="15">
        <v>107</v>
      </c>
      <c r="E164" s="32">
        <f t="shared" si="86"/>
        <v>2.8846153846153848E-2</v>
      </c>
      <c r="F164" s="18">
        <f>IF(ISNUMBER(D164), $B172 * E164, "")</f>
        <v>2884.6153846153848</v>
      </c>
      <c r="G164" s="31">
        <v>112</v>
      </c>
      <c r="H164" s="32">
        <f t="shared" si="87"/>
        <v>7.6923076923076927E-2</v>
      </c>
      <c r="I164" s="101">
        <f>IF(ISNUMBER(G164), $B172 * H164, "")</f>
        <v>7692.3076923076924</v>
      </c>
      <c r="J164" s="15">
        <v>113</v>
      </c>
      <c r="K164" s="32">
        <f t="shared" si="88"/>
        <v>8.6538461538461536E-2</v>
      </c>
      <c r="L164" s="18">
        <f>IF(ISNUMBER(J164), $B172 * K164, "")</f>
        <v>8653.8461538461543</v>
      </c>
      <c r="M164" s="31">
        <v>111</v>
      </c>
      <c r="N164" s="32">
        <f t="shared" si="89"/>
        <v>6.7307692307692304E-2</v>
      </c>
      <c r="O164" s="18">
        <f>IF(ISNUMBER(M164), $B172 * N164, "")</f>
        <v>6730.7692307692305</v>
      </c>
      <c r="Q164" s="235"/>
      <c r="R164" s="235"/>
      <c r="S164" s="235"/>
    </row>
    <row r="165" spans="1:19" ht="17.25" thickBot="1">
      <c r="A165" s="162" t="s">
        <v>252</v>
      </c>
      <c r="B165" s="126">
        <v>277</v>
      </c>
      <c r="C165" s="77">
        <v>-3.8194444399999999E-2</v>
      </c>
      <c r="D165" s="15">
        <v>286</v>
      </c>
      <c r="E165" s="32">
        <f t="shared" si="86"/>
        <v>3.2490974729241874E-2</v>
      </c>
      <c r="F165" s="18">
        <f>IF(ISNUMBER(D165), $B172 * E165, "")</f>
        <v>3249.0974729241875</v>
      </c>
      <c r="G165" s="31">
        <v>293</v>
      </c>
      <c r="H165" s="32">
        <f t="shared" si="87"/>
        <v>5.7761732851985562E-2</v>
      </c>
      <c r="I165" s="101">
        <f>IF(ISNUMBER(G165), $B172 * H165, "")</f>
        <v>5776.1732851985562</v>
      </c>
      <c r="J165" s="15">
        <v>290</v>
      </c>
      <c r="K165" s="32">
        <f t="shared" si="88"/>
        <v>4.6931407942238268E-2</v>
      </c>
      <c r="L165" s="18">
        <f>IF(ISNUMBER(J165), $B172 * K165, "")</f>
        <v>4693.1407942238266</v>
      </c>
      <c r="M165" s="31">
        <v>288</v>
      </c>
      <c r="N165" s="32">
        <f t="shared" si="89"/>
        <v>3.9711191335740074E-2</v>
      </c>
      <c r="O165" s="18">
        <f>IF(ISNUMBER(M165), $B172 * N165, "")</f>
        <v>3971.1191335740073</v>
      </c>
      <c r="Q165" s="245"/>
      <c r="R165" s="245"/>
      <c r="S165" s="245"/>
    </row>
    <row r="166" spans="1:19" ht="17.25" thickBot="1">
      <c r="A166" s="163" t="s">
        <v>182</v>
      </c>
      <c r="B166" s="128">
        <v>266</v>
      </c>
      <c r="C166" s="78">
        <v>-3.9711191299999997E-2</v>
      </c>
      <c r="D166" s="20">
        <v>272</v>
      </c>
      <c r="E166" s="21">
        <f t="shared" si="86"/>
        <v>2.2556390977443608E-2</v>
      </c>
      <c r="F166" s="22">
        <f>IF(ISNUMBER(D166), $B172 * E166, "")</f>
        <v>2255.6390977443607</v>
      </c>
      <c r="G166" s="30">
        <v>275</v>
      </c>
      <c r="H166" s="21">
        <f t="shared" si="87"/>
        <v>3.3834586466165412E-2</v>
      </c>
      <c r="I166" s="105">
        <f>IF(ISNUMBER(G166), $B172 * H166, "")</f>
        <v>3383.458646616541</v>
      </c>
      <c r="J166" s="20">
        <v>274</v>
      </c>
      <c r="K166" s="21">
        <f t="shared" si="88"/>
        <v>3.007518796992481E-2</v>
      </c>
      <c r="L166" s="22">
        <f>IF(ISNUMBER(J166), $B172 * K166, "")</f>
        <v>3007.5187969924809</v>
      </c>
      <c r="M166" s="30">
        <v>274</v>
      </c>
      <c r="N166" s="21">
        <f t="shared" si="89"/>
        <v>3.007518796992481E-2</v>
      </c>
      <c r="O166" s="22">
        <f>IF(ISNUMBER(M166), $B172 * N166, "")</f>
        <v>3007.5187969924809</v>
      </c>
      <c r="Q166" s="245"/>
      <c r="R166" s="245"/>
      <c r="S166" s="245"/>
    </row>
    <row r="167" spans="1:19" ht="17.25" thickBot="1">
      <c r="A167" s="162" t="s">
        <v>170</v>
      </c>
      <c r="B167" s="129">
        <v>261</v>
      </c>
      <c r="C167" s="80">
        <v>-4.0441176500000002E-2</v>
      </c>
      <c r="D167" s="106">
        <v>272</v>
      </c>
      <c r="E167" s="107">
        <f>IF(ISNUMBER(D167), (D167 - $B167) / $B167, "")</f>
        <v>4.2145593869731802E-2</v>
      </c>
      <c r="F167" s="108">
        <f>IF(ISNUMBER(D167), $B172 * E167, "")</f>
        <v>4214.5593869731802</v>
      </c>
      <c r="G167" s="109">
        <v>277</v>
      </c>
      <c r="H167" s="107">
        <f>IF(ISNUMBER(G167), (G167 - $B167) / $B167, "")</f>
        <v>6.1302681992337162E-2</v>
      </c>
      <c r="I167" s="110">
        <f>IF(ISNUMBER(G167), $B172 * H167, "")</f>
        <v>6130.2681992337166</v>
      </c>
      <c r="J167" s="106">
        <v>277</v>
      </c>
      <c r="K167" s="107">
        <f>IF(ISNUMBER(J167), (J167 - $B167) / $B167, "")</f>
        <v>6.1302681992337162E-2</v>
      </c>
      <c r="L167" s="108">
        <f>IF(ISNUMBER(J167), $B172 * K167, "")</f>
        <v>6130.2681992337166</v>
      </c>
      <c r="M167" s="109">
        <v>270</v>
      </c>
      <c r="N167" s="107">
        <f>IF(ISNUMBER(M167), (M167 - $B167) / $B167, "")</f>
        <v>3.4482758620689655E-2</v>
      </c>
      <c r="O167" s="108">
        <f>IF(ISNUMBER(M167), $B172 * N167, "")</f>
        <v>3448.2758620689656</v>
      </c>
      <c r="Q167" s="235"/>
      <c r="R167" s="235"/>
      <c r="S167" s="235"/>
    </row>
    <row r="168" spans="1:19" ht="17.25" thickBot="1">
      <c r="A168" s="162" t="s">
        <v>112</v>
      </c>
      <c r="B168" s="126">
        <v>173</v>
      </c>
      <c r="C168" s="77">
        <v>-4.4198895000000002E-2</v>
      </c>
      <c r="D168" s="15">
        <v>174</v>
      </c>
      <c r="E168" s="32">
        <f t="shared" ref="E168:E171" si="90">IF(ISNUMBER(D168), (D168 - $B168) / $B168, "")</f>
        <v>5.7803468208092483E-3</v>
      </c>
      <c r="F168" s="18">
        <f>IF(ISNUMBER(D168), $B172 * E168, "")</f>
        <v>578.03468208092488</v>
      </c>
      <c r="G168" s="31">
        <v>177</v>
      </c>
      <c r="H168" s="32">
        <f t="shared" ref="H168:H171" si="91">IF(ISNUMBER(G168), (G168 - $B168) / $B168, "")</f>
        <v>2.3121387283236993E-2</v>
      </c>
      <c r="I168" s="101">
        <f>IF(ISNUMBER(G168), $B172 * H168, "")</f>
        <v>2312.1387283236995</v>
      </c>
      <c r="J168" s="15">
        <v>175</v>
      </c>
      <c r="K168" s="32">
        <f t="shared" ref="K168:K171" si="92">IF(ISNUMBER(J168), (J168 - $B168) / $B168, "")</f>
        <v>1.1560693641618497E-2</v>
      </c>
      <c r="L168" s="18">
        <f>IF(ISNUMBER(J168), $B172 * K168, "")</f>
        <v>1156.0693641618498</v>
      </c>
      <c r="M168" s="31">
        <v>175</v>
      </c>
      <c r="N168" s="32">
        <f t="shared" ref="N168:N171" si="93">IF(ISNUMBER(M168), (M168 - $B168) / $B168, "")</f>
        <v>1.1560693641618497E-2</v>
      </c>
      <c r="O168" s="18">
        <f>IF(ISNUMBER(M168), $B172 * N168, "")</f>
        <v>1156.0693641618498</v>
      </c>
      <c r="Q168" s="235"/>
      <c r="R168" s="235"/>
      <c r="S168" s="235"/>
    </row>
    <row r="169" spans="1:19" ht="17.25" thickBot="1">
      <c r="A169" s="162" t="s">
        <v>54</v>
      </c>
      <c r="B169" s="126">
        <v>237</v>
      </c>
      <c r="C169" s="77">
        <v>-4.4354838700000003E-2</v>
      </c>
      <c r="D169" s="15">
        <v>241</v>
      </c>
      <c r="E169" s="32">
        <f t="shared" si="90"/>
        <v>1.6877637130801686E-2</v>
      </c>
      <c r="F169" s="18">
        <f>IF(ISNUMBER(D169), $B172 * E169, "")</f>
        <v>1687.7637130801686</v>
      </c>
      <c r="G169" s="31">
        <v>241</v>
      </c>
      <c r="H169" s="32">
        <f t="shared" si="91"/>
        <v>1.6877637130801686E-2</v>
      </c>
      <c r="I169" s="101">
        <f>IF(ISNUMBER(G169), $B172 * H169, "")</f>
        <v>1687.7637130801686</v>
      </c>
      <c r="J169" s="15">
        <v>240</v>
      </c>
      <c r="K169" s="32">
        <f t="shared" si="92"/>
        <v>1.2658227848101266E-2</v>
      </c>
      <c r="L169" s="18">
        <f>IF(ISNUMBER(J169), $B172 * K169, "")</f>
        <v>1265.8227848101264</v>
      </c>
      <c r="M169" s="31">
        <v>237</v>
      </c>
      <c r="N169" s="32">
        <f t="shared" si="93"/>
        <v>0</v>
      </c>
      <c r="O169" s="18">
        <f>IF(ISNUMBER(M169), $B172 * N169, "")</f>
        <v>0</v>
      </c>
      <c r="Q169" s="235"/>
      <c r="R169" s="235"/>
      <c r="S169" s="235"/>
    </row>
    <row r="170" spans="1:19">
      <c r="A170" s="162" t="s">
        <v>208</v>
      </c>
      <c r="B170" s="126">
        <v>264</v>
      </c>
      <c r="C170" s="77">
        <v>-4.69314079E-2</v>
      </c>
      <c r="D170" s="15">
        <v>282</v>
      </c>
      <c r="E170" s="32">
        <f t="shared" si="90"/>
        <v>6.8181818181818177E-2</v>
      </c>
      <c r="F170" s="18">
        <f>IF(ISNUMBER(D170), $B172 * E170, "")</f>
        <v>6818.181818181818</v>
      </c>
      <c r="G170" s="31">
        <v>284</v>
      </c>
      <c r="H170" s="32">
        <f t="shared" si="91"/>
        <v>7.575757575757576E-2</v>
      </c>
      <c r="I170" s="101">
        <f>IF(ISNUMBER(G170), $B172 * H170, "")</f>
        <v>7575.757575757576</v>
      </c>
      <c r="J170" s="15">
        <v>285</v>
      </c>
      <c r="K170" s="32">
        <f t="shared" si="92"/>
        <v>7.9545454545454544E-2</v>
      </c>
      <c r="L170" s="18">
        <f>IF(ISNUMBER(J170), $B172 * K170, "")</f>
        <v>7954.545454545454</v>
      </c>
      <c r="M170" s="31">
        <v>280</v>
      </c>
      <c r="N170" s="32">
        <f t="shared" si="93"/>
        <v>6.0606060606060608E-2</v>
      </c>
      <c r="O170" s="18">
        <f>IF(ISNUMBER(M170), $B172 * N170, "")</f>
        <v>6060.606060606061</v>
      </c>
      <c r="Q170" s="224"/>
      <c r="R170" s="225"/>
      <c r="S170" s="226"/>
    </row>
    <row r="171" spans="1:19" ht="17.25" thickBot="1">
      <c r="A171" s="130" t="s">
        <v>216</v>
      </c>
      <c r="B171" s="131">
        <v>248</v>
      </c>
      <c r="C171" s="79">
        <v>-4.9808429100000003E-2</v>
      </c>
      <c r="D171" s="24">
        <v>278</v>
      </c>
      <c r="E171" s="25">
        <f t="shared" si="90"/>
        <v>0.12096774193548387</v>
      </c>
      <c r="F171" s="104">
        <f>IF(ISNUMBER(D171), $B172 * E171, "")</f>
        <v>12096.774193548388</v>
      </c>
      <c r="G171" s="102">
        <v>276</v>
      </c>
      <c r="H171" s="25">
        <f t="shared" si="91"/>
        <v>0.11290322580645161</v>
      </c>
      <c r="I171" s="103">
        <f>IF(ISNUMBER(G171), $B172 * H171, "")</f>
        <v>11290.322580645161</v>
      </c>
      <c r="J171" s="24">
        <v>287</v>
      </c>
      <c r="K171" s="25">
        <f t="shared" si="92"/>
        <v>0.15725806451612903</v>
      </c>
      <c r="L171" s="104">
        <f>IF(ISNUMBER(J171), $B172 * K171, "")</f>
        <v>15725.806451612903</v>
      </c>
      <c r="M171" s="102">
        <v>283</v>
      </c>
      <c r="N171" s="25">
        <f t="shared" si="93"/>
        <v>0.14112903225806453</v>
      </c>
      <c r="O171" s="104">
        <f>IF(ISNUMBER(M171), $B172 * N171, "")</f>
        <v>14112.903225806453</v>
      </c>
      <c r="Q171" s="227"/>
      <c r="R171" s="228"/>
      <c r="S171" s="229"/>
    </row>
    <row r="172" spans="1:19" ht="17.25" thickBot="1">
      <c r="A172" s="132" t="s">
        <v>300</v>
      </c>
      <c r="B172" s="288">
        <f>$B$37</f>
        <v>100000</v>
      </c>
      <c r="C172" s="289"/>
      <c r="D172" s="26" t="s">
        <v>301</v>
      </c>
      <c r="E172" s="27">
        <f>IF(COUNT(E152:E171), SUM(E152:E171) / COUNT(E152:E171), 0)</f>
        <v>4.3622259575471792E-2</v>
      </c>
      <c r="F172" s="28">
        <f>SUM(F152:F171)</f>
        <v>87244.519150943554</v>
      </c>
      <c r="G172" s="26" t="s">
        <v>301</v>
      </c>
      <c r="H172" s="27">
        <f>IF(COUNT(H152:H171), SUM(H152:H171) / COUNT(H152:H171), 0)</f>
        <v>6.5370208878370958E-2</v>
      </c>
      <c r="I172" s="28">
        <f>SUM(I152:I171)</f>
        <v>130740.41775674191</v>
      </c>
      <c r="J172" s="26" t="s">
        <v>301</v>
      </c>
      <c r="K172" s="27">
        <f>IF(COUNT(K152:K171), SUM(K152:K171) / COUNT(K152:K171), 0)</f>
        <v>6.4913069888289696E-2</v>
      </c>
      <c r="L172" s="28">
        <f>SUM(L152:L171)</f>
        <v>129826.1397765794</v>
      </c>
      <c r="M172" s="26" t="s">
        <v>301</v>
      </c>
      <c r="N172" s="27">
        <f>IF(COUNT(N152:N171), SUM(N152:N171) / COUNT(N152:N171), 0)</f>
        <v>5.1480495755586123E-2</v>
      </c>
      <c r="O172" s="28">
        <f>SUM(O152:O171)</f>
        <v>102960.99151117225</v>
      </c>
      <c r="Q172" s="230"/>
      <c r="R172" s="231"/>
      <c r="S172" s="232"/>
    </row>
    <row r="174" spans="1:19" ht="17.25" thickBot="1"/>
    <row r="175" spans="1:19" ht="17.25" thickBot="1">
      <c r="A175" s="246" t="s">
        <v>285</v>
      </c>
      <c r="B175" s="247"/>
      <c r="C175" s="247"/>
      <c r="D175" s="247"/>
      <c r="E175" s="247"/>
      <c r="F175" s="247"/>
      <c r="G175" s="247"/>
      <c r="H175" s="247"/>
      <c r="I175" s="247"/>
      <c r="J175" s="247"/>
      <c r="K175" s="247"/>
      <c r="L175" s="247"/>
      <c r="M175" s="247"/>
      <c r="N175" s="247"/>
      <c r="O175" s="248"/>
      <c r="Q175" s="245"/>
      <c r="R175" s="245"/>
      <c r="S175" s="245"/>
    </row>
    <row r="176" spans="1:19" ht="17.25" thickBot="1">
      <c r="A176" s="196" t="s">
        <v>297</v>
      </c>
      <c r="B176" s="246" t="s">
        <v>49</v>
      </c>
      <c r="C176" s="248"/>
      <c r="D176" s="246" t="s">
        <v>58</v>
      </c>
      <c r="E176" s="247"/>
      <c r="F176" s="248"/>
      <c r="G176" s="249">
        <f>_xlfn.IFNA(VLOOKUP(B176, 현재가테이블!$B$2:$D$200, 2, FALSE), "-")</f>
        <v>45335000</v>
      </c>
      <c r="H176" s="250"/>
      <c r="I176" s="251"/>
      <c r="J176" s="246" t="s">
        <v>59</v>
      </c>
      <c r="K176" s="247"/>
      <c r="L176" s="248"/>
      <c r="M176" s="252">
        <f>_xlfn.IFNA(VLOOKUP(B176, 현재가테이블!$B$2:$D$200, 3, FALSE), "-")</f>
        <v>-2.27209037E-2</v>
      </c>
      <c r="N176" s="253"/>
      <c r="O176" s="254"/>
      <c r="Q176" s="245"/>
      <c r="R176" s="245"/>
      <c r="S176" s="245"/>
    </row>
    <row r="177" spans="1:19" ht="17.25" thickBot="1">
      <c r="A177" s="290" t="s">
        <v>55</v>
      </c>
      <c r="B177" s="286" t="str">
        <f>TEXT($G$1, "[$-ko-KR]yyyy-mm-dd(ddd) ") &amp; "오전 00:00"</f>
        <v>2021-06-10(목) 오전 00:00</v>
      </c>
      <c r="C177" s="287"/>
      <c r="D177" s="259" t="str">
        <f>TEXT($G$1, "[$-ko-KR]yyyy-mm-dd(ddd) ") &amp; "오후 14:00"</f>
        <v>2021-06-10(목) 오후 14:00</v>
      </c>
      <c r="E177" s="260"/>
      <c r="F177" s="261"/>
      <c r="G177" s="259" t="str">
        <f>TEXT($G$1, "[$-ko-KR]yyyy-mm-dd(ddd) ") &amp; "오후 19:00"</f>
        <v>2021-06-10(목) 오후 19:00</v>
      </c>
      <c r="H177" s="260"/>
      <c r="I177" s="261"/>
      <c r="J177" s="259" t="str">
        <f>TEXT($G$1, "[$-ko-KR]yyyy-mm-dd(ddd) ") &amp; "오후 21:00"</f>
        <v>2021-06-10(목) 오후 21:00</v>
      </c>
      <c r="K177" s="260"/>
      <c r="L177" s="261"/>
      <c r="M177" s="259" t="str">
        <f>TEXT($G$1+1, "[$-ko-KR]yyyy-mm-dd(ddd) ") &amp; "오전 00:00"</f>
        <v>2021-06-11(금) 오전 00:00</v>
      </c>
      <c r="N177" s="260"/>
      <c r="O177" s="261"/>
      <c r="Q177" s="245"/>
      <c r="R177" s="245"/>
      <c r="S177" s="245"/>
    </row>
    <row r="178" spans="1:19" ht="17.25" thickBot="1">
      <c r="A178" s="291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97" t="s">
        <v>58</v>
      </c>
      <c r="H178" s="198" t="s">
        <v>298</v>
      </c>
      <c r="I178" s="199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5"/>
      <c r="R178" s="235"/>
      <c r="S178" s="235"/>
    </row>
    <row r="179" spans="1:19" ht="17.25" thickBot="1">
      <c r="A179" s="161" t="s">
        <v>170</v>
      </c>
      <c r="B179" s="124">
        <v>261</v>
      </c>
      <c r="C179" s="76">
        <v>-4.0441176500000002E-2</v>
      </c>
      <c r="D179" s="13">
        <v>272</v>
      </c>
      <c r="E179" s="14">
        <f>IF(ISNUMBER(D179), (D179 - $B179) / $B179, "")</f>
        <v>4.2145593869731802E-2</v>
      </c>
      <c r="F179" s="16">
        <f>IF(ISNUMBER(D179), $B199 * E179, "")</f>
        <v>4214.5593869731802</v>
      </c>
      <c r="G179" s="29">
        <v>277</v>
      </c>
      <c r="H179" s="14">
        <f>IF(ISNUMBER(G179), (G179 - $B179) / $B179, "")</f>
        <v>6.1302681992337162E-2</v>
      </c>
      <c r="I179" s="100">
        <f>IF(ISNUMBER(G179), $B199 * H179, "")</f>
        <v>6130.2681992337166</v>
      </c>
      <c r="J179" s="13">
        <v>277</v>
      </c>
      <c r="K179" s="14">
        <f>IF(ISNUMBER(J179), (J179 - $B179) / $B179, "")</f>
        <v>6.1302681992337162E-2</v>
      </c>
      <c r="L179" s="16">
        <f>IF(ISNUMBER(J179), $B199 * K179, "")</f>
        <v>6130.2681992337166</v>
      </c>
      <c r="M179" s="29">
        <v>270</v>
      </c>
      <c r="N179" s="14">
        <f>IF(ISNUMBER(M179), (M179 - $B179) / $B179, "")</f>
        <v>3.4482758620689655E-2</v>
      </c>
      <c r="O179" s="16">
        <f>IF(ISNUMBER(M179), $B199 * N179, "")</f>
        <v>3448.2758620689656</v>
      </c>
      <c r="Q179" s="245"/>
      <c r="R179" s="245"/>
      <c r="S179" s="245"/>
    </row>
    <row r="180" spans="1:19" ht="17.25" thickBot="1">
      <c r="A180" s="162" t="s">
        <v>198</v>
      </c>
      <c r="B180" s="126">
        <v>14</v>
      </c>
      <c r="C180" s="77">
        <v>-4.1095890400000001E-2</v>
      </c>
      <c r="D180" s="15">
        <v>14.7</v>
      </c>
      <c r="E180" s="32">
        <f t="shared" ref="E180:E183" si="94">IF(ISNUMBER(D180), (D180 - $B180) / $B180, "")</f>
        <v>4.9999999999999947E-2</v>
      </c>
      <c r="F180" s="18">
        <f>IF(ISNUMBER(D180), $B199 * E180, "")</f>
        <v>4999.9999999999945</v>
      </c>
      <c r="G180" s="31">
        <v>15.3</v>
      </c>
      <c r="H180" s="32">
        <f t="shared" ref="H180:H183" si="95">IF(ISNUMBER(G180), (G180 - $B180) / $B180, "")</f>
        <v>9.2857142857142902E-2</v>
      </c>
      <c r="I180" s="101">
        <f>IF(ISNUMBER(G180), $B199 * H180, "")</f>
        <v>9285.7142857142899</v>
      </c>
      <c r="J180" s="15">
        <v>15.4</v>
      </c>
      <c r="K180" s="32">
        <f t="shared" ref="K180:K183" si="96">IF(ISNUMBER(J180), (J180 - $B180) / $B180, "")</f>
        <v>0.10000000000000002</v>
      </c>
      <c r="L180" s="18">
        <f>IF(ISNUMBER(J180), $B199 * K180, "")</f>
        <v>10000.000000000002</v>
      </c>
      <c r="M180" s="31">
        <v>15.3</v>
      </c>
      <c r="N180" s="32">
        <f t="shared" ref="N180:N183" si="97">IF(ISNUMBER(M180), (M180 - $B180) / $B180, "")</f>
        <v>9.2857142857142902E-2</v>
      </c>
      <c r="O180" s="18">
        <f>IF(ISNUMBER(M180), $B199 * N180, "")</f>
        <v>9285.7142857142899</v>
      </c>
      <c r="Q180" s="245"/>
      <c r="R180" s="245"/>
      <c r="S180" s="245"/>
    </row>
    <row r="181" spans="1:19" ht="17.25" thickBot="1">
      <c r="A181" s="162" t="s">
        <v>144</v>
      </c>
      <c r="B181" s="126">
        <v>5925</v>
      </c>
      <c r="C181" s="77">
        <v>-4.1262135899999997E-2</v>
      </c>
      <c r="D181" s="15">
        <v>6195</v>
      </c>
      <c r="E181" s="32">
        <f t="shared" si="94"/>
        <v>4.5569620253164557E-2</v>
      </c>
      <c r="F181" s="18">
        <f>IF(ISNUMBER(D181), $B199 * E181, "")</f>
        <v>4556.9620253164558</v>
      </c>
      <c r="G181" s="31">
        <v>6175</v>
      </c>
      <c r="H181" s="32">
        <f t="shared" si="95"/>
        <v>4.2194092827004218E-2</v>
      </c>
      <c r="I181" s="101">
        <f>IF(ISNUMBER(G181), $B199 * H181, "")</f>
        <v>4219.4092827004215</v>
      </c>
      <c r="J181" s="15">
        <v>6160</v>
      </c>
      <c r="K181" s="32">
        <f t="shared" si="96"/>
        <v>3.9662447257383965E-2</v>
      </c>
      <c r="L181" s="18">
        <f>IF(ISNUMBER(J181), $B199 * K181, "")</f>
        <v>3966.2447257383965</v>
      </c>
      <c r="M181" s="31">
        <v>6045</v>
      </c>
      <c r="N181" s="32">
        <f t="shared" si="97"/>
        <v>2.0253164556962026E-2</v>
      </c>
      <c r="O181" s="18">
        <f>IF(ISNUMBER(M181), $B199 * N181, "")</f>
        <v>2025.3164556962026</v>
      </c>
      <c r="Q181" s="235"/>
      <c r="R181" s="235"/>
      <c r="S181" s="235"/>
    </row>
    <row r="182" spans="1:19" ht="17.25" thickBot="1">
      <c r="A182" s="162" t="s">
        <v>268</v>
      </c>
      <c r="B182" s="126">
        <v>44.7</v>
      </c>
      <c r="C182" s="77">
        <v>-4.2826552499999997E-2</v>
      </c>
      <c r="D182" s="15">
        <v>51.8</v>
      </c>
      <c r="E182" s="32">
        <f t="shared" si="94"/>
        <v>0.15883668903803119</v>
      </c>
      <c r="F182" s="18">
        <f>IF(ISNUMBER(D182), $B199 * E182, "")</f>
        <v>15883.66890380312</v>
      </c>
      <c r="G182" s="31">
        <v>53.1</v>
      </c>
      <c r="H182" s="32">
        <f t="shared" si="95"/>
        <v>0.18791946308724827</v>
      </c>
      <c r="I182" s="101">
        <f>IF(ISNUMBER(G182), $B199 * H182, "")</f>
        <v>18791.946308724826</v>
      </c>
      <c r="J182" s="15">
        <v>52.3</v>
      </c>
      <c r="K182" s="32">
        <f t="shared" si="96"/>
        <v>0.17002237136465312</v>
      </c>
      <c r="L182" s="18">
        <f>IF(ISNUMBER(J182), $B199 * K182, "")</f>
        <v>17002.237136465312</v>
      </c>
      <c r="M182" s="31">
        <v>50.3</v>
      </c>
      <c r="N182" s="32">
        <f t="shared" si="97"/>
        <v>0.12527964205816541</v>
      </c>
      <c r="O182" s="18">
        <f>IF(ISNUMBER(M182), $B199 * N182, "")</f>
        <v>12527.964205816541</v>
      </c>
      <c r="Q182" s="235"/>
      <c r="R182" s="235"/>
      <c r="S182" s="235"/>
    </row>
    <row r="183" spans="1:19" ht="17.25" thickBot="1">
      <c r="A183" s="163" t="s">
        <v>122</v>
      </c>
      <c r="B183" s="128">
        <v>55.4</v>
      </c>
      <c r="C183" s="78">
        <v>-4.3177892900000001E-2</v>
      </c>
      <c r="D183" s="20">
        <v>66.5</v>
      </c>
      <c r="E183" s="21">
        <f t="shared" si="94"/>
        <v>0.20036101083032495</v>
      </c>
      <c r="F183" s="22">
        <f>IF(ISNUMBER(D183), $B199 * E183, "")</f>
        <v>20036.101083032496</v>
      </c>
      <c r="G183" s="30">
        <v>76</v>
      </c>
      <c r="H183" s="21">
        <f t="shared" si="95"/>
        <v>0.37184115523465705</v>
      </c>
      <c r="I183" s="105">
        <f>IF(ISNUMBER(G183), $B199 * H183, "")</f>
        <v>37184.115523465705</v>
      </c>
      <c r="J183" s="20">
        <v>74.599999999999994</v>
      </c>
      <c r="K183" s="21">
        <f t="shared" si="96"/>
        <v>0.34657039711191329</v>
      </c>
      <c r="L183" s="22">
        <f>IF(ISNUMBER(J183), $B199 * K183, "")</f>
        <v>34657.039711191326</v>
      </c>
      <c r="M183" s="30">
        <v>70.400000000000006</v>
      </c>
      <c r="N183" s="21">
        <f t="shared" si="97"/>
        <v>0.27075812274368244</v>
      </c>
      <c r="O183" s="22">
        <f>IF(ISNUMBER(M183), $B199 * N183, "")</f>
        <v>27075.812274368243</v>
      </c>
      <c r="Q183" s="235"/>
      <c r="R183" s="235"/>
      <c r="S183" s="235"/>
    </row>
    <row r="184" spans="1:19" ht="17.25" thickBot="1">
      <c r="A184" s="162" t="s">
        <v>112</v>
      </c>
      <c r="B184" s="129">
        <v>173</v>
      </c>
      <c r="C184" s="80">
        <v>-4.4198895000000002E-2</v>
      </c>
      <c r="D184" s="106">
        <v>174</v>
      </c>
      <c r="E184" s="107">
        <f>IF(ISNUMBER(D184), (D184 - $B184) / $B184, "")</f>
        <v>5.7803468208092483E-3</v>
      </c>
      <c r="F184" s="108">
        <f>IF(ISNUMBER(D184), $B199 * E184, "")</f>
        <v>578.03468208092488</v>
      </c>
      <c r="G184" s="109">
        <v>177</v>
      </c>
      <c r="H184" s="107">
        <f>IF(ISNUMBER(G184), (G184 - $B184) / $B184, "")</f>
        <v>2.3121387283236993E-2</v>
      </c>
      <c r="I184" s="110">
        <f>IF(ISNUMBER(G184), $B199 * H184, "")</f>
        <v>2312.1387283236995</v>
      </c>
      <c r="J184" s="106">
        <v>175</v>
      </c>
      <c r="K184" s="107">
        <f>IF(ISNUMBER(J184), (J184 - $B184) / $B184, "")</f>
        <v>1.1560693641618497E-2</v>
      </c>
      <c r="L184" s="108">
        <f>IF(ISNUMBER(J184), $B199 * K184, "")</f>
        <v>1156.0693641618498</v>
      </c>
      <c r="M184" s="109">
        <v>175</v>
      </c>
      <c r="N184" s="107">
        <f>IF(ISNUMBER(M184), (M184 - $B184) / $B184, "")</f>
        <v>1.1560693641618497E-2</v>
      </c>
      <c r="O184" s="108">
        <f>IF(ISNUMBER(M184), $B199 * N184, "")</f>
        <v>1156.0693641618498</v>
      </c>
      <c r="Q184" s="235"/>
      <c r="R184" s="235"/>
      <c r="S184" s="235"/>
    </row>
    <row r="185" spans="1:19" ht="17.25" thickBot="1">
      <c r="A185" s="162" t="s">
        <v>54</v>
      </c>
      <c r="B185" s="126">
        <v>237</v>
      </c>
      <c r="C185" s="77">
        <v>-4.4354838700000003E-2</v>
      </c>
      <c r="D185" s="15">
        <v>241</v>
      </c>
      <c r="E185" s="32">
        <f t="shared" ref="E185:E188" si="98">IF(ISNUMBER(D185), (D185 - $B185) / $B185, "")</f>
        <v>1.6877637130801686E-2</v>
      </c>
      <c r="F185" s="18">
        <f>IF(ISNUMBER(D185), $B199 * E185, "")</f>
        <v>1687.7637130801686</v>
      </c>
      <c r="G185" s="31">
        <v>241</v>
      </c>
      <c r="H185" s="32">
        <f t="shared" ref="H185:H188" si="99">IF(ISNUMBER(G185), (G185 - $B185) / $B185, "")</f>
        <v>1.6877637130801686E-2</v>
      </c>
      <c r="I185" s="101">
        <f>IF(ISNUMBER(G185), $B199 * H185, "")</f>
        <v>1687.7637130801686</v>
      </c>
      <c r="J185" s="15">
        <v>240</v>
      </c>
      <c r="K185" s="32">
        <f t="shared" ref="K185:K188" si="100">IF(ISNUMBER(J185), (J185 - $B185) / $B185, "")</f>
        <v>1.2658227848101266E-2</v>
      </c>
      <c r="L185" s="18">
        <f>IF(ISNUMBER(J185), $B199 * K185, "")</f>
        <v>1265.8227848101264</v>
      </c>
      <c r="M185" s="31">
        <v>237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35"/>
      <c r="R185" s="235"/>
      <c r="S185" s="235"/>
    </row>
    <row r="186" spans="1:19" ht="17.25" thickBot="1">
      <c r="A186" s="162" t="s">
        <v>212</v>
      </c>
      <c r="B186" s="126">
        <v>63.8</v>
      </c>
      <c r="C186" s="77">
        <v>-4.4910179600000003E-2</v>
      </c>
      <c r="D186" s="15">
        <v>67.900000000000006</v>
      </c>
      <c r="E186" s="32">
        <f t="shared" si="98"/>
        <v>6.426332288401268E-2</v>
      </c>
      <c r="F186" s="18">
        <f>IF(ISNUMBER(D186), $B199 * E186, "")</f>
        <v>6426.3322884012678</v>
      </c>
      <c r="G186" s="31">
        <v>72.3</v>
      </c>
      <c r="H186" s="32">
        <f t="shared" si="99"/>
        <v>0.13322884012539185</v>
      </c>
      <c r="I186" s="101">
        <f>IF(ISNUMBER(G186), $B199 * H186, "")</f>
        <v>13322.884012539185</v>
      </c>
      <c r="J186" s="15">
        <v>71.7</v>
      </c>
      <c r="K186" s="32">
        <f t="shared" si="100"/>
        <v>0.1238244514106584</v>
      </c>
      <c r="L186" s="18">
        <f>IF(ISNUMBER(J186), $B199 * K186, "")</f>
        <v>12382.44514106584</v>
      </c>
      <c r="M186" s="31">
        <v>68.900000000000006</v>
      </c>
      <c r="N186" s="32">
        <f t="shared" si="101"/>
        <v>7.9937304075235249E-2</v>
      </c>
      <c r="O186" s="18">
        <f>IF(ISNUMBER(M186), $B199 * N186, "")</f>
        <v>7993.7304075235252</v>
      </c>
      <c r="Q186" s="235"/>
      <c r="R186" s="235"/>
      <c r="S186" s="235"/>
    </row>
    <row r="187" spans="1:19" ht="17.25" thickBot="1">
      <c r="A187" s="162" t="s">
        <v>204</v>
      </c>
      <c r="B187" s="126">
        <v>3305</v>
      </c>
      <c r="C187" s="77">
        <v>-4.6176046200000001E-2</v>
      </c>
      <c r="D187" s="15">
        <v>3580</v>
      </c>
      <c r="E187" s="32">
        <f t="shared" si="98"/>
        <v>8.3207261724659601E-2</v>
      </c>
      <c r="F187" s="18">
        <f>IF(ISNUMBER(D187), $B199 * E187, "")</f>
        <v>8320.7261724659602</v>
      </c>
      <c r="G187" s="31">
        <v>3595</v>
      </c>
      <c r="H187" s="32">
        <f t="shared" si="99"/>
        <v>8.7745839636913764E-2</v>
      </c>
      <c r="I187" s="101">
        <f>IF(ISNUMBER(G187), $B199 * H187, "")</f>
        <v>8774.583963691377</v>
      </c>
      <c r="J187" s="15">
        <v>3565</v>
      </c>
      <c r="K187" s="32">
        <f t="shared" si="100"/>
        <v>7.8668683812405452E-2</v>
      </c>
      <c r="L187" s="18">
        <f>IF(ISNUMBER(J187), $B199 * K187, "")</f>
        <v>7866.8683812405452</v>
      </c>
      <c r="M187" s="31">
        <v>3535</v>
      </c>
      <c r="N187" s="32">
        <f t="shared" si="101"/>
        <v>6.9591527987897125E-2</v>
      </c>
      <c r="O187" s="18">
        <f>IF(ISNUMBER(M187), $B199 * N187, "")</f>
        <v>6959.1527987897125</v>
      </c>
      <c r="Q187" s="33"/>
      <c r="R187" s="33"/>
    </row>
    <row r="188" spans="1:19" ht="17.25" thickBot="1">
      <c r="A188" s="130" t="s">
        <v>208</v>
      </c>
      <c r="B188" s="131">
        <v>264</v>
      </c>
      <c r="C188" s="79">
        <v>-4.69314079E-2</v>
      </c>
      <c r="D188" s="24">
        <v>282</v>
      </c>
      <c r="E188" s="25">
        <f t="shared" si="98"/>
        <v>6.8181818181818177E-2</v>
      </c>
      <c r="F188" s="104">
        <f>IF(ISNUMBER(D188), $B199 * E188, "")</f>
        <v>6818.181818181818</v>
      </c>
      <c r="G188" s="102">
        <v>284</v>
      </c>
      <c r="H188" s="25">
        <f t="shared" si="99"/>
        <v>7.575757575757576E-2</v>
      </c>
      <c r="I188" s="103">
        <f>IF(ISNUMBER(G188), $B199 * H188, "")</f>
        <v>7575.757575757576</v>
      </c>
      <c r="J188" s="24">
        <v>285</v>
      </c>
      <c r="K188" s="25">
        <f t="shared" si="100"/>
        <v>7.9545454545454544E-2</v>
      </c>
      <c r="L188" s="104">
        <f>IF(ISNUMBER(J188), $B199 * K188, "")</f>
        <v>7954.545454545454</v>
      </c>
      <c r="M188" s="102">
        <v>280</v>
      </c>
      <c r="N188" s="25">
        <f t="shared" si="101"/>
        <v>6.0606060606060608E-2</v>
      </c>
      <c r="O188" s="104">
        <f>IF(ISNUMBER(M188), $B199 * N188, "")</f>
        <v>6060.606060606061</v>
      </c>
      <c r="Q188" s="236"/>
      <c r="R188" s="237"/>
      <c r="S188" s="238"/>
    </row>
    <row r="189" spans="1:19">
      <c r="A189" s="161" t="s">
        <v>260</v>
      </c>
      <c r="B189" s="124">
        <v>60.8</v>
      </c>
      <c r="C189" s="76">
        <v>-4.7021943599999998E-2</v>
      </c>
      <c r="D189" s="13">
        <v>65.900000000000006</v>
      </c>
      <c r="E189" s="14">
        <f>IF(ISNUMBER(D189), (D189 - $B189) / $B189, "")</f>
        <v>8.3881578947368571E-2</v>
      </c>
      <c r="F189" s="16">
        <f>IF(ISNUMBER(D189), $B199 * E189, "")</f>
        <v>8388.1578947368562</v>
      </c>
      <c r="G189" s="29">
        <v>69.3</v>
      </c>
      <c r="H189" s="14">
        <f>IF(ISNUMBER(G189), (G189 - $B189) / $B189, "")</f>
        <v>0.13980263157894737</v>
      </c>
      <c r="I189" s="100">
        <f>IF(ISNUMBER(G189), $B199 * H189, "")</f>
        <v>13980.263157894737</v>
      </c>
      <c r="J189" s="13">
        <v>69</v>
      </c>
      <c r="K189" s="14">
        <f>IF(ISNUMBER(J189), (J189 - $B189) / $B189, "")</f>
        <v>0.13486842105263164</v>
      </c>
      <c r="L189" s="16">
        <f>IF(ISNUMBER(J189), $B199 * K189, "")</f>
        <v>13486.842105263164</v>
      </c>
      <c r="M189" s="29">
        <v>66.400000000000006</v>
      </c>
      <c r="N189" s="14">
        <f>IF(ISNUMBER(M189), (M189 - $B189) / $B189, "")</f>
        <v>9.2105263157894884E-2</v>
      </c>
      <c r="O189" s="16">
        <f>IF(ISNUMBER(M189), $B199 * N189, "")</f>
        <v>9210.5263157894879</v>
      </c>
      <c r="Q189" s="239"/>
      <c r="R189" s="240"/>
      <c r="S189" s="241"/>
    </row>
    <row r="190" spans="1:19" ht="17.25" thickBot="1">
      <c r="A190" s="162" t="s">
        <v>216</v>
      </c>
      <c r="B190" s="126">
        <v>248</v>
      </c>
      <c r="C190" s="77">
        <v>-4.9808429100000003E-2</v>
      </c>
      <c r="D190" s="15">
        <v>278</v>
      </c>
      <c r="E190" s="32">
        <f t="shared" ref="E190:E193" si="102">IF(ISNUMBER(D190), (D190 - $B190) / $B190, "")</f>
        <v>0.12096774193548387</v>
      </c>
      <c r="F190" s="18">
        <f>IF(ISNUMBER(D190), $B199 * E190, "")</f>
        <v>12096.774193548388</v>
      </c>
      <c r="G190" s="31">
        <v>276</v>
      </c>
      <c r="H190" s="32">
        <f t="shared" ref="H190:H193" si="103">IF(ISNUMBER(G190), (G190 - $B190) / $B190, "")</f>
        <v>0.11290322580645161</v>
      </c>
      <c r="I190" s="101">
        <f>IF(ISNUMBER(G190), $B199 * H190, "")</f>
        <v>11290.322580645161</v>
      </c>
      <c r="J190" s="15">
        <v>287</v>
      </c>
      <c r="K190" s="32">
        <f t="shared" ref="K190:K193" si="104">IF(ISNUMBER(J190), (J190 - $B190) / $B190, "")</f>
        <v>0.15725806451612903</v>
      </c>
      <c r="L190" s="18">
        <f>IF(ISNUMBER(J190), $B199 * K190, "")</f>
        <v>15725.806451612903</v>
      </c>
      <c r="M190" s="31">
        <v>283</v>
      </c>
      <c r="N190" s="32">
        <f t="shared" ref="N190:N193" si="105">IF(ISNUMBER(M190), (M190 - $B190) / $B190, "")</f>
        <v>0.14112903225806453</v>
      </c>
      <c r="O190" s="18">
        <f>IF(ISNUMBER(M190), $B199 * N190, "")</f>
        <v>14112.903225806453</v>
      </c>
      <c r="Q190" s="242"/>
      <c r="R190" s="243"/>
      <c r="S190" s="244"/>
    </row>
    <row r="191" spans="1:19" ht="17.25" thickBot="1">
      <c r="A191" s="162" t="s">
        <v>186</v>
      </c>
      <c r="B191" s="126">
        <v>15.1</v>
      </c>
      <c r="C191" s="77">
        <v>-5.0314465400000001E-2</v>
      </c>
      <c r="D191" s="15">
        <v>17.899999999999999</v>
      </c>
      <c r="E191" s="32">
        <f t="shared" si="102"/>
        <v>0.18543046357615886</v>
      </c>
      <c r="F191" s="18">
        <f>IF(ISNUMBER(D191), $B199 * E191, "")</f>
        <v>18543.046357615887</v>
      </c>
      <c r="G191" s="31">
        <v>18.600000000000001</v>
      </c>
      <c r="H191" s="32">
        <f t="shared" si="103"/>
        <v>0.2317880794701988</v>
      </c>
      <c r="I191" s="101">
        <f>IF(ISNUMBER(G191), $B199 * H191, "")</f>
        <v>23178.807947019879</v>
      </c>
      <c r="J191" s="15">
        <v>18.399999999999999</v>
      </c>
      <c r="K191" s="32">
        <f t="shared" si="104"/>
        <v>0.21854304635761582</v>
      </c>
      <c r="L191" s="18">
        <f>IF(ISNUMBER(J191), $B199 * K191, "")</f>
        <v>21854.304635761582</v>
      </c>
      <c r="M191" s="31">
        <v>17.7</v>
      </c>
      <c r="N191" s="32">
        <f t="shared" si="105"/>
        <v>0.17218543046357615</v>
      </c>
      <c r="O191" s="18">
        <f>IF(ISNUMBER(M191), $B199 * N191, "")</f>
        <v>17218.543046357616</v>
      </c>
      <c r="Q191" s="235"/>
      <c r="R191" s="235"/>
      <c r="S191" s="235"/>
    </row>
    <row r="192" spans="1:19" ht="17.25" thickBot="1">
      <c r="A192" s="162" t="s">
        <v>236</v>
      </c>
      <c r="B192" s="126">
        <v>51.3</v>
      </c>
      <c r="C192" s="77">
        <v>-5.1756007399999998E-2</v>
      </c>
      <c r="D192" s="15">
        <v>54.2</v>
      </c>
      <c r="E192" s="32">
        <f t="shared" si="102"/>
        <v>5.6530214424951382E-2</v>
      </c>
      <c r="F192" s="18">
        <f>IF(ISNUMBER(D192), $B199 * E192, "")</f>
        <v>5653.0214424951382</v>
      </c>
      <c r="G192" s="31">
        <v>54.6</v>
      </c>
      <c r="H192" s="32">
        <f t="shared" si="103"/>
        <v>6.4327485380117053E-2</v>
      </c>
      <c r="I192" s="101">
        <f>IF(ISNUMBER(G192), $B199 * H192, "")</f>
        <v>6432.748538011705</v>
      </c>
      <c r="J192" s="15">
        <v>54.6</v>
      </c>
      <c r="K192" s="32">
        <f t="shared" si="104"/>
        <v>6.4327485380117053E-2</v>
      </c>
      <c r="L192" s="18">
        <f>IF(ISNUMBER(J192), $B199 * K192, "")</f>
        <v>6432.748538011705</v>
      </c>
      <c r="M192" s="31">
        <v>53.7</v>
      </c>
      <c r="N192" s="32">
        <f t="shared" si="105"/>
        <v>4.6783625730994267E-2</v>
      </c>
      <c r="O192" s="18">
        <f>IF(ISNUMBER(M192), $B199 * N192, "")</f>
        <v>4678.3625730994263</v>
      </c>
      <c r="Q192" s="245"/>
      <c r="R192" s="245"/>
      <c r="S192" s="245"/>
    </row>
    <row r="193" spans="1:19" ht="17.25" thickBot="1">
      <c r="A193" s="163" t="s">
        <v>172</v>
      </c>
      <c r="B193" s="128">
        <v>13.4</v>
      </c>
      <c r="C193" s="78">
        <v>-5.6338028200000001E-2</v>
      </c>
      <c r="D193" s="20">
        <v>13.8</v>
      </c>
      <c r="E193" s="21">
        <f t="shared" si="102"/>
        <v>2.9850746268656744E-2</v>
      </c>
      <c r="F193" s="22">
        <f>IF(ISNUMBER(D193), $B199 * E193, "")</f>
        <v>2985.0746268656744</v>
      </c>
      <c r="G193" s="30">
        <v>14.4</v>
      </c>
      <c r="H193" s="21">
        <f t="shared" si="103"/>
        <v>7.4626865671641784E-2</v>
      </c>
      <c r="I193" s="105">
        <f>IF(ISNUMBER(G193), $B199 * H193, "")</f>
        <v>7462.6865671641781</v>
      </c>
      <c r="J193" s="20">
        <v>14.3</v>
      </c>
      <c r="K193" s="21">
        <f t="shared" si="104"/>
        <v>6.7164179104477639E-2</v>
      </c>
      <c r="L193" s="22">
        <f>IF(ISNUMBER(J193), $B199 * K193, "")</f>
        <v>6716.4179104477644</v>
      </c>
      <c r="M193" s="30">
        <v>14.1</v>
      </c>
      <c r="N193" s="21">
        <f t="shared" si="105"/>
        <v>5.2238805970149196E-2</v>
      </c>
      <c r="O193" s="22">
        <f>IF(ISNUMBER(M193), $B199 * N193, "")</f>
        <v>5223.8805970149197</v>
      </c>
      <c r="Q193" s="245"/>
      <c r="R193" s="245"/>
      <c r="S193" s="245"/>
    </row>
    <row r="194" spans="1:19" ht="17.25" thickBot="1">
      <c r="A194" s="162" t="s">
        <v>194</v>
      </c>
      <c r="B194" s="129">
        <v>7605</v>
      </c>
      <c r="C194" s="80">
        <v>-5.9950556199999998E-2</v>
      </c>
      <c r="D194" s="106">
        <v>7780</v>
      </c>
      <c r="E194" s="107">
        <f>IF(ISNUMBER(D194), (D194 - $B194) / $B194, "")</f>
        <v>2.3011176857330704E-2</v>
      </c>
      <c r="F194" s="108">
        <f>IF(ISNUMBER(D194), $B199 * E194, "")</f>
        <v>2301.1176857330706</v>
      </c>
      <c r="G194" s="109">
        <v>8110</v>
      </c>
      <c r="H194" s="107">
        <f>IF(ISNUMBER(G194), (G194 - $B194) / $B194, "")</f>
        <v>6.640368178829717E-2</v>
      </c>
      <c r="I194" s="110">
        <f>IF(ISNUMBER(G194), $B199 * H194, "")</f>
        <v>6640.3681788297172</v>
      </c>
      <c r="J194" s="106">
        <v>8010</v>
      </c>
      <c r="K194" s="107">
        <f>IF(ISNUMBER(J194), (J194 - $B194) / $B194, "")</f>
        <v>5.3254437869822487E-2</v>
      </c>
      <c r="L194" s="108">
        <f>IF(ISNUMBER(J194), $B199 * K194, "")</f>
        <v>5325.4437869822486</v>
      </c>
      <c r="M194" s="109">
        <v>7910</v>
      </c>
      <c r="N194" s="107">
        <f>IF(ISNUMBER(M194), (M194 - $B194) / $B194, "")</f>
        <v>4.0105193951347796E-2</v>
      </c>
      <c r="O194" s="108">
        <f>IF(ISNUMBER(M194), $B199 * N194, "")</f>
        <v>4010.5193951347796</v>
      </c>
      <c r="Q194" s="235"/>
      <c r="R194" s="235"/>
      <c r="S194" s="235"/>
    </row>
    <row r="195" spans="1:19" ht="17.25" thickBot="1">
      <c r="A195" s="162" t="s">
        <v>274</v>
      </c>
      <c r="B195" s="126">
        <v>8390</v>
      </c>
      <c r="C195" s="77">
        <v>-6.4138315700000004E-2</v>
      </c>
      <c r="D195" s="15">
        <v>8455</v>
      </c>
      <c r="E195" s="32">
        <f t="shared" ref="E195:E198" si="106">IF(ISNUMBER(D195), (D195 - $B195) / $B195, "")</f>
        <v>7.7473182359952325E-3</v>
      </c>
      <c r="F195" s="18">
        <f>IF(ISNUMBER(D195), $B199 * E195, "")</f>
        <v>774.7318235995233</v>
      </c>
      <c r="G195" s="31">
        <v>8505</v>
      </c>
      <c r="H195" s="32">
        <f t="shared" ref="H195:H198" si="107">IF(ISNUMBER(G195), (G195 - $B195) / $B195, "")</f>
        <v>1.3706793802145411E-2</v>
      </c>
      <c r="I195" s="101">
        <f>IF(ISNUMBER(G195), $B199 * H195, "")</f>
        <v>1370.6793802145412</v>
      </c>
      <c r="J195" s="15">
        <v>8485</v>
      </c>
      <c r="K195" s="32">
        <f t="shared" ref="K195:K198" si="108">IF(ISNUMBER(J195), (J195 - $B195) / $B195, "")</f>
        <v>1.132300357568534E-2</v>
      </c>
      <c r="L195" s="18">
        <f>IF(ISNUMBER(J195), $B199 * K195, "")</f>
        <v>1132.3003575685339</v>
      </c>
      <c r="M195" s="31">
        <v>8445</v>
      </c>
      <c r="N195" s="32">
        <f t="shared" ref="N195:N198" si="109">IF(ISNUMBER(M195), (M195 - $B195) / $B195, "")</f>
        <v>6.5554231227651968E-3</v>
      </c>
      <c r="O195" s="18">
        <f>IF(ISNUMBER(M195), $B199 * N195, "")</f>
        <v>655.54231227651962</v>
      </c>
      <c r="Q195" s="235"/>
      <c r="R195" s="235"/>
      <c r="S195" s="235"/>
    </row>
    <row r="196" spans="1:19" ht="17.25" thickBot="1">
      <c r="A196" s="162" t="s">
        <v>180</v>
      </c>
      <c r="B196" s="126">
        <v>2770</v>
      </c>
      <c r="C196" s="77">
        <v>-9.9186991899999993E-2</v>
      </c>
      <c r="D196" s="15">
        <v>2850</v>
      </c>
      <c r="E196" s="32">
        <f t="shared" si="106"/>
        <v>2.8880866425992781E-2</v>
      </c>
      <c r="F196" s="18">
        <f>IF(ISNUMBER(D196), $B199 * E196, "")</f>
        <v>2888.0866425992781</v>
      </c>
      <c r="G196" s="31">
        <v>2945</v>
      </c>
      <c r="H196" s="32">
        <f t="shared" si="107"/>
        <v>6.3176895306859202E-2</v>
      </c>
      <c r="I196" s="101">
        <f>IF(ISNUMBER(G196), $B199 * H196, "")</f>
        <v>6317.6895306859205</v>
      </c>
      <c r="J196" s="15">
        <v>2945</v>
      </c>
      <c r="K196" s="32">
        <f t="shared" si="108"/>
        <v>6.3176895306859202E-2</v>
      </c>
      <c r="L196" s="18">
        <f>IF(ISNUMBER(J196), $B199 * K196, "")</f>
        <v>6317.6895306859205</v>
      </c>
      <c r="M196" s="31">
        <v>2955</v>
      </c>
      <c r="N196" s="32">
        <f t="shared" si="109"/>
        <v>6.6787003610108309E-2</v>
      </c>
      <c r="O196" s="18">
        <f>IF(ISNUMBER(M196), $B199 * N196, "")</f>
        <v>6678.7003610108304</v>
      </c>
      <c r="Q196" s="235"/>
      <c r="R196" s="235"/>
      <c r="S196" s="235"/>
    </row>
    <row r="197" spans="1:19">
      <c r="A197" s="162" t="s">
        <v>190</v>
      </c>
      <c r="B197" s="126">
        <v>60710</v>
      </c>
      <c r="C197" s="77">
        <v>-0.1193791703</v>
      </c>
      <c r="D197" s="15">
        <v>60380</v>
      </c>
      <c r="E197" s="32">
        <f t="shared" si="106"/>
        <v>-5.4356778125514739E-3</v>
      </c>
      <c r="F197" s="18">
        <f>IF(ISNUMBER(D197), $B199 * E197, "")</f>
        <v>-543.56778125514734</v>
      </c>
      <c r="G197" s="31">
        <v>60520</v>
      </c>
      <c r="H197" s="32">
        <f t="shared" si="107"/>
        <v>-3.129632679953879E-3</v>
      </c>
      <c r="I197" s="101">
        <f>IF(ISNUMBER(G197), $B199 * H197, "")</f>
        <v>-312.96326799538792</v>
      </c>
      <c r="J197" s="15">
        <v>60210</v>
      </c>
      <c r="K197" s="32">
        <f t="shared" si="108"/>
        <v>-8.2358754735628401E-3</v>
      </c>
      <c r="L197" s="18">
        <f>IF(ISNUMBER(J197), $B199 * K197, "")</f>
        <v>-823.58754735628406</v>
      </c>
      <c r="M197" s="31">
        <v>60480</v>
      </c>
      <c r="N197" s="32">
        <f t="shared" si="109"/>
        <v>-3.7885027178389064E-3</v>
      </c>
      <c r="O197" s="18">
        <f>IF(ISNUMBER(M197), $B199 * N197, "")</f>
        <v>-378.85027178389066</v>
      </c>
      <c r="Q197" s="224"/>
      <c r="R197" s="225"/>
      <c r="S197" s="226"/>
    </row>
    <row r="198" spans="1:19" ht="17.25" thickBot="1">
      <c r="A198" s="130" t="s">
        <v>276</v>
      </c>
      <c r="B198" s="131">
        <v>3055</v>
      </c>
      <c r="C198" s="79">
        <v>-0.12714285710000001</v>
      </c>
      <c r="D198" s="24">
        <v>3015</v>
      </c>
      <c r="E198" s="25">
        <f t="shared" si="106"/>
        <v>-1.3093289689034371E-2</v>
      </c>
      <c r="F198" s="104">
        <f>IF(ISNUMBER(D198), $B199 * E198, "")</f>
        <v>-1309.328968903437</v>
      </c>
      <c r="G198" s="102">
        <v>3010</v>
      </c>
      <c r="H198" s="25">
        <f t="shared" si="107"/>
        <v>-1.4729950900163666E-2</v>
      </c>
      <c r="I198" s="103">
        <f>IF(ISNUMBER(G198), $B199 * H198, "")</f>
        <v>-1472.9950900163667</v>
      </c>
      <c r="J198" s="24">
        <v>2990</v>
      </c>
      <c r="K198" s="25">
        <f t="shared" si="108"/>
        <v>-2.1276595744680851E-2</v>
      </c>
      <c r="L198" s="104">
        <f>IF(ISNUMBER(J198), $B199 * K198, "")</f>
        <v>-2127.6595744680849</v>
      </c>
      <c r="M198" s="102">
        <v>3015</v>
      </c>
      <c r="N198" s="25">
        <f t="shared" si="109"/>
        <v>-1.3093289689034371E-2</v>
      </c>
      <c r="O198" s="104">
        <f>IF(ISNUMBER(M198), $B199 * N198, "")</f>
        <v>-1309.328968903437</v>
      </c>
      <c r="Q198" s="227"/>
      <c r="R198" s="228"/>
      <c r="S198" s="229"/>
    </row>
    <row r="199" spans="1:19" ht="17.25" thickBot="1">
      <c r="A199" s="132" t="s">
        <v>300</v>
      </c>
      <c r="B199" s="288">
        <f>$B$37</f>
        <v>100000</v>
      </c>
      <c r="C199" s="289"/>
      <c r="D199" s="26" t="s">
        <v>301</v>
      </c>
      <c r="E199" s="27">
        <f>IF(COUNT(E179:E198), SUM(E179:E198) / COUNT(E179:E198), 0)</f>
        <v>6.2649721995185315E-2</v>
      </c>
      <c r="F199" s="28">
        <f>SUM(F179:F198)</f>
        <v>125299.44399037061</v>
      </c>
      <c r="G199" s="26" t="s">
        <v>301</v>
      </c>
      <c r="H199" s="27">
        <f>IF(COUNT(H179:H198), SUM(H179:H198) / COUNT(H179:H198), 0)</f>
        <v>9.2086094557842502E-2</v>
      </c>
      <c r="I199" s="28">
        <f>SUM(I179:I198)</f>
        <v>184172.18911568506</v>
      </c>
      <c r="J199" s="26" t="s">
        <v>301</v>
      </c>
      <c r="K199" s="27">
        <f>IF(COUNT(K179:K198), SUM(K179:K198) / COUNT(K179:K198), 0)</f>
        <v>8.821092354648101E-2</v>
      </c>
      <c r="L199" s="28">
        <f>SUM(L179:L198)</f>
        <v>176421.84709296201</v>
      </c>
      <c r="M199" s="26" t="s">
        <v>301</v>
      </c>
      <c r="N199" s="27">
        <f>IF(COUNT(N179:N198), SUM(N179:N198) / COUNT(N179:N198), 0)</f>
        <v>6.8316720150274055E-2</v>
      </c>
      <c r="O199" s="28">
        <f>SUM(O179:O198)</f>
        <v>136633.4403005481</v>
      </c>
      <c r="Q199" s="230"/>
      <c r="R199" s="231"/>
      <c r="S199" s="232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39815B-DFBD-4B12-A55A-19266F4A08D4}">
  <sheetPr codeName="Sheet17"/>
  <dimension ref="A1:S199"/>
  <sheetViews>
    <sheetView topLeftCell="A111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6" t="s">
        <v>0</v>
      </c>
      <c r="B1" s="247"/>
      <c r="C1" s="247"/>
      <c r="D1" s="247"/>
      <c r="E1" s="247"/>
      <c r="F1" s="248"/>
      <c r="G1" s="277">
        <v>44358</v>
      </c>
      <c r="H1" s="278"/>
      <c r="I1" s="279"/>
      <c r="J1" s="246" t="s">
        <v>1</v>
      </c>
      <c r="K1" s="247"/>
      <c r="L1" s="247"/>
      <c r="M1" s="247"/>
      <c r="N1" s="247"/>
      <c r="O1" s="248"/>
      <c r="Q1" s="246" t="s">
        <v>2</v>
      </c>
      <c r="R1" s="248"/>
    </row>
    <row r="2" spans="1:19" ht="17.25" customHeight="1">
      <c r="A2" s="117" t="s">
        <v>3</v>
      </c>
      <c r="B2" s="280" t="s">
        <v>8</v>
      </c>
      <c r="C2" s="281"/>
      <c r="D2" s="281"/>
      <c r="E2" s="281"/>
      <c r="F2" s="282"/>
      <c r="G2" s="274" t="s">
        <v>46</v>
      </c>
      <c r="H2" s="275"/>
      <c r="I2" s="276"/>
      <c r="J2" s="1" t="s">
        <v>3</v>
      </c>
      <c r="K2" s="280" t="s">
        <v>350</v>
      </c>
      <c r="L2" s="281"/>
      <c r="M2" s="281"/>
      <c r="N2" s="281"/>
      <c r="O2" s="282"/>
      <c r="Q2" s="2" t="s">
        <v>6</v>
      </c>
      <c r="R2" s="3">
        <v>0.375</v>
      </c>
    </row>
    <row r="3" spans="1:19" ht="17.25" customHeight="1" thickBot="1">
      <c r="A3" s="118" t="s">
        <v>7</v>
      </c>
      <c r="B3" s="271" t="s">
        <v>358</v>
      </c>
      <c r="C3" s="272"/>
      <c r="D3" s="272"/>
      <c r="E3" s="272"/>
      <c r="F3" s="273"/>
      <c r="G3" s="26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-349,865 KRW (-17.49%)</v>
      </c>
      <c r="H3" s="268"/>
      <c r="I3" s="269"/>
      <c r="J3" s="4" t="s">
        <v>7</v>
      </c>
      <c r="K3" s="271" t="s">
        <v>351</v>
      </c>
      <c r="L3" s="272"/>
      <c r="M3" s="272"/>
      <c r="N3" s="272"/>
      <c r="O3" s="27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1" t="s">
        <v>16</v>
      </c>
      <c r="C4" s="272"/>
      <c r="D4" s="272"/>
      <c r="E4" s="272"/>
      <c r="F4" s="273"/>
      <c r="G4" s="274" t="s">
        <v>44</v>
      </c>
      <c r="H4" s="275"/>
      <c r="I4" s="276"/>
      <c r="J4" s="4" t="s">
        <v>11</v>
      </c>
      <c r="K4" s="271" t="s">
        <v>352</v>
      </c>
      <c r="L4" s="272"/>
      <c r="M4" s="272"/>
      <c r="N4" s="272"/>
      <c r="O4" s="27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1" t="s">
        <v>349</v>
      </c>
      <c r="C5" s="272"/>
      <c r="D5" s="272"/>
      <c r="E5" s="272"/>
      <c r="F5" s="273"/>
      <c r="G5" s="26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-276,140 KRW (-13.81%)</v>
      </c>
      <c r="H5" s="268"/>
      <c r="I5" s="269"/>
      <c r="J5" s="4" t="s">
        <v>15</v>
      </c>
      <c r="K5" s="271" t="s">
        <v>353</v>
      </c>
      <c r="L5" s="272"/>
      <c r="M5" s="272"/>
      <c r="N5" s="272"/>
      <c r="O5" s="273"/>
    </row>
    <row r="6" spans="1:19">
      <c r="A6" s="118" t="s">
        <v>18</v>
      </c>
      <c r="B6" s="271"/>
      <c r="C6" s="272"/>
      <c r="D6" s="272"/>
      <c r="E6" s="272"/>
      <c r="F6" s="273"/>
      <c r="G6" s="274" t="s">
        <v>45</v>
      </c>
      <c r="H6" s="275"/>
      <c r="I6" s="276"/>
      <c r="J6" s="4" t="s">
        <v>18</v>
      </c>
      <c r="K6" s="271" t="s">
        <v>354</v>
      </c>
      <c r="L6" s="272"/>
      <c r="M6" s="272"/>
      <c r="N6" s="272"/>
      <c r="O6" s="273"/>
    </row>
    <row r="7" spans="1:19" ht="17.25" thickBot="1">
      <c r="A7" s="118" t="s">
        <v>21</v>
      </c>
      <c r="B7" s="271"/>
      <c r="C7" s="272"/>
      <c r="D7" s="272"/>
      <c r="E7" s="272"/>
      <c r="F7" s="273"/>
      <c r="G7" s="26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-309,857 KRW (-15.49%)</v>
      </c>
      <c r="H7" s="268"/>
      <c r="I7" s="269"/>
      <c r="J7" s="4" t="s">
        <v>21</v>
      </c>
      <c r="K7" s="271" t="s">
        <v>355</v>
      </c>
      <c r="L7" s="272"/>
      <c r="M7" s="272"/>
      <c r="N7" s="272"/>
      <c r="O7" s="273"/>
    </row>
    <row r="8" spans="1:19" ht="17.25" thickBot="1">
      <c r="A8" s="118" t="s">
        <v>24</v>
      </c>
      <c r="B8" s="271"/>
      <c r="C8" s="272"/>
      <c r="D8" s="272"/>
      <c r="E8" s="272"/>
      <c r="F8" s="273"/>
      <c r="G8" s="274" t="s">
        <v>285</v>
      </c>
      <c r="H8" s="275"/>
      <c r="I8" s="276"/>
      <c r="J8" s="4" t="s">
        <v>24</v>
      </c>
      <c r="K8" s="271"/>
      <c r="L8" s="272"/>
      <c r="M8" s="272"/>
      <c r="N8" s="272"/>
      <c r="O8" s="273"/>
      <c r="Q8" s="246" t="s">
        <v>27</v>
      </c>
      <c r="R8" s="248"/>
    </row>
    <row r="9" spans="1:19" ht="17.25" thickBot="1">
      <c r="A9" s="118" t="s">
        <v>28</v>
      </c>
      <c r="B9" s="271"/>
      <c r="C9" s="272"/>
      <c r="D9" s="272"/>
      <c r="E9" s="272"/>
      <c r="F9" s="273"/>
      <c r="G9" s="26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-106,490 KRW (-5.32%)</v>
      </c>
      <c r="H9" s="268"/>
      <c r="I9" s="269"/>
      <c r="J9" s="4" t="s">
        <v>28</v>
      </c>
      <c r="K9" s="271"/>
      <c r="L9" s="272"/>
      <c r="M9" s="272"/>
      <c r="N9" s="272"/>
      <c r="O9" s="273"/>
      <c r="Q9" s="2" t="s">
        <v>29</v>
      </c>
      <c r="R9" s="6">
        <v>10</v>
      </c>
    </row>
    <row r="10" spans="1:19">
      <c r="A10" s="118" t="s">
        <v>30</v>
      </c>
      <c r="B10" s="271"/>
      <c r="C10" s="272"/>
      <c r="D10" s="272"/>
      <c r="E10" s="272"/>
      <c r="F10" s="273"/>
      <c r="G10" s="274" t="s">
        <v>47</v>
      </c>
      <c r="H10" s="275"/>
      <c r="I10" s="276"/>
      <c r="J10" s="4" t="s">
        <v>30</v>
      </c>
      <c r="K10" s="271" t="s">
        <v>356</v>
      </c>
      <c r="L10" s="272"/>
      <c r="M10" s="272"/>
      <c r="N10" s="272"/>
      <c r="O10" s="273"/>
      <c r="Q10" s="2" t="s">
        <v>31</v>
      </c>
      <c r="R10" s="6">
        <v>100</v>
      </c>
    </row>
    <row r="11" spans="1:19" ht="17.25" thickBot="1">
      <c r="A11" s="119" t="s">
        <v>32</v>
      </c>
      <c r="B11" s="264" t="s">
        <v>357</v>
      </c>
      <c r="C11" s="265"/>
      <c r="D11" s="265"/>
      <c r="E11" s="265"/>
      <c r="F11" s="266"/>
      <c r="G11" s="26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-25,342 KRW (-5.07%)</v>
      </c>
      <c r="H11" s="268"/>
      <c r="I11" s="269"/>
      <c r="J11" s="7" t="s">
        <v>32</v>
      </c>
      <c r="K11" s="264" t="s">
        <v>348</v>
      </c>
      <c r="L11" s="265"/>
      <c r="M11" s="265"/>
      <c r="N11" s="265"/>
      <c r="O11" s="266"/>
      <c r="Q11" s="65" t="s">
        <v>33</v>
      </c>
      <c r="R11" s="8">
        <v>1000</v>
      </c>
    </row>
    <row r="12" spans="1:19" ht="17.25" thickBot="1"/>
    <row r="13" spans="1:19" ht="17.25" customHeight="1" thickBot="1">
      <c r="A13" s="246" t="s">
        <v>34</v>
      </c>
      <c r="B13" s="247"/>
      <c r="C13" s="247"/>
      <c r="D13" s="247"/>
      <c r="E13" s="247"/>
      <c r="F13" s="247"/>
      <c r="G13" s="247"/>
      <c r="H13" s="247"/>
      <c r="I13" s="247"/>
      <c r="J13" s="247"/>
      <c r="K13" s="247"/>
      <c r="L13" s="247"/>
      <c r="M13" s="247"/>
      <c r="N13" s="247"/>
      <c r="O13" s="248"/>
      <c r="Q13" s="245"/>
      <c r="R13" s="245"/>
      <c r="S13" s="245"/>
    </row>
    <row r="14" spans="1:19" ht="17.25" customHeight="1" thickBot="1">
      <c r="A14" s="200" t="s">
        <v>35</v>
      </c>
      <c r="B14" s="246" t="s">
        <v>36</v>
      </c>
      <c r="C14" s="248"/>
      <c r="D14" s="246" t="s">
        <v>37</v>
      </c>
      <c r="E14" s="247"/>
      <c r="F14" s="248"/>
      <c r="G14" s="249">
        <f>_xlfn.IFNA(VLOOKUP(B14, 현재가테이블!$B$2:$D$200, 2, FALSE), "-")</f>
        <v>45335000</v>
      </c>
      <c r="H14" s="250"/>
      <c r="I14" s="251"/>
      <c r="J14" s="246" t="s">
        <v>38</v>
      </c>
      <c r="K14" s="247"/>
      <c r="L14" s="248"/>
      <c r="M14" s="252">
        <f>_xlfn.IFNA(VLOOKUP(B14, 현재가테이블!$B$2:$D$200, 3, FALSE), "-")</f>
        <v>-2.27209037E-2</v>
      </c>
      <c r="N14" s="253"/>
      <c r="O14" s="254"/>
      <c r="Q14" s="245"/>
      <c r="R14" s="245"/>
      <c r="S14" s="245"/>
    </row>
    <row r="15" spans="1:19" ht="17.25" customHeight="1" thickBot="1">
      <c r="A15" s="283" t="s">
        <v>39</v>
      </c>
      <c r="B15" s="284" t="str">
        <f>TEXT($G$1, "[$-ko-KR]yyyy-mm-dd(ddd) ") &amp; "오전 00:00"</f>
        <v>2021-06-11(금) 오전 00:00</v>
      </c>
      <c r="C15" s="285"/>
      <c r="D15" s="259" t="str">
        <f>TEXT($G$1, "[$-ko-KR]yyyy-mm-dd(ddd) ") &amp; "오후 14:00"</f>
        <v>2021-06-11(금) 오후 14:00</v>
      </c>
      <c r="E15" s="260"/>
      <c r="F15" s="261"/>
      <c r="G15" s="259" t="str">
        <f>TEXT($G$1, "[$-ko-KR]yyyy-mm-dd(ddd) ") &amp; "오후 19:00"</f>
        <v>2021-06-11(금) 오후 19:00</v>
      </c>
      <c r="H15" s="260"/>
      <c r="I15" s="261"/>
      <c r="J15" s="259" t="str">
        <f>TEXT($G$1, "[$-ko-KR]yyyy-mm-dd(ddd) ") &amp; "오후 21:00"</f>
        <v>2021-06-11(금) 오후 21:00</v>
      </c>
      <c r="K15" s="260"/>
      <c r="L15" s="261"/>
      <c r="M15" s="259" t="str">
        <f>TEXT($G$1+1, "[$-ko-KR]yyyy-mm-dd(ddd) ") &amp; "오전 00:00"</f>
        <v>2021-06-12(토) 오전 00:00</v>
      </c>
      <c r="N15" s="260"/>
      <c r="O15" s="261"/>
      <c r="Q15" s="245"/>
      <c r="R15" s="245"/>
      <c r="S15" s="245"/>
    </row>
    <row r="16" spans="1:19" ht="17.25" customHeight="1" thickBot="1">
      <c r="A16" s="28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1" t="s">
        <v>37</v>
      </c>
      <c r="H16" s="202" t="s">
        <v>40</v>
      </c>
      <c r="I16" s="20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5"/>
      <c r="R16" s="235"/>
      <c r="S16" s="235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87.1</v>
      </c>
      <c r="C17" s="76">
        <f>IF(NOT(ISBLANK(_xlfn.IFNA(VLOOKUP($A17, $A$40:$O$199, 3, FALSE), ))), _xlfn.IFNA(VLOOKUP($A17, $A$40:$O$199, 3, FALSE), ), "")</f>
        <v>-7.9726650999999999E-3</v>
      </c>
      <c r="D17" s="13">
        <f>IF(NOT(ISBLANK(_xlfn.IFNA(VLOOKUP($A17, $A$40:$O$199, 4, FALSE), ))), _xlfn.IFNA(VLOOKUP($A17, $A$40:$O$199, 4, FALSE), ), "")</f>
        <v>96.5</v>
      </c>
      <c r="E17" s="14">
        <f>IF(NOT(ISBLANK(_xlfn.IFNA(VLOOKUP($A17, $A$40:$O$199, 5, FALSE), ))), _xlfn.IFNA(VLOOKUP($A17, $A$40:$O$199, 5, FALSE), ), "")</f>
        <v>0.10792192881745127</v>
      </c>
      <c r="F17" s="16">
        <f>IF(NOT(ISBLANK(_xlfn.IFNA(VLOOKUP($A17, $A$40:$O$199, 6, FALSE), ))), _xlfn.IFNA(VLOOKUP($A17, $A$40:$O$199, 6, FALSE), ), "")</f>
        <v>10792.192881745128</v>
      </c>
      <c r="G17" s="29">
        <f>IF(NOT(ISBLANK(_xlfn.IFNA(VLOOKUP($A17, $A$40:$O$199, 7, FALSE), ))), _xlfn.IFNA(VLOOKUP($A17, $A$40:$O$199, 7, FALSE), ), "")</f>
        <v>90.1</v>
      </c>
      <c r="H17" s="14">
        <f>IF(NOT(ISBLANK(_xlfn.IFNA(VLOOKUP($A17, $A$40:$O$199, 8, FALSE), ))), _xlfn.IFNA(VLOOKUP($A17, $A$40:$O$199, 8, FALSE), ), "")</f>
        <v>3.4443168771526984E-2</v>
      </c>
      <c r="I17" s="100">
        <f>IF(NOT(ISBLANK(_xlfn.IFNA(VLOOKUP($A17, $A$40:$O$199, 9, FALSE), ))), _xlfn.IFNA(VLOOKUP($A17, $A$40:$O$199, 9, FALSE), ), "")</f>
        <v>3444.3168771526985</v>
      </c>
      <c r="J17" s="13">
        <f>IF(NOT(ISBLANK(_xlfn.IFNA(VLOOKUP($A17, $A$40:$O$199, 10, FALSE), ))), _xlfn.IFNA(VLOOKUP($A17, $A$40:$O$199, 10, FALSE), ), "")</f>
        <v>85.4</v>
      </c>
      <c r="K17" s="14">
        <f>IF(NOT(ISBLANK(_xlfn.IFNA(VLOOKUP($A17, $A$40:$O$199, 11, FALSE), ))), _xlfn.IFNA(VLOOKUP($A17, $A$40:$O$199, 11, FALSE), ), "")</f>
        <v>-1.9517795637198493E-2</v>
      </c>
      <c r="L17" s="16">
        <f>IF(NOT(ISBLANK(_xlfn.IFNA(VLOOKUP($A17, $A$40:$O$199, 12, FALSE), ))), _xlfn.IFNA(VLOOKUP($A17, $A$40:$O$199, 12, FALSE), ), "")</f>
        <v>-1951.7795637198492</v>
      </c>
      <c r="M17" s="29">
        <f>IF(NOT(ISBLANK(_xlfn.IFNA(VLOOKUP($A17, $A$40:$O$199, 13, FALSE), ))), _xlfn.IFNA(VLOOKUP($A17, $A$40:$O$199, 13, FALSE), ), "")</f>
        <v>86.8</v>
      </c>
      <c r="N17" s="14">
        <f>IF(NOT(ISBLANK(_xlfn.IFNA(VLOOKUP($A17, $A$40:$O$199, 14, FALSE), ))), _xlfn.IFNA(VLOOKUP($A17, $A$40:$O$199, 14, FALSE), ), "")</f>
        <v>-3.4443168771526658E-3</v>
      </c>
      <c r="O17" s="16">
        <f>IF(NOT(ISBLANK(_xlfn.IFNA(VLOOKUP($A17, $A$40:$O$199, 15, FALSE), ))), _xlfn.IFNA(VLOOKUP($A17, $A$40:$O$199, 15, FALSE), ), "")</f>
        <v>-344.43168771526661</v>
      </c>
      <c r="Q17" s="245"/>
      <c r="R17" s="245"/>
      <c r="S17" s="245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68.900000000000006</v>
      </c>
      <c r="C18" s="77">
        <f t="shared" ref="C18:C36" si="1">IF(NOT(ISBLANK(_xlfn.IFNA(VLOOKUP($A18, $A$40:$O$199, 3, FALSE), ))), _xlfn.IFNA(VLOOKUP($A18, $A$40:$O$199, 3, FALSE), ), "")</f>
        <v>1.0263929600000001E-2</v>
      </c>
      <c r="D18" s="15">
        <f t="shared" ref="D18:D36" si="2">IF(NOT(ISBLANK(_xlfn.IFNA(VLOOKUP($A18, $A$40:$O$199, 4, FALSE), ))), _xlfn.IFNA(VLOOKUP($A18, $A$40:$O$199, 4, FALSE), ), "")</f>
        <v>75.400000000000006</v>
      </c>
      <c r="E18" s="32">
        <f t="shared" ref="E18:E36" si="3">IF(NOT(ISBLANK(_xlfn.IFNA(VLOOKUP($A18, $A$40:$O$199, 5, FALSE), ))), _xlfn.IFNA(VLOOKUP($A18, $A$40:$O$199, 5, FALSE), ), "")</f>
        <v>9.4339622641509427E-2</v>
      </c>
      <c r="F18" s="18">
        <f t="shared" ref="F18:F36" si="4">IF(NOT(ISBLANK(_xlfn.IFNA(VLOOKUP($A18, $A$40:$O$199, 6, FALSE), ))), _xlfn.IFNA(VLOOKUP($A18, $A$40:$O$199, 6, FALSE), ), "")</f>
        <v>9433.9622641509432</v>
      </c>
      <c r="G18" s="31">
        <f t="shared" ref="G18:G36" si="5">IF(NOT(ISBLANK(_xlfn.IFNA(VLOOKUP($A18, $A$40:$O$199, 7, FALSE), ))), _xlfn.IFNA(VLOOKUP($A18, $A$40:$O$199, 7, FALSE), ), "")</f>
        <v>64.099999999999994</v>
      </c>
      <c r="H18" s="32">
        <f t="shared" ref="H18:H36" si="6">IF(NOT(ISBLANK(_xlfn.IFNA(VLOOKUP($A18, $A$40:$O$199, 8, FALSE), ))), _xlfn.IFNA(VLOOKUP($A18, $A$40:$O$199, 8, FALSE), ), "")</f>
        <v>-6.9666182873730206E-2</v>
      </c>
      <c r="I18" s="101">
        <f t="shared" ref="I18:I36" si="7">IF(NOT(ISBLANK(_xlfn.IFNA(VLOOKUP($A18, $A$40:$O$199, 9, FALSE), ))), _xlfn.IFNA(VLOOKUP($A18, $A$40:$O$199, 9, FALSE), ), "")</f>
        <v>-6966.6182873730204</v>
      </c>
      <c r="J18" s="15">
        <f t="shared" ref="J18:J36" si="8">IF(NOT(ISBLANK(_xlfn.IFNA(VLOOKUP($A18, $A$40:$O$199, 10, FALSE), ))), _xlfn.IFNA(VLOOKUP($A18, $A$40:$O$199, 10, FALSE), ), "")</f>
        <v>63.2</v>
      </c>
      <c r="K18" s="32">
        <f t="shared" ref="K18:K36" si="9">IF(NOT(ISBLANK(_xlfn.IFNA(VLOOKUP($A18, $A$40:$O$199, 11, FALSE), ))), _xlfn.IFNA(VLOOKUP($A18, $A$40:$O$199, 11, FALSE), ), "")</f>
        <v>-8.272859216255446E-2</v>
      </c>
      <c r="L18" s="18">
        <f t="shared" ref="L18:L36" si="10">IF(NOT(ISBLANK(_xlfn.IFNA(VLOOKUP($A18, $A$40:$O$199, 12, FALSE), ))), _xlfn.IFNA(VLOOKUP($A18, $A$40:$O$199, 12, FALSE), ), "")</f>
        <v>-8272.8592162554451</v>
      </c>
      <c r="M18" s="31">
        <f t="shared" ref="M18:M36" si="11">IF(NOT(ISBLANK(_xlfn.IFNA(VLOOKUP($A18, $A$40:$O$199, 13, FALSE), ))), _xlfn.IFNA(VLOOKUP($A18, $A$40:$O$199, 13, FALSE), ), "")</f>
        <v>62.8</v>
      </c>
      <c r="N18" s="32">
        <f t="shared" ref="N18:N36" si="12">IF(NOT(ISBLANK(_xlfn.IFNA(VLOOKUP($A18, $A$40:$O$199, 14, FALSE), ))), _xlfn.IFNA(VLOOKUP($A18, $A$40:$O$199, 14, FALSE), ), "")</f>
        <v>-8.8534107402032047E-2</v>
      </c>
      <c r="O18" s="18">
        <f t="shared" ref="O18:O36" si="13">IF(NOT(ISBLANK(_xlfn.IFNA(VLOOKUP($A18, $A$40:$O$199, 15, FALSE), ))), _xlfn.IFNA(VLOOKUP($A18, $A$40:$O$199, 15, FALSE), ), "")</f>
        <v>-8853.4107402032041</v>
      </c>
      <c r="Q18" s="245"/>
      <c r="R18" s="245"/>
      <c r="S18" s="245"/>
    </row>
    <row r="19" spans="1:19" ht="17.25" customHeight="1" thickBot="1">
      <c r="A19" s="162" t="s">
        <v>202</v>
      </c>
      <c r="B19" s="126">
        <f t="shared" si="0"/>
        <v>112</v>
      </c>
      <c r="C19" s="77">
        <f t="shared" si="1"/>
        <v>0</v>
      </c>
      <c r="D19" s="15">
        <f t="shared" si="2"/>
        <v>121</v>
      </c>
      <c r="E19" s="32">
        <f t="shared" si="3"/>
        <v>8.0357142857142863E-2</v>
      </c>
      <c r="F19" s="18">
        <f t="shared" si="4"/>
        <v>8035.7142857142862</v>
      </c>
      <c r="G19" s="31">
        <f t="shared" si="5"/>
        <v>110</v>
      </c>
      <c r="H19" s="32">
        <f t="shared" si="6"/>
        <v>-1.7857142857142856E-2</v>
      </c>
      <c r="I19" s="101">
        <f t="shared" si="7"/>
        <v>-1785.7142857142856</v>
      </c>
      <c r="J19" s="15">
        <f t="shared" si="8"/>
        <v>107</v>
      </c>
      <c r="K19" s="32">
        <f t="shared" si="9"/>
        <v>-4.4642857142857144E-2</v>
      </c>
      <c r="L19" s="18">
        <f t="shared" si="10"/>
        <v>-4464.2857142857147</v>
      </c>
      <c r="M19" s="31">
        <f t="shared" si="11"/>
        <v>105</v>
      </c>
      <c r="N19" s="32">
        <f t="shared" si="12"/>
        <v>-6.25E-2</v>
      </c>
      <c r="O19" s="18">
        <f t="shared" si="13"/>
        <v>-6250</v>
      </c>
      <c r="Q19" s="235"/>
      <c r="R19" s="235"/>
      <c r="S19" s="235"/>
    </row>
    <row r="20" spans="1:19" ht="17.25" customHeight="1" thickBot="1">
      <c r="A20" s="162" t="s">
        <v>120</v>
      </c>
      <c r="B20" s="126">
        <f t="shared" si="0"/>
        <v>139</v>
      </c>
      <c r="C20" s="77">
        <f t="shared" si="1"/>
        <v>-2.7972027999999999E-2</v>
      </c>
      <c r="D20" s="15">
        <f t="shared" si="2"/>
        <v>139</v>
      </c>
      <c r="E20" s="32">
        <f t="shared" si="3"/>
        <v>0</v>
      </c>
      <c r="F20" s="18">
        <f t="shared" si="4"/>
        <v>0</v>
      </c>
      <c r="G20" s="31">
        <f t="shared" si="5"/>
        <v>138</v>
      </c>
      <c r="H20" s="32">
        <f t="shared" si="6"/>
        <v>-7.1942446043165471E-3</v>
      </c>
      <c r="I20" s="101">
        <f t="shared" si="7"/>
        <v>-719.42446043165467</v>
      </c>
      <c r="J20" s="15">
        <f t="shared" si="8"/>
        <v>137</v>
      </c>
      <c r="K20" s="32">
        <f t="shared" si="9"/>
        <v>-1.4388489208633094E-2</v>
      </c>
      <c r="L20" s="18">
        <f t="shared" si="10"/>
        <v>-1438.8489208633093</v>
      </c>
      <c r="M20" s="31">
        <f t="shared" si="11"/>
        <v>139</v>
      </c>
      <c r="N20" s="32">
        <f t="shared" si="12"/>
        <v>0</v>
      </c>
      <c r="O20" s="18">
        <f t="shared" si="13"/>
        <v>0</v>
      </c>
      <c r="Q20" s="235"/>
      <c r="R20" s="235"/>
      <c r="S20" s="235"/>
    </row>
    <row r="21" spans="1:19" ht="17.25" customHeight="1" thickBot="1">
      <c r="A21" s="163" t="s">
        <v>246</v>
      </c>
      <c r="B21" s="128">
        <f t="shared" si="0"/>
        <v>283</v>
      </c>
      <c r="C21" s="78">
        <f t="shared" si="1"/>
        <v>-3.5211268000000001E-3</v>
      </c>
      <c r="D21" s="20">
        <f t="shared" si="2"/>
        <v>313</v>
      </c>
      <c r="E21" s="21">
        <f t="shared" si="3"/>
        <v>0.10600706713780919</v>
      </c>
      <c r="F21" s="22">
        <f t="shared" si="4"/>
        <v>10600.706713780919</v>
      </c>
      <c r="G21" s="30">
        <f t="shared" si="5"/>
        <v>283</v>
      </c>
      <c r="H21" s="21">
        <f t="shared" si="6"/>
        <v>0</v>
      </c>
      <c r="I21" s="105">
        <f t="shared" si="7"/>
        <v>0</v>
      </c>
      <c r="J21" s="20">
        <f t="shared" si="8"/>
        <v>264</v>
      </c>
      <c r="K21" s="21">
        <f t="shared" si="9"/>
        <v>-6.7137809187279157E-2</v>
      </c>
      <c r="L21" s="22">
        <f t="shared" si="10"/>
        <v>-6713.7809187279154</v>
      </c>
      <c r="M21" s="30">
        <f t="shared" si="11"/>
        <v>255</v>
      </c>
      <c r="N21" s="21">
        <f t="shared" si="12"/>
        <v>-9.8939929328621903E-2</v>
      </c>
      <c r="O21" s="22">
        <f t="shared" si="13"/>
        <v>-9893.9929328621911</v>
      </c>
      <c r="Q21" s="235"/>
      <c r="R21" s="235"/>
      <c r="S21" s="235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5"/>
      <c r="R22" s="235"/>
      <c r="S22" s="235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5"/>
      <c r="R23" s="235"/>
      <c r="S23" s="235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5"/>
      <c r="R24" s="235"/>
      <c r="S24" s="235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6"/>
      <c r="R26" s="237"/>
      <c r="S26" s="238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9"/>
      <c r="R27" s="240"/>
      <c r="S27" s="241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2"/>
      <c r="R28" s="243"/>
      <c r="S28" s="244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5"/>
      <c r="R29" s="235"/>
      <c r="S29" s="235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5"/>
      <c r="R30" s="245"/>
      <c r="S30" s="245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5"/>
      <c r="R31" s="245"/>
      <c r="S31" s="24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5"/>
      <c r="R32" s="235"/>
      <c r="S32" s="235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5"/>
      <c r="R33" s="235"/>
      <c r="S33" s="235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5"/>
      <c r="R34" s="235"/>
      <c r="S34" s="235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4"/>
      <c r="R35" s="225"/>
      <c r="S35" s="22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7"/>
      <c r="R36" s="228"/>
      <c r="S36" s="229"/>
    </row>
    <row r="37" spans="1:19" ht="17.25" customHeight="1" thickBot="1">
      <c r="A37" s="132" t="s">
        <v>42</v>
      </c>
      <c r="B37" s="288">
        <v>100000</v>
      </c>
      <c r="C37" s="289"/>
      <c r="D37" s="26" t="s">
        <v>43</v>
      </c>
      <c r="E37" s="27">
        <f>IF(COUNT(E17:E36), SUM(E17:E36) / COUNT(E17:E36), 0)</f>
        <v>7.7725152290782543E-2</v>
      </c>
      <c r="F37" s="28">
        <f>SUM(F17:F36)</f>
        <v>38862.576145391278</v>
      </c>
      <c r="G37" s="26" t="s">
        <v>43</v>
      </c>
      <c r="H37" s="27">
        <f>IF(COUNT(H17:H36), SUM(H17:H36) / COUNT(H17:H36), 0)</f>
        <v>-1.2054880312732524E-2</v>
      </c>
      <c r="I37" s="28">
        <f>SUM(I17:I36)</f>
        <v>-6027.4401563662623</v>
      </c>
      <c r="J37" s="26" t="s">
        <v>43</v>
      </c>
      <c r="K37" s="27">
        <f>IF(COUNT(K17:K36), SUM(K17:K36) / COUNT(K17:K36), 0)</f>
        <v>-4.5683108667704468E-2</v>
      </c>
      <c r="L37" s="28">
        <f>SUM(L17:L36)</f>
        <v>-22841.554333852233</v>
      </c>
      <c r="M37" s="26" t="s">
        <v>43</v>
      </c>
      <c r="N37" s="27">
        <f>IF(COUNT(N17:N36), SUM(N17:N36) / COUNT(N17:N36), 0)</f>
        <v>-5.0683670721561325E-2</v>
      </c>
      <c r="O37" s="28">
        <f>SUM(O17:O36)</f>
        <v>-25341.835360780664</v>
      </c>
      <c r="Q37" s="230"/>
      <c r="R37" s="231"/>
      <c r="S37" s="232"/>
    </row>
    <row r="38" spans="1:19" ht="17.25" customHeight="1"/>
    <row r="39" spans="1:19" ht="17.25" customHeight="1" thickBot="1"/>
    <row r="40" spans="1:19" ht="17.25" customHeight="1" thickBot="1">
      <c r="A40" s="246" t="s">
        <v>44</v>
      </c>
      <c r="B40" s="247"/>
      <c r="C40" s="247"/>
      <c r="D40" s="247"/>
      <c r="E40" s="247"/>
      <c r="F40" s="247"/>
      <c r="G40" s="247"/>
      <c r="H40" s="247"/>
      <c r="I40" s="247"/>
      <c r="J40" s="247"/>
      <c r="K40" s="247"/>
      <c r="L40" s="247"/>
      <c r="M40" s="247"/>
      <c r="N40" s="247"/>
      <c r="O40" s="248"/>
      <c r="Q40" s="245"/>
      <c r="R40" s="245"/>
      <c r="S40" s="245"/>
    </row>
    <row r="41" spans="1:19" ht="17.25" customHeight="1" thickBot="1">
      <c r="A41" s="200" t="s">
        <v>297</v>
      </c>
      <c r="B41" s="246" t="s">
        <v>49</v>
      </c>
      <c r="C41" s="248"/>
      <c r="D41" s="246" t="s">
        <v>58</v>
      </c>
      <c r="E41" s="247"/>
      <c r="F41" s="248"/>
      <c r="G41" s="249">
        <f>_xlfn.IFNA(VLOOKUP(B41, 현재가테이블!$B$2:$D$200, 2, FALSE), "-")</f>
        <v>45335000</v>
      </c>
      <c r="H41" s="250"/>
      <c r="I41" s="251"/>
      <c r="J41" s="246" t="s">
        <v>59</v>
      </c>
      <c r="K41" s="247"/>
      <c r="L41" s="248"/>
      <c r="M41" s="252">
        <f>_xlfn.IFNA(VLOOKUP(B41, 현재가테이블!$B$2:$D$200, 3, FALSE), "-")</f>
        <v>-2.27209037E-2</v>
      </c>
      <c r="N41" s="253"/>
      <c r="O41" s="254"/>
      <c r="Q41" s="245"/>
      <c r="R41" s="245"/>
      <c r="S41" s="245"/>
    </row>
    <row r="42" spans="1:19" ht="17.25" customHeight="1" thickBot="1">
      <c r="A42" s="290" t="s">
        <v>55</v>
      </c>
      <c r="B42" s="286" t="str">
        <f>TEXT($G$1, "[$-ko-KR]yyyy-mm-dd(ddd) ") &amp; "오전 00:00"</f>
        <v>2021-06-11(금) 오전 00:00</v>
      </c>
      <c r="C42" s="287"/>
      <c r="D42" s="259" t="str">
        <f>TEXT($G$1, "[$-ko-KR]yyyy-mm-dd(ddd) ") &amp; "오후 14:00"</f>
        <v>2021-06-11(금) 오후 14:00</v>
      </c>
      <c r="E42" s="260"/>
      <c r="F42" s="261"/>
      <c r="G42" s="259" t="str">
        <f>TEXT($G$1, "[$-ko-KR]yyyy-mm-dd(ddd) ") &amp; "오후 19:00"</f>
        <v>2021-06-11(금) 오후 19:00</v>
      </c>
      <c r="H42" s="260"/>
      <c r="I42" s="261"/>
      <c r="J42" s="259" t="str">
        <f>TEXT($G$1, "[$-ko-KR]yyyy-mm-dd(ddd) ") &amp; "오후 21:00"</f>
        <v>2021-06-11(금) 오후 21:00</v>
      </c>
      <c r="K42" s="260"/>
      <c r="L42" s="261"/>
      <c r="M42" s="259" t="str">
        <f>TEXT($G$1+1, "[$-ko-KR]yyyy-mm-dd(ddd) ") &amp; "오전 00:00"</f>
        <v>2021-06-12(토) 오전 00:00</v>
      </c>
      <c r="N42" s="260"/>
      <c r="O42" s="261"/>
      <c r="Q42" s="245"/>
      <c r="R42" s="245"/>
      <c r="S42" s="245"/>
    </row>
    <row r="43" spans="1:19" ht="17.25" customHeight="1" thickBot="1">
      <c r="A43" s="291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201" t="s">
        <v>58</v>
      </c>
      <c r="H43" s="202" t="s">
        <v>298</v>
      </c>
      <c r="I43" s="203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5"/>
      <c r="R43" s="235"/>
      <c r="S43" s="235"/>
    </row>
    <row r="44" spans="1:19" ht="17.25" customHeight="1" thickBot="1">
      <c r="A44" s="161" t="s">
        <v>254</v>
      </c>
      <c r="B44" s="124">
        <v>66.3</v>
      </c>
      <c r="C44" s="76">
        <v>0.4413043478</v>
      </c>
      <c r="D44" s="13">
        <v>56.4</v>
      </c>
      <c r="E44" s="14">
        <f>IF(ISNUMBER(D44), (D44 - $B44) / $B44, "")</f>
        <v>-0.14932126696832579</v>
      </c>
      <c r="F44" s="16">
        <f>IF(ISNUMBER(D44), $B64 * E44, "")</f>
        <v>-14932.126696832578</v>
      </c>
      <c r="G44" s="29">
        <v>37.6</v>
      </c>
      <c r="H44" s="14">
        <f>IF(ISNUMBER(G44), (G44 - $B44) / $B44, "")</f>
        <v>-0.43288084464555049</v>
      </c>
      <c r="I44" s="100">
        <f>IF(ISNUMBER(G44), $B64 * H44, "")</f>
        <v>-43288.084464555046</v>
      </c>
      <c r="J44" s="13">
        <v>36.6</v>
      </c>
      <c r="K44" s="14">
        <f>IF(ISNUMBER(J44), (J44 - $B44) / $B44, "")</f>
        <v>-0.44796380090497734</v>
      </c>
      <c r="L44" s="16">
        <f>IF(ISNUMBER(J44), $B64 * K44, "")</f>
        <v>-44796.380090497732</v>
      </c>
      <c r="M44" s="29">
        <v>37</v>
      </c>
      <c r="N44" s="14">
        <f>IF(ISNUMBER(M44), (M44 - $B44) / $B44, "")</f>
        <v>-0.44193061840120662</v>
      </c>
      <c r="O44" s="16">
        <f>IF(ISNUMBER(M44), $B64 * N44, "")</f>
        <v>-44193.061840120659</v>
      </c>
      <c r="Q44" s="245"/>
      <c r="R44" s="245"/>
      <c r="S44" s="245"/>
    </row>
    <row r="45" spans="1:19" ht="17.25" customHeight="1" thickBot="1">
      <c r="A45" s="162" t="s">
        <v>122</v>
      </c>
      <c r="B45" s="126">
        <v>70.400000000000006</v>
      </c>
      <c r="C45" s="77">
        <v>0.2117039587</v>
      </c>
      <c r="D45" s="15">
        <v>62.3</v>
      </c>
      <c r="E45" s="32">
        <f t="shared" ref="E45:E48" si="14">IF(ISNUMBER(D45), (D45 - $B45) / $B45, "")</f>
        <v>-0.11505681818181829</v>
      </c>
      <c r="F45" s="18">
        <f>IF(ISNUMBER(D45), $B64 * E45, "")</f>
        <v>-11505.681818181829</v>
      </c>
      <c r="G45" s="31">
        <v>39.799999999999997</v>
      </c>
      <c r="H45" s="32">
        <f t="shared" ref="H45:H48" si="15">IF(ISNUMBER(G45), (G45 - $B45) / $B45, "")</f>
        <v>-0.43465909090909099</v>
      </c>
      <c r="I45" s="101">
        <f>IF(ISNUMBER(G45), $B64 * H45, "")</f>
        <v>-43465.909090909103</v>
      </c>
      <c r="J45" s="15">
        <v>39.1</v>
      </c>
      <c r="K45" s="32">
        <f t="shared" ref="K45:K48" si="16">IF(ISNUMBER(J45), (J45 - $B45) / $B45, "")</f>
        <v>-0.44460227272727276</v>
      </c>
      <c r="L45" s="18">
        <f>IF(ISNUMBER(J45), $B64 * K45, "")</f>
        <v>-44460.227272727279</v>
      </c>
      <c r="M45" s="31">
        <v>40.200000000000003</v>
      </c>
      <c r="N45" s="32">
        <f t="shared" ref="N45:N48" si="17">IF(ISNUMBER(M45), (M45 - $B45) / $B45, "")</f>
        <v>-0.42897727272727271</v>
      </c>
      <c r="O45" s="18">
        <f>IF(ISNUMBER(M45), $B64 * N45, "")</f>
        <v>-42897.727272727272</v>
      </c>
      <c r="Q45" s="245"/>
      <c r="R45" s="245"/>
      <c r="S45" s="245"/>
    </row>
    <row r="46" spans="1:19" ht="17.25" customHeight="1" thickBot="1">
      <c r="A46" s="162" t="s">
        <v>186</v>
      </c>
      <c r="B46" s="126">
        <v>17.7</v>
      </c>
      <c r="C46" s="77">
        <v>0.10625</v>
      </c>
      <c r="D46" s="15">
        <v>17.2</v>
      </c>
      <c r="E46" s="32">
        <f t="shared" si="14"/>
        <v>-2.8248587570621469E-2</v>
      </c>
      <c r="F46" s="18">
        <f>IF(ISNUMBER(D46), $B64 * E46, "")</f>
        <v>-2824.8587570621471</v>
      </c>
      <c r="G46" s="31">
        <v>15.7</v>
      </c>
      <c r="H46" s="32">
        <f t="shared" si="15"/>
        <v>-0.11299435028248588</v>
      </c>
      <c r="I46" s="101">
        <f>IF(ISNUMBER(G46), $B64 * H46, "")</f>
        <v>-11299.435028248588</v>
      </c>
      <c r="J46" s="15">
        <v>15.4</v>
      </c>
      <c r="K46" s="32">
        <f t="shared" si="16"/>
        <v>-0.1299435028248587</v>
      </c>
      <c r="L46" s="18">
        <f>IF(ISNUMBER(J46), $B64 * K46, "")</f>
        <v>-12994.35028248587</v>
      </c>
      <c r="M46" s="31">
        <v>15.4</v>
      </c>
      <c r="N46" s="32">
        <f t="shared" si="17"/>
        <v>-0.1299435028248587</v>
      </c>
      <c r="O46" s="18">
        <f>IF(ISNUMBER(M46), $B64 * N46, "")</f>
        <v>-12994.35028248587</v>
      </c>
      <c r="Q46" s="235"/>
      <c r="R46" s="235"/>
      <c r="S46" s="235"/>
    </row>
    <row r="47" spans="1:19" ht="17.25" customHeight="1" thickBot="1">
      <c r="A47" s="162" t="s">
        <v>268</v>
      </c>
      <c r="B47" s="126">
        <v>50.3</v>
      </c>
      <c r="C47" s="77">
        <v>6.1181434600000001E-2</v>
      </c>
      <c r="D47" s="15">
        <v>67.5</v>
      </c>
      <c r="E47" s="32">
        <f t="shared" si="14"/>
        <v>0.3419483101391651</v>
      </c>
      <c r="F47" s="18">
        <f>IF(ISNUMBER(D47), $B64 * E47, "")</f>
        <v>34194.831013916511</v>
      </c>
      <c r="G47" s="31">
        <v>37.700000000000003</v>
      </c>
      <c r="H47" s="32">
        <f t="shared" si="15"/>
        <v>-0.25049701789264406</v>
      </c>
      <c r="I47" s="101">
        <f>IF(ISNUMBER(G47), $B64 * H47, "")</f>
        <v>-25049.701789264407</v>
      </c>
      <c r="J47" s="15">
        <v>38.5</v>
      </c>
      <c r="K47" s="32">
        <f t="shared" si="16"/>
        <v>-0.23459244532803178</v>
      </c>
      <c r="L47" s="18">
        <f>IF(ISNUMBER(J47), $B64 * K47, "")</f>
        <v>-23459.244532803179</v>
      </c>
      <c r="M47" s="31">
        <v>40.799999999999997</v>
      </c>
      <c r="N47" s="32">
        <f t="shared" si="17"/>
        <v>-0.1888667992047714</v>
      </c>
      <c r="O47" s="18">
        <f>IF(ISNUMBER(M47), $B64 * N47, "")</f>
        <v>-18886.679920477141</v>
      </c>
      <c r="Q47" s="235"/>
      <c r="R47" s="235"/>
      <c r="S47" s="235"/>
    </row>
    <row r="48" spans="1:19" ht="17.25" customHeight="1" thickBot="1">
      <c r="A48" s="163" t="s">
        <v>220</v>
      </c>
      <c r="B48" s="128">
        <v>12.3</v>
      </c>
      <c r="C48" s="78">
        <v>6.0344827599999998E-2</v>
      </c>
      <c r="D48" s="20">
        <v>12.1</v>
      </c>
      <c r="E48" s="21">
        <f t="shared" si="14"/>
        <v>-1.6260162601626101E-2</v>
      </c>
      <c r="F48" s="22">
        <f>IF(ISNUMBER(D48), $B64 * E48, "")</f>
        <v>-1626.01626016261</v>
      </c>
      <c r="G48" s="30">
        <v>11.1</v>
      </c>
      <c r="H48" s="21">
        <f t="shared" si="15"/>
        <v>-9.7560975609756184E-2</v>
      </c>
      <c r="I48" s="105">
        <f>IF(ISNUMBER(G48), $B64 * H48, "")</f>
        <v>-9756.0975609756188</v>
      </c>
      <c r="J48" s="20">
        <v>11</v>
      </c>
      <c r="K48" s="21">
        <f t="shared" si="16"/>
        <v>-0.10569105691056915</v>
      </c>
      <c r="L48" s="22">
        <f>IF(ISNUMBER(J48), $B64 * K48, "")</f>
        <v>-10569.105691056915</v>
      </c>
      <c r="M48" s="30">
        <v>10.9</v>
      </c>
      <c r="N48" s="21">
        <f t="shared" si="17"/>
        <v>-0.11382113821138214</v>
      </c>
      <c r="O48" s="22">
        <f>IF(ISNUMBER(M48), $B64 * N48, "")</f>
        <v>-11382.113821138213</v>
      </c>
      <c r="Q48" s="235"/>
      <c r="R48" s="235"/>
      <c r="S48" s="235"/>
    </row>
    <row r="49" spans="1:19" ht="17.25" customHeight="1" thickBot="1">
      <c r="A49" s="162" t="s">
        <v>266</v>
      </c>
      <c r="B49" s="129">
        <v>56.4</v>
      </c>
      <c r="C49" s="80">
        <v>5.4205607500000003E-2</v>
      </c>
      <c r="D49" s="106">
        <v>95.3</v>
      </c>
      <c r="E49" s="107">
        <f>IF(ISNUMBER(D49), (D49 - $B49) / $B49, "")</f>
        <v>0.68971631205673756</v>
      </c>
      <c r="F49" s="108">
        <f>IF(ISNUMBER(D49), $B64 * E49, "")</f>
        <v>68971.631205673752</v>
      </c>
      <c r="G49" s="109">
        <v>81.2</v>
      </c>
      <c r="H49" s="107">
        <f>IF(ISNUMBER(G49), (G49 - $B49) / $B49, "")</f>
        <v>0.43971631205673767</v>
      </c>
      <c r="I49" s="110">
        <f>IF(ISNUMBER(G49), $B64 * H49, "")</f>
        <v>43971.631205673766</v>
      </c>
      <c r="J49" s="106">
        <v>77.5</v>
      </c>
      <c r="K49" s="107">
        <f>IF(ISNUMBER(J49), (J49 - $B49) / $B49, "")</f>
        <v>0.37411347517730498</v>
      </c>
      <c r="L49" s="108">
        <f>IF(ISNUMBER(J49), $B64 * K49, "")</f>
        <v>37411.347517730501</v>
      </c>
      <c r="M49" s="109">
        <v>70.8</v>
      </c>
      <c r="N49" s="107">
        <f>IF(ISNUMBER(M49), (M49 - $B49) / $B49, "")</f>
        <v>0.25531914893617019</v>
      </c>
      <c r="O49" s="108">
        <f>IF(ISNUMBER(M49), $B64 * N49, "")</f>
        <v>25531.91489361702</v>
      </c>
      <c r="Q49" s="235"/>
      <c r="R49" s="235"/>
      <c r="S49" s="235"/>
    </row>
    <row r="50" spans="1:19" ht="17.25" customHeight="1" thickBot="1">
      <c r="A50" s="162" t="s">
        <v>154</v>
      </c>
      <c r="B50" s="126">
        <v>10.9</v>
      </c>
      <c r="C50" s="77">
        <v>4.8076923100000002E-2</v>
      </c>
      <c r="D50" s="15">
        <v>11.4</v>
      </c>
      <c r="E50" s="32">
        <f t="shared" ref="E50:E53" si="18">IF(ISNUMBER(D50), (D50 - $B50) / $B50, "")</f>
        <v>4.5871559633027519E-2</v>
      </c>
      <c r="F50" s="18">
        <f>IF(ISNUMBER(D50), $B64 * E50, "")</f>
        <v>4587.1559633027518</v>
      </c>
      <c r="G50" s="31">
        <v>10.4</v>
      </c>
      <c r="H50" s="32">
        <f t="shared" ref="H50:H53" si="19">IF(ISNUMBER(G50), (G50 - $B50) / $B50, "")</f>
        <v>-4.5871559633027519E-2</v>
      </c>
      <c r="I50" s="101">
        <f>IF(ISNUMBER(G50), $B64 * H50, "")</f>
        <v>-4587.1559633027518</v>
      </c>
      <c r="J50" s="15">
        <v>10.199999999999999</v>
      </c>
      <c r="K50" s="32">
        <f t="shared" ref="K50:K53" si="20">IF(ISNUMBER(J50), (J50 - $B50) / $B50, "")</f>
        <v>-6.4220183486238633E-2</v>
      </c>
      <c r="L50" s="18">
        <f>IF(ISNUMBER(J50), $B64 * K50, "")</f>
        <v>-6422.0183486238629</v>
      </c>
      <c r="M50" s="31">
        <v>10.1</v>
      </c>
      <c r="N50" s="32">
        <f t="shared" ref="N50:N53" si="21">IF(ISNUMBER(M50), (M50 - $B50) / $B50, "")</f>
        <v>-7.3394495412844096E-2</v>
      </c>
      <c r="O50" s="18">
        <f>IF(ISNUMBER(M50), $B64 * N50, "")</f>
        <v>-7339.4495412844099</v>
      </c>
      <c r="Q50" s="235"/>
      <c r="R50" s="235"/>
      <c r="S50" s="235"/>
    </row>
    <row r="51" spans="1:19" ht="17.25" customHeight="1" thickBot="1">
      <c r="A51" s="162" t="s">
        <v>264</v>
      </c>
      <c r="B51" s="126">
        <v>83.4</v>
      </c>
      <c r="C51" s="77">
        <v>4.5112781999999997E-2</v>
      </c>
      <c r="D51" s="15">
        <v>86.8</v>
      </c>
      <c r="E51" s="32">
        <f t="shared" si="18"/>
        <v>4.0767386091126991E-2</v>
      </c>
      <c r="F51" s="18">
        <f>IF(ISNUMBER(D51), $B64 * E51, "")</f>
        <v>4076.7386091126991</v>
      </c>
      <c r="G51" s="31">
        <v>79.400000000000006</v>
      </c>
      <c r="H51" s="32">
        <f t="shared" si="19"/>
        <v>-4.7961630695443645E-2</v>
      </c>
      <c r="I51" s="101">
        <f>IF(ISNUMBER(G51), $B64 * H51, "")</f>
        <v>-4796.1630695443646</v>
      </c>
      <c r="J51" s="15">
        <v>79.599999999999994</v>
      </c>
      <c r="K51" s="32">
        <f t="shared" si="20"/>
        <v>-4.5563549160671596E-2</v>
      </c>
      <c r="L51" s="18">
        <f>IF(ISNUMBER(J51), $B64 * K51, "")</f>
        <v>-4556.3549160671591</v>
      </c>
      <c r="M51" s="31">
        <v>79</v>
      </c>
      <c r="N51" s="32">
        <f t="shared" si="21"/>
        <v>-5.2757793764988077E-2</v>
      </c>
      <c r="O51" s="18">
        <f>IF(ISNUMBER(M51), $B64 * N51, "")</f>
        <v>-5275.7793764988073</v>
      </c>
      <c r="Q51" s="235"/>
      <c r="R51" s="235"/>
      <c r="S51" s="235"/>
    </row>
    <row r="52" spans="1:19" ht="17.25" customHeight="1" thickBot="1">
      <c r="A52" s="162" t="s">
        <v>218</v>
      </c>
      <c r="B52" s="126">
        <v>15.8</v>
      </c>
      <c r="C52" s="77">
        <v>3.9473684199999998E-2</v>
      </c>
      <c r="D52" s="15">
        <v>17.100000000000001</v>
      </c>
      <c r="E52" s="32">
        <f t="shared" si="18"/>
        <v>8.2278481012658264E-2</v>
      </c>
      <c r="F52" s="18">
        <f>IF(ISNUMBER(D52), $B64 * E52, "")</f>
        <v>8227.8481012658267</v>
      </c>
      <c r="G52" s="31">
        <v>8.84</v>
      </c>
      <c r="H52" s="32">
        <f t="shared" si="19"/>
        <v>-0.44050632911392407</v>
      </c>
      <c r="I52" s="101">
        <f>IF(ISNUMBER(G52), $B64 * H52, "")</f>
        <v>-44050.632911392408</v>
      </c>
      <c r="J52" s="15">
        <v>8.61</v>
      </c>
      <c r="K52" s="32">
        <f t="shared" si="20"/>
        <v>-0.45506329113924054</v>
      </c>
      <c r="L52" s="18">
        <f>IF(ISNUMBER(J52), $B64 * K52, "")</f>
        <v>-45506.329113924054</v>
      </c>
      <c r="M52" s="31">
        <v>8.82</v>
      </c>
      <c r="N52" s="32">
        <f t="shared" si="21"/>
        <v>-0.4417721518987342</v>
      </c>
      <c r="O52" s="18">
        <f>IF(ISNUMBER(M52), $B64 * N52, "")</f>
        <v>-44177.215189873423</v>
      </c>
      <c r="Q52" s="33"/>
      <c r="R52" s="33"/>
    </row>
    <row r="53" spans="1:19" ht="17.25" customHeight="1" thickBot="1">
      <c r="A53" s="130" t="s">
        <v>222</v>
      </c>
      <c r="B53" s="131">
        <v>11.3</v>
      </c>
      <c r="C53" s="79">
        <v>3.6697247699999998E-2</v>
      </c>
      <c r="D53" s="24">
        <v>11.7</v>
      </c>
      <c r="E53" s="25">
        <f t="shared" si="18"/>
        <v>3.539823008849545E-2</v>
      </c>
      <c r="F53" s="104">
        <f>IF(ISNUMBER(D53), $B64 * E53, "")</f>
        <v>3539.8230088495452</v>
      </c>
      <c r="G53" s="102">
        <v>10.5</v>
      </c>
      <c r="H53" s="25">
        <f t="shared" si="19"/>
        <v>-7.0796460176991205E-2</v>
      </c>
      <c r="I53" s="103">
        <f>IF(ISNUMBER(G53), $B64 * H53, "")</f>
        <v>-7079.6460176991204</v>
      </c>
      <c r="J53" s="24">
        <v>10</v>
      </c>
      <c r="K53" s="25">
        <f t="shared" si="20"/>
        <v>-0.11504424778761067</v>
      </c>
      <c r="L53" s="104">
        <f>IF(ISNUMBER(J53), $B64 * K53, "")</f>
        <v>-11504.424778761068</v>
      </c>
      <c r="M53" s="102">
        <v>9.9600000000000009</v>
      </c>
      <c r="N53" s="25">
        <f t="shared" si="21"/>
        <v>-0.11858407079646016</v>
      </c>
      <c r="O53" s="104">
        <f>IF(ISNUMBER(M53), $B64 * N53, "")</f>
        <v>-11858.407079646016</v>
      </c>
      <c r="Q53" s="236"/>
      <c r="R53" s="237"/>
      <c r="S53" s="238"/>
    </row>
    <row r="54" spans="1:19" ht="17.25" customHeight="1">
      <c r="A54" s="161" t="s">
        <v>260</v>
      </c>
      <c r="B54" s="124">
        <v>66.400000000000006</v>
      </c>
      <c r="C54" s="76">
        <v>3.4267912800000001E-2</v>
      </c>
      <c r="D54" s="13">
        <v>80.099999999999994</v>
      </c>
      <c r="E54" s="14">
        <f>IF(ISNUMBER(D54), (D54 - $B54) / $B54, "")</f>
        <v>0.20632530120481909</v>
      </c>
      <c r="F54" s="16">
        <f>IF(ISNUMBER(D54), $B64 * E54, "")</f>
        <v>20632.530120481908</v>
      </c>
      <c r="G54" s="29">
        <v>62</v>
      </c>
      <c r="H54" s="14">
        <f>IF(ISNUMBER(G54), (G54 - $B54) / $B54, "")</f>
        <v>-6.626506024096393E-2</v>
      </c>
      <c r="I54" s="100">
        <f>IF(ISNUMBER(G54), $B64 * H54, "")</f>
        <v>-6626.506024096393</v>
      </c>
      <c r="J54" s="13">
        <v>60.4</v>
      </c>
      <c r="K54" s="14">
        <f>IF(ISNUMBER(J54), (J54 - $B54) / $B54, "")</f>
        <v>-9.0361445783132627E-2</v>
      </c>
      <c r="L54" s="16">
        <f>IF(ISNUMBER(J54), $B64 * K54, "")</f>
        <v>-9036.1445783132622</v>
      </c>
      <c r="M54" s="29">
        <v>60.9</v>
      </c>
      <c r="N54" s="14">
        <f>IF(ISNUMBER(M54), (M54 - $B54) / $B54, "")</f>
        <v>-8.2831325301204919E-2</v>
      </c>
      <c r="O54" s="16">
        <f>IF(ISNUMBER(M54), $B64 * N54, "")</f>
        <v>-8283.1325301204924</v>
      </c>
      <c r="Q54" s="239"/>
      <c r="R54" s="240"/>
      <c r="S54" s="241"/>
    </row>
    <row r="55" spans="1:19" ht="17.25" customHeight="1" thickBot="1">
      <c r="A55" s="162" t="s">
        <v>198</v>
      </c>
      <c r="B55" s="126">
        <v>15.3</v>
      </c>
      <c r="C55" s="77">
        <v>2.68456376E-2</v>
      </c>
      <c r="D55" s="15">
        <v>16.100000000000001</v>
      </c>
      <c r="E55" s="32">
        <f t="shared" ref="E55:E58" si="22">IF(ISNUMBER(D55), (D55 - $B55) / $B55, "")</f>
        <v>5.2287581699346448E-2</v>
      </c>
      <c r="F55" s="18">
        <f>IF(ISNUMBER(D55), $B64 * E55, "")</f>
        <v>5228.7581699346447</v>
      </c>
      <c r="G55" s="31">
        <v>14.1</v>
      </c>
      <c r="H55" s="32">
        <f t="shared" ref="H55:H58" si="23">IF(ISNUMBER(G55), (G55 - $B55) / $B55, "")</f>
        <v>-7.8431372549019676E-2</v>
      </c>
      <c r="I55" s="101">
        <f>IF(ISNUMBER(G55), $B64 * H55, "")</f>
        <v>-7843.1372549019679</v>
      </c>
      <c r="J55" s="15">
        <v>13.7</v>
      </c>
      <c r="K55" s="32">
        <f t="shared" ref="K55:K58" si="24">IF(ISNUMBER(J55), (J55 - $B55) / $B55, "")</f>
        <v>-0.1045751633986929</v>
      </c>
      <c r="L55" s="18">
        <f>IF(ISNUMBER(J55), $B64 * K55, "")</f>
        <v>-10457.516339869289</v>
      </c>
      <c r="M55" s="31">
        <v>13.5</v>
      </c>
      <c r="N55" s="32">
        <f t="shared" ref="N55:N58" si="25">IF(ISNUMBER(M55), (M55 - $B55) / $B55, "")</f>
        <v>-0.11764705882352945</v>
      </c>
      <c r="O55" s="18">
        <f>IF(ISNUMBER(M55), $B64 * N55, "")</f>
        <v>-11764.705882352946</v>
      </c>
      <c r="Q55" s="242"/>
      <c r="R55" s="243"/>
      <c r="S55" s="244"/>
    </row>
    <row r="56" spans="1:19" ht="17.25" customHeight="1" thickBot="1">
      <c r="A56" s="162" t="s">
        <v>214</v>
      </c>
      <c r="B56" s="126">
        <v>12.7</v>
      </c>
      <c r="C56" s="77">
        <v>2.4193548400000001E-2</v>
      </c>
      <c r="D56" s="15">
        <v>14</v>
      </c>
      <c r="E56" s="32">
        <f t="shared" si="22"/>
        <v>0.10236220472440952</v>
      </c>
      <c r="F56" s="18">
        <f>IF(ISNUMBER(D56), $B64 * E56, "")</f>
        <v>10236.220472440951</v>
      </c>
      <c r="G56" s="31">
        <v>11.8</v>
      </c>
      <c r="H56" s="32">
        <f t="shared" si="23"/>
        <v>-7.0866141732283353E-2</v>
      </c>
      <c r="I56" s="101">
        <f>IF(ISNUMBER(G56), $B64 * H56, "")</f>
        <v>-7086.6141732283349</v>
      </c>
      <c r="J56" s="15">
        <v>11.2</v>
      </c>
      <c r="K56" s="32">
        <f t="shared" si="24"/>
        <v>-0.11811023622047245</v>
      </c>
      <c r="L56" s="18">
        <f>IF(ISNUMBER(J56), $B64 * K56, "")</f>
        <v>-11811.023622047245</v>
      </c>
      <c r="M56" s="31">
        <v>11.3</v>
      </c>
      <c r="N56" s="32">
        <f t="shared" si="25"/>
        <v>-0.11023622047244083</v>
      </c>
      <c r="O56" s="18">
        <f>IF(ISNUMBER(M56), $B64 * N56, "")</f>
        <v>-11023.622047244084</v>
      </c>
      <c r="Q56" s="235"/>
      <c r="R56" s="235"/>
      <c r="S56" s="235"/>
    </row>
    <row r="57" spans="1:19" ht="17.25" customHeight="1" thickBot="1">
      <c r="A57" s="162" t="s">
        <v>72</v>
      </c>
      <c r="B57" s="126">
        <v>19.7</v>
      </c>
      <c r="C57" s="77">
        <v>2.0725388599999998E-2</v>
      </c>
      <c r="D57" s="15">
        <v>24.3</v>
      </c>
      <c r="E57" s="32">
        <f t="shared" si="22"/>
        <v>0.23350253807106608</v>
      </c>
      <c r="F57" s="18">
        <f>IF(ISNUMBER(D57), $B64 * E57, "")</f>
        <v>23350.253807106608</v>
      </c>
      <c r="G57" s="31">
        <v>21.9</v>
      </c>
      <c r="H57" s="32">
        <f t="shared" si="23"/>
        <v>0.11167512690355327</v>
      </c>
      <c r="I57" s="101">
        <f>IF(ISNUMBER(G57), $B64 * H57, "")</f>
        <v>11167.512690355328</v>
      </c>
      <c r="J57" s="15">
        <v>20.8</v>
      </c>
      <c r="K57" s="32">
        <f t="shared" si="24"/>
        <v>5.5837563451776727E-2</v>
      </c>
      <c r="L57" s="18">
        <f>IF(ISNUMBER(J57), $B64 * K57, "")</f>
        <v>5583.7563451776723</v>
      </c>
      <c r="M57" s="31">
        <v>20</v>
      </c>
      <c r="N57" s="32">
        <f t="shared" si="25"/>
        <v>1.5228426395939123E-2</v>
      </c>
      <c r="O57" s="18">
        <f>IF(ISNUMBER(M57), $B64 * N57, "")</f>
        <v>1522.8426395939123</v>
      </c>
      <c r="Q57" s="245"/>
      <c r="R57" s="245"/>
      <c r="S57" s="245"/>
    </row>
    <row r="58" spans="1:19" ht="17.25" customHeight="1" thickBot="1">
      <c r="A58" s="163" t="s">
        <v>212</v>
      </c>
      <c r="B58" s="128">
        <v>68.900000000000006</v>
      </c>
      <c r="C58" s="78">
        <v>1.0263929600000001E-2</v>
      </c>
      <c r="D58" s="20">
        <v>75.400000000000006</v>
      </c>
      <c r="E58" s="21">
        <f t="shared" si="22"/>
        <v>9.4339622641509427E-2</v>
      </c>
      <c r="F58" s="22">
        <f>IF(ISNUMBER(D58), $B64 * E58, "")</f>
        <v>9433.9622641509432</v>
      </c>
      <c r="G58" s="30">
        <v>64.099999999999994</v>
      </c>
      <c r="H58" s="21">
        <f t="shared" si="23"/>
        <v>-6.9666182873730206E-2</v>
      </c>
      <c r="I58" s="105">
        <f>IF(ISNUMBER(G58), $B64 * H58, "")</f>
        <v>-6966.6182873730204</v>
      </c>
      <c r="J58" s="20">
        <v>63.2</v>
      </c>
      <c r="K58" s="21">
        <f t="shared" si="24"/>
        <v>-8.272859216255446E-2</v>
      </c>
      <c r="L58" s="22">
        <f>IF(ISNUMBER(J58), $B64 * K58, "")</f>
        <v>-8272.8592162554451</v>
      </c>
      <c r="M58" s="30">
        <v>62.8</v>
      </c>
      <c r="N58" s="21">
        <f t="shared" si="25"/>
        <v>-8.8534107402032047E-2</v>
      </c>
      <c r="O58" s="22">
        <f>IF(ISNUMBER(M58), $B64 * N58, "")</f>
        <v>-8853.4107402032041</v>
      </c>
      <c r="Q58" s="245"/>
      <c r="R58" s="245"/>
      <c r="S58" s="245"/>
    </row>
    <row r="59" spans="1:19" ht="17.25" customHeight="1" thickBot="1">
      <c r="A59" s="162" t="s">
        <v>228</v>
      </c>
      <c r="B59" s="129">
        <v>10.1</v>
      </c>
      <c r="C59" s="80">
        <v>0.01</v>
      </c>
      <c r="D59" s="106">
        <v>10.7</v>
      </c>
      <c r="E59" s="107">
        <f>IF(ISNUMBER(D59), (D59 - $B59) / $B59, "")</f>
        <v>5.9405940594059375E-2</v>
      </c>
      <c r="F59" s="108">
        <f>IF(ISNUMBER(D59), $B64 * E59, "")</f>
        <v>5940.5940594059375</v>
      </c>
      <c r="G59" s="109">
        <v>9.52</v>
      </c>
      <c r="H59" s="107">
        <f>IF(ISNUMBER(G59), (G59 - $B59) / $B59, "")</f>
        <v>-5.7425742574257435E-2</v>
      </c>
      <c r="I59" s="110">
        <f>IF(ISNUMBER(G59), $B64 * H59, "")</f>
        <v>-5742.5742574257438</v>
      </c>
      <c r="J59" s="106">
        <v>9.2799999999999994</v>
      </c>
      <c r="K59" s="107">
        <f>IF(ISNUMBER(J59), (J59 - $B59) / $B59, "")</f>
        <v>-8.1188118811881219E-2</v>
      </c>
      <c r="L59" s="108">
        <f>IF(ISNUMBER(J59), $B64 * K59, "")</f>
        <v>-8118.8118811881222</v>
      </c>
      <c r="M59" s="109">
        <v>9.1199999999999992</v>
      </c>
      <c r="N59" s="107">
        <f>IF(ISNUMBER(M59), (M59 - $B59) / $B59, "")</f>
        <v>-9.7029702970297074E-2</v>
      </c>
      <c r="O59" s="108">
        <f>IF(ISNUMBER(M59), $B64 * N59, "")</f>
        <v>-9702.9702970297076</v>
      </c>
      <c r="Q59" s="235"/>
      <c r="R59" s="235"/>
      <c r="S59" s="235"/>
    </row>
    <row r="60" spans="1:19" ht="17.25" customHeight="1" thickBot="1">
      <c r="A60" s="162" t="s">
        <v>196</v>
      </c>
      <c r="B60" s="126">
        <v>11.2</v>
      </c>
      <c r="C60" s="77">
        <v>9.0090090000000001E-3</v>
      </c>
      <c r="D60" s="15">
        <v>12.1</v>
      </c>
      <c r="E60" s="32">
        <f t="shared" ref="E60:E63" si="26">IF(ISNUMBER(D60), (D60 - $B60) / $B60, "")</f>
        <v>8.0357142857142891E-2</v>
      </c>
      <c r="F60" s="18">
        <f>IF(ISNUMBER(D60), $B64 * E60, "")</f>
        <v>8035.714285714289</v>
      </c>
      <c r="G60" s="31">
        <v>10.7</v>
      </c>
      <c r="H60" s="32">
        <f t="shared" ref="H60:H63" si="27">IF(ISNUMBER(G60), (G60 - $B60) / $B60, "")</f>
        <v>-4.4642857142857144E-2</v>
      </c>
      <c r="I60" s="101">
        <f>IF(ISNUMBER(G60), $B64 * H60, "")</f>
        <v>-4464.2857142857147</v>
      </c>
      <c r="J60" s="15">
        <v>10.3</v>
      </c>
      <c r="K60" s="32">
        <f t="shared" ref="K60:K63" si="28">IF(ISNUMBER(J60), (J60 - $B60) / $B60, "")</f>
        <v>-8.0357142857142738E-2</v>
      </c>
      <c r="L60" s="18">
        <f>IF(ISNUMBER(J60), $B64 * K60, "")</f>
        <v>-8035.7142857142735</v>
      </c>
      <c r="M60" s="31">
        <v>10.3</v>
      </c>
      <c r="N60" s="32">
        <f t="shared" ref="N60:N63" si="29">IF(ISNUMBER(M60), (M60 - $B60) / $B60, "")</f>
        <v>-8.0357142857142738E-2</v>
      </c>
      <c r="O60" s="18">
        <f>IF(ISNUMBER(M60), $B64 * N60, "")</f>
        <v>-8035.7142857142735</v>
      </c>
      <c r="Q60" s="235"/>
      <c r="R60" s="235"/>
      <c r="S60" s="235"/>
    </row>
    <row r="61" spans="1:19" ht="17.25" customHeight="1" thickBot="1">
      <c r="A61" s="162" t="s">
        <v>236</v>
      </c>
      <c r="B61" s="126">
        <v>53.7</v>
      </c>
      <c r="C61" s="77">
        <v>3.7383178E-3</v>
      </c>
      <c r="D61" s="15">
        <v>61.9</v>
      </c>
      <c r="E61" s="32">
        <f t="shared" si="26"/>
        <v>0.15270018621973921</v>
      </c>
      <c r="F61" s="18">
        <f>IF(ISNUMBER(D61), $B64 * E61, "")</f>
        <v>15270.018621973921</v>
      </c>
      <c r="G61" s="31">
        <v>31.9</v>
      </c>
      <c r="H61" s="32">
        <f t="shared" si="27"/>
        <v>-0.40595903165735575</v>
      </c>
      <c r="I61" s="101">
        <f>IF(ISNUMBER(G61), $B64 * H61, "")</f>
        <v>-40595.903165735574</v>
      </c>
      <c r="J61" s="15">
        <v>30.6</v>
      </c>
      <c r="K61" s="32">
        <f t="shared" si="28"/>
        <v>-0.43016759776536312</v>
      </c>
      <c r="L61" s="18">
        <f>IF(ISNUMBER(J61), $B64 * K61, "")</f>
        <v>-43016.75977653631</v>
      </c>
      <c r="M61" s="31">
        <v>31.1</v>
      </c>
      <c r="N61" s="32">
        <f t="shared" si="29"/>
        <v>-0.42085661080074488</v>
      </c>
      <c r="O61" s="18">
        <f>IF(ISNUMBER(M61), $B64 * N61, "")</f>
        <v>-42085.661080074489</v>
      </c>
      <c r="Q61" s="235"/>
      <c r="R61" s="235"/>
      <c r="S61" s="235"/>
    </row>
    <row r="62" spans="1:19" ht="17.25" customHeight="1">
      <c r="A62" s="162" t="s">
        <v>126</v>
      </c>
      <c r="B62" s="126">
        <v>27</v>
      </c>
      <c r="C62" s="77">
        <v>3.7174720999999999E-3</v>
      </c>
      <c r="D62" s="15">
        <v>31.4</v>
      </c>
      <c r="E62" s="32">
        <f t="shared" si="26"/>
        <v>0.16296296296296292</v>
      </c>
      <c r="F62" s="18">
        <f>IF(ISNUMBER(D62), $B64 * E62, "")</f>
        <v>16296.296296296292</v>
      </c>
      <c r="G62" s="31">
        <v>28.8</v>
      </c>
      <c r="H62" s="32">
        <f t="shared" si="27"/>
        <v>6.6666666666666693E-2</v>
      </c>
      <c r="I62" s="101">
        <f>IF(ISNUMBER(G62), $B64 * H62, "")</f>
        <v>6666.6666666666697</v>
      </c>
      <c r="J62" s="15">
        <v>28.5</v>
      </c>
      <c r="K62" s="32">
        <f t="shared" si="28"/>
        <v>5.5555555555555552E-2</v>
      </c>
      <c r="L62" s="18">
        <f>IF(ISNUMBER(J62), $B64 * K62, "")</f>
        <v>5555.5555555555557</v>
      </c>
      <c r="M62" s="31">
        <v>27.2</v>
      </c>
      <c r="N62" s="32">
        <f t="shared" si="29"/>
        <v>7.4074074074073808E-3</v>
      </c>
      <c r="O62" s="18">
        <f>IF(ISNUMBER(M62), $B64 * N62, "")</f>
        <v>740.74074074073803</v>
      </c>
      <c r="Q62" s="224"/>
      <c r="R62" s="225"/>
      <c r="S62" s="226"/>
    </row>
    <row r="63" spans="1:19" ht="17.25" customHeight="1" thickBot="1">
      <c r="A63" s="130" t="s">
        <v>152</v>
      </c>
      <c r="B63" s="131">
        <v>19.3</v>
      </c>
      <c r="C63" s="79">
        <v>-5.1546392E-3</v>
      </c>
      <c r="D63" s="24">
        <v>19.399999999999999</v>
      </c>
      <c r="E63" s="25">
        <f t="shared" si="26"/>
        <v>5.1813471502589565E-3</v>
      </c>
      <c r="F63" s="104">
        <f>IF(ISNUMBER(D63), $B64 * E63, "")</f>
        <v>518.13471502589562</v>
      </c>
      <c r="G63" s="102">
        <v>18.8</v>
      </c>
      <c r="H63" s="25">
        <f t="shared" si="27"/>
        <v>-2.5906735751295335E-2</v>
      </c>
      <c r="I63" s="103">
        <f>IF(ISNUMBER(G63), $B64 * H63, "")</f>
        <v>-2590.6735751295337</v>
      </c>
      <c r="J63" s="24">
        <v>18.5</v>
      </c>
      <c r="K63" s="25">
        <f t="shared" si="28"/>
        <v>-4.1450777202072575E-2</v>
      </c>
      <c r="L63" s="104">
        <f>IF(ISNUMBER(J63), $B64 * K63, "")</f>
        <v>-4145.0777202072577</v>
      </c>
      <c r="M63" s="102">
        <v>18.3</v>
      </c>
      <c r="N63" s="25">
        <f t="shared" si="29"/>
        <v>-5.181347150259067E-2</v>
      </c>
      <c r="O63" s="104">
        <f>IF(ISNUMBER(M63), $B64 * N63, "")</f>
        <v>-5181.3471502590673</v>
      </c>
      <c r="Q63" s="227"/>
      <c r="R63" s="228"/>
      <c r="S63" s="229"/>
    </row>
    <row r="64" spans="1:19" ht="17.25" customHeight="1" thickBot="1">
      <c r="A64" s="132" t="s">
        <v>300</v>
      </c>
      <c r="B64" s="288">
        <f>$B$37</f>
        <v>100000</v>
      </c>
      <c r="C64" s="289"/>
      <c r="D64" s="26" t="s">
        <v>301</v>
      </c>
      <c r="E64" s="27">
        <f>IF(COUNT(E44:E63), SUM(E44:E63) / COUNT(E44:E63), 0)</f>
        <v>0.10382591359120666</v>
      </c>
      <c r="F64" s="28">
        <f>SUM(F44:F63)</f>
        <v>207651.82718241334</v>
      </c>
      <c r="G64" s="26" t="s">
        <v>301</v>
      </c>
      <c r="H64" s="27">
        <f>IF(COUNT(H44:H63), SUM(H44:H63) / COUNT(H44:H63), 0)</f>
        <v>-0.10674166389268595</v>
      </c>
      <c r="I64" s="28">
        <f>SUM(I44:I63)</f>
        <v>-213483.32778537189</v>
      </c>
      <c r="J64" s="26" t="s">
        <v>301</v>
      </c>
      <c r="K64" s="27">
        <f>IF(COUNT(K44:K63), SUM(K44:K63) / COUNT(K44:K63), 0)</f>
        <v>-0.1293058415143073</v>
      </c>
      <c r="L64" s="28">
        <f>SUM(L44:L63)</f>
        <v>-258611.68302861459</v>
      </c>
      <c r="M64" s="26" t="s">
        <v>301</v>
      </c>
      <c r="N64" s="27">
        <f>IF(COUNT(N44:N63), SUM(N44:N63) / COUNT(N44:N63), 0)</f>
        <v>-0.13806992503164922</v>
      </c>
      <c r="O64" s="28">
        <f>SUM(O44:O63)</f>
        <v>-276139.85006329842</v>
      </c>
      <c r="Q64" s="230"/>
      <c r="R64" s="231"/>
      <c r="S64" s="232"/>
    </row>
    <row r="65" spans="1:19" ht="17.25" customHeight="1"/>
    <row r="66" spans="1:19" ht="17.25" customHeight="1" thickBot="1"/>
    <row r="67" spans="1:19" ht="17.25" thickBot="1">
      <c r="A67" s="246" t="s">
        <v>45</v>
      </c>
      <c r="B67" s="247"/>
      <c r="C67" s="247"/>
      <c r="D67" s="247"/>
      <c r="E67" s="247"/>
      <c r="F67" s="247"/>
      <c r="G67" s="247"/>
      <c r="H67" s="247"/>
      <c r="I67" s="247"/>
      <c r="J67" s="247"/>
      <c r="K67" s="247"/>
      <c r="L67" s="247"/>
      <c r="M67" s="247"/>
      <c r="N67" s="247"/>
      <c r="O67" s="248"/>
      <c r="Q67" s="245"/>
      <c r="R67" s="245"/>
      <c r="S67" s="245"/>
    </row>
    <row r="68" spans="1:19" ht="17.25" thickBot="1">
      <c r="A68" s="200" t="s">
        <v>297</v>
      </c>
      <c r="B68" s="246" t="s">
        <v>49</v>
      </c>
      <c r="C68" s="248"/>
      <c r="D68" s="246" t="s">
        <v>58</v>
      </c>
      <c r="E68" s="247"/>
      <c r="F68" s="248"/>
      <c r="G68" s="249">
        <f>_xlfn.IFNA(VLOOKUP(B68, 현재가테이블!$B$2:$D$200, 2, FALSE), "-")</f>
        <v>45335000</v>
      </c>
      <c r="H68" s="250"/>
      <c r="I68" s="251"/>
      <c r="J68" s="246" t="s">
        <v>59</v>
      </c>
      <c r="K68" s="247"/>
      <c r="L68" s="248"/>
      <c r="M68" s="252">
        <f>_xlfn.IFNA(VLOOKUP(B68, 현재가테이블!$B$2:$D$200, 3, FALSE), "-")</f>
        <v>-2.27209037E-2</v>
      </c>
      <c r="N68" s="253"/>
      <c r="O68" s="254"/>
      <c r="Q68" s="245"/>
      <c r="R68" s="245"/>
      <c r="S68" s="245"/>
    </row>
    <row r="69" spans="1:19" ht="17.25" thickBot="1">
      <c r="A69" s="290" t="s">
        <v>55</v>
      </c>
      <c r="B69" s="286" t="str">
        <f>TEXT($G$1, "[$-ko-KR]yyyy-mm-dd(ddd) ") &amp; "오전 00:00"</f>
        <v>2021-06-11(금) 오전 00:00</v>
      </c>
      <c r="C69" s="287"/>
      <c r="D69" s="259" t="str">
        <f>TEXT($G$1, "[$-ko-KR]yyyy-mm-dd(ddd) ") &amp; "오후 14:00"</f>
        <v>2021-06-11(금) 오후 14:00</v>
      </c>
      <c r="E69" s="260"/>
      <c r="F69" s="261"/>
      <c r="G69" s="259" t="str">
        <f>TEXT($G$1, "[$-ko-KR]yyyy-mm-dd(ddd) ") &amp; "오후 19:00"</f>
        <v>2021-06-11(금) 오후 19:00</v>
      </c>
      <c r="H69" s="260"/>
      <c r="I69" s="261"/>
      <c r="J69" s="259" t="str">
        <f>TEXT($G$1, "[$-ko-KR]yyyy-mm-dd(ddd) ") &amp; "오후 21:00"</f>
        <v>2021-06-11(금) 오후 21:00</v>
      </c>
      <c r="K69" s="260"/>
      <c r="L69" s="261"/>
      <c r="M69" s="259" t="str">
        <f>TEXT($G$1+1, "[$-ko-KR]yyyy-mm-dd(ddd) ") &amp; "오전 00:00"</f>
        <v>2021-06-12(토) 오전 00:00</v>
      </c>
      <c r="N69" s="260"/>
      <c r="O69" s="261"/>
      <c r="Q69" s="245"/>
      <c r="R69" s="245"/>
      <c r="S69" s="245"/>
    </row>
    <row r="70" spans="1:19" ht="17.25" thickBot="1">
      <c r="A70" s="291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201" t="s">
        <v>58</v>
      </c>
      <c r="H70" s="202" t="s">
        <v>298</v>
      </c>
      <c r="I70" s="203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5"/>
      <c r="R70" s="235"/>
      <c r="S70" s="235"/>
    </row>
    <row r="71" spans="1:19" ht="17.25" thickBot="1">
      <c r="A71" s="161" t="s">
        <v>216</v>
      </c>
      <c r="B71" s="124">
        <v>283</v>
      </c>
      <c r="C71" s="76">
        <v>8.4291187700000006E-2</v>
      </c>
      <c r="D71" s="13">
        <v>270</v>
      </c>
      <c r="E71" s="14">
        <f>IF(ISNUMBER(D71), (D71 - $B71) / $B71, "")</f>
        <v>-4.5936395759717315E-2</v>
      </c>
      <c r="F71" s="16">
        <f>IF(ISNUMBER(D71), $B91 * E71, "")</f>
        <v>-4593.6395759717316</v>
      </c>
      <c r="G71" s="29">
        <v>260</v>
      </c>
      <c r="H71" s="14">
        <f>IF(ISNUMBER(G71), (G71 - $B71) / $B71, "")</f>
        <v>-8.1272084805653705E-2</v>
      </c>
      <c r="I71" s="100">
        <f>IF(ISNUMBER(G71), $B91 * H71, "")</f>
        <v>-8127.2084805653703</v>
      </c>
      <c r="J71" s="13">
        <v>259</v>
      </c>
      <c r="K71" s="14">
        <f>IF(ISNUMBER(J71), (J71 - $B71) / $B71, "")</f>
        <v>-8.4805653710247356E-2</v>
      </c>
      <c r="L71" s="16">
        <f>IF(ISNUMBER(J71), $B91 * K71, "")</f>
        <v>-8480.5653710247352</v>
      </c>
      <c r="M71" s="29">
        <v>256</v>
      </c>
      <c r="N71" s="14">
        <f>IF(ISNUMBER(M71), (M71 - $B71) / $B71, "")</f>
        <v>-9.5406360424028266E-2</v>
      </c>
      <c r="O71" s="16">
        <f>IF(ISNUMBER(M71), $B91 * N71, "")</f>
        <v>-9540.6360424028262</v>
      </c>
      <c r="Q71" s="245"/>
      <c r="R71" s="245"/>
      <c r="S71" s="245"/>
    </row>
    <row r="72" spans="1:19" ht="17.25" thickBot="1">
      <c r="A72" s="162" t="s">
        <v>250</v>
      </c>
      <c r="B72" s="126">
        <v>121</v>
      </c>
      <c r="C72" s="77">
        <v>5.2173913000000002E-2</v>
      </c>
      <c r="D72" s="15">
        <v>121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73</v>
      </c>
      <c r="H72" s="32">
        <f t="shared" ref="H72:H75" si="31">IF(ISNUMBER(G72), (G72 - $B72) / $B72, "")</f>
        <v>-0.39669421487603307</v>
      </c>
      <c r="I72" s="101">
        <f>IF(ISNUMBER(G72), $B91 * H72, "")</f>
        <v>-39669.421487603307</v>
      </c>
      <c r="J72" s="15">
        <v>70.900000000000006</v>
      </c>
      <c r="K72" s="32">
        <f t="shared" ref="K72:K75" si="32">IF(ISNUMBER(J72), (J72 - $B72) / $B72, "")</f>
        <v>-0.41404958677685944</v>
      </c>
      <c r="L72" s="18">
        <f>IF(ISNUMBER(J72), $B91 * K72, "")</f>
        <v>-41404.958677685943</v>
      </c>
      <c r="M72" s="31">
        <v>73.400000000000006</v>
      </c>
      <c r="N72" s="32">
        <f t="shared" ref="N72:N75" si="33">IF(ISNUMBER(M72), (M72 - $B72) / $B72, "")</f>
        <v>-0.39338842975206606</v>
      </c>
      <c r="O72" s="18">
        <f>IF(ISNUMBER(M72), $B91 * N72, "")</f>
        <v>-39338.842975206608</v>
      </c>
      <c r="Q72" s="245"/>
      <c r="R72" s="245"/>
      <c r="S72" s="245"/>
    </row>
    <row r="73" spans="1:19" ht="17.25" thickBot="1">
      <c r="A73" s="162" t="s">
        <v>200</v>
      </c>
      <c r="B73" s="126">
        <v>198</v>
      </c>
      <c r="C73" s="77">
        <v>2.59067358E-2</v>
      </c>
      <c r="D73" s="15">
        <v>206</v>
      </c>
      <c r="E73" s="32">
        <f t="shared" si="30"/>
        <v>4.0404040404040407E-2</v>
      </c>
      <c r="F73" s="18">
        <f>IF(ISNUMBER(D73), $B91 * E73, "")</f>
        <v>4040.4040404040406</v>
      </c>
      <c r="G73" s="31">
        <v>184</v>
      </c>
      <c r="H73" s="32">
        <f t="shared" si="31"/>
        <v>-7.0707070707070704E-2</v>
      </c>
      <c r="I73" s="101">
        <f>IF(ISNUMBER(G73), $B91 * H73, "")</f>
        <v>-7070.7070707070707</v>
      </c>
      <c r="J73" s="15">
        <v>175</v>
      </c>
      <c r="K73" s="32">
        <f t="shared" si="32"/>
        <v>-0.11616161616161616</v>
      </c>
      <c r="L73" s="18">
        <f>IF(ISNUMBER(J73), $B91 * K73, "")</f>
        <v>-11616.161616161617</v>
      </c>
      <c r="M73" s="31">
        <v>173</v>
      </c>
      <c r="N73" s="32">
        <f t="shared" si="33"/>
        <v>-0.12626262626262627</v>
      </c>
      <c r="O73" s="18">
        <f>IF(ISNUMBER(M73), $B91 * N73, "")</f>
        <v>-12626.262626262627</v>
      </c>
      <c r="Q73" s="235"/>
      <c r="R73" s="235"/>
      <c r="S73" s="235"/>
    </row>
    <row r="74" spans="1:19" ht="17.25" thickBot="1">
      <c r="A74" s="162" t="s">
        <v>282</v>
      </c>
      <c r="B74" s="126">
        <v>111</v>
      </c>
      <c r="C74" s="77">
        <v>1.83486239E-2</v>
      </c>
      <c r="D74" s="15">
        <v>118</v>
      </c>
      <c r="E74" s="32">
        <f t="shared" si="30"/>
        <v>6.3063063063063057E-2</v>
      </c>
      <c r="F74" s="18">
        <f>IF(ISNUMBER(D74), $B91 * E74, "")</f>
        <v>6306.3063063063055</v>
      </c>
      <c r="G74" s="31">
        <v>69.3</v>
      </c>
      <c r="H74" s="32">
        <f t="shared" si="31"/>
        <v>-0.37567567567567572</v>
      </c>
      <c r="I74" s="101">
        <f>IF(ISNUMBER(G74), $B91 * H74, "")</f>
        <v>-37567.567567567574</v>
      </c>
      <c r="J74" s="15">
        <v>67.2</v>
      </c>
      <c r="K74" s="32">
        <f t="shared" si="32"/>
        <v>-0.39459459459459456</v>
      </c>
      <c r="L74" s="18">
        <f>IF(ISNUMBER(J74), $B91 * K74, "")</f>
        <v>-39459.459459459453</v>
      </c>
      <c r="M74" s="31">
        <v>72.5</v>
      </c>
      <c r="N74" s="32">
        <f t="shared" si="33"/>
        <v>-0.34684684684684686</v>
      </c>
      <c r="O74" s="18">
        <f>IF(ISNUMBER(M74), $B91 * N74, "")</f>
        <v>-34684.684684684689</v>
      </c>
      <c r="Q74" s="235"/>
      <c r="R74" s="235"/>
      <c r="S74" s="235"/>
    </row>
    <row r="75" spans="1:19" ht="17.25" thickBot="1">
      <c r="A75" s="163" t="s">
        <v>174</v>
      </c>
      <c r="B75" s="128">
        <v>163</v>
      </c>
      <c r="C75" s="78">
        <v>6.1728395E-3</v>
      </c>
      <c r="D75" s="20">
        <v>173</v>
      </c>
      <c r="E75" s="21">
        <f t="shared" si="30"/>
        <v>6.1349693251533742E-2</v>
      </c>
      <c r="F75" s="22">
        <f>IF(ISNUMBER(D75), $B91 * E75, "")</f>
        <v>6134.9693251533745</v>
      </c>
      <c r="G75" s="30">
        <v>151</v>
      </c>
      <c r="H75" s="21">
        <f t="shared" si="31"/>
        <v>-7.3619631901840496E-2</v>
      </c>
      <c r="I75" s="105">
        <f>IF(ISNUMBER(G75), $B91 * H75, "")</f>
        <v>-7361.9631901840494</v>
      </c>
      <c r="J75" s="20">
        <v>140</v>
      </c>
      <c r="K75" s="21">
        <f t="shared" si="32"/>
        <v>-0.1411042944785276</v>
      </c>
      <c r="L75" s="22">
        <f>IF(ISNUMBER(J75), $B91 * K75, "")</f>
        <v>-14110.429447852759</v>
      </c>
      <c r="M75" s="30">
        <v>142</v>
      </c>
      <c r="N75" s="21">
        <f t="shared" si="33"/>
        <v>-0.12883435582822086</v>
      </c>
      <c r="O75" s="22">
        <f>IF(ISNUMBER(M75), $B91 * N75, "")</f>
        <v>-12883.435582822087</v>
      </c>
      <c r="Q75" s="235"/>
      <c r="R75" s="235"/>
      <c r="S75" s="235"/>
    </row>
    <row r="76" spans="1:19" ht="17.25" thickBot="1">
      <c r="A76" s="162" t="s">
        <v>284</v>
      </c>
      <c r="B76" s="129">
        <v>233</v>
      </c>
      <c r="C76" s="80">
        <v>4.3103448000000001E-3</v>
      </c>
      <c r="D76" s="106">
        <v>245</v>
      </c>
      <c r="E76" s="107">
        <f>IF(ISNUMBER(D76), (D76 - $B76) / $B76, "")</f>
        <v>5.1502145922746781E-2</v>
      </c>
      <c r="F76" s="108">
        <f>IF(ISNUMBER(D76), $B91 * E76, "")</f>
        <v>5150.2145922746777</v>
      </c>
      <c r="G76" s="109">
        <v>225</v>
      </c>
      <c r="H76" s="107">
        <f>IF(ISNUMBER(G76), (G76 - $B76) / $B76, "")</f>
        <v>-3.4334763948497854E-2</v>
      </c>
      <c r="I76" s="110">
        <f>IF(ISNUMBER(G76), $B91 * H76, "")</f>
        <v>-3433.4763948497853</v>
      </c>
      <c r="J76" s="106">
        <v>220</v>
      </c>
      <c r="K76" s="107">
        <f>IF(ISNUMBER(J76), (J76 - $B76) / $B76, "")</f>
        <v>-5.5793991416309016E-2</v>
      </c>
      <c r="L76" s="108">
        <f>IF(ISNUMBER(J76), $B91 * K76, "")</f>
        <v>-5579.3991416309018</v>
      </c>
      <c r="M76" s="109">
        <v>217</v>
      </c>
      <c r="N76" s="107">
        <f>IF(ISNUMBER(M76), (M76 - $B76) / $B76, "")</f>
        <v>-6.8669527896995708E-2</v>
      </c>
      <c r="O76" s="108">
        <f>IF(ISNUMBER(M76), $B91 * N76, "")</f>
        <v>-6866.9527896995705</v>
      </c>
      <c r="Q76" s="235"/>
      <c r="R76" s="235"/>
      <c r="S76" s="235"/>
    </row>
    <row r="77" spans="1:19" ht="17.25" thickBot="1">
      <c r="A77" s="162" t="s">
        <v>232</v>
      </c>
      <c r="B77" s="126">
        <v>110</v>
      </c>
      <c r="C77" s="77">
        <v>0</v>
      </c>
      <c r="D77" s="15">
        <v>115</v>
      </c>
      <c r="E77" s="32">
        <f t="shared" ref="E77:E80" si="34">IF(ISNUMBER(D77), (D77 - $B77) / $B77, "")</f>
        <v>4.5454545454545456E-2</v>
      </c>
      <c r="F77" s="18">
        <f>IF(ISNUMBER(D77), $B91 * E77, "")</f>
        <v>4545.454545454546</v>
      </c>
      <c r="G77" s="31">
        <v>106</v>
      </c>
      <c r="H77" s="32">
        <f t="shared" ref="H77:H80" si="35">IF(ISNUMBER(G77), (G77 - $B77) / $B77, "")</f>
        <v>-3.6363636363636362E-2</v>
      </c>
      <c r="I77" s="101">
        <f>IF(ISNUMBER(G77), $B91 * H77, "")</f>
        <v>-3636.363636363636</v>
      </c>
      <c r="J77" s="15">
        <v>104</v>
      </c>
      <c r="K77" s="32">
        <f t="shared" ref="K77:K80" si="36">IF(ISNUMBER(J77), (J77 - $B77) / $B77, "")</f>
        <v>-5.4545454545454543E-2</v>
      </c>
      <c r="L77" s="18">
        <f>IF(ISNUMBER(J77), $B91 * K77, "")</f>
        <v>-5454.545454545454</v>
      </c>
      <c r="M77" s="31">
        <v>102</v>
      </c>
      <c r="N77" s="32">
        <f t="shared" ref="N77:N80" si="37">IF(ISNUMBER(M77), (M77 - $B77) / $B77, "")</f>
        <v>-7.2727272727272724E-2</v>
      </c>
      <c r="O77" s="18">
        <f>IF(ISNUMBER(M77), $B91 * N77, "")</f>
        <v>-7272.7272727272721</v>
      </c>
      <c r="Q77" s="235"/>
      <c r="R77" s="235"/>
      <c r="S77" s="235"/>
    </row>
    <row r="78" spans="1:19" ht="17.25" thickBot="1">
      <c r="A78" s="162" t="s">
        <v>238</v>
      </c>
      <c r="B78" s="126">
        <v>169</v>
      </c>
      <c r="C78" s="77">
        <v>0</v>
      </c>
      <c r="D78" s="15">
        <v>185</v>
      </c>
      <c r="E78" s="32">
        <f t="shared" si="34"/>
        <v>9.4674556213017749E-2</v>
      </c>
      <c r="F78" s="18">
        <f>IF(ISNUMBER(D78), $B91 * E78, "")</f>
        <v>9467.455621301775</v>
      </c>
      <c r="G78" s="31">
        <v>107</v>
      </c>
      <c r="H78" s="32">
        <f t="shared" si="35"/>
        <v>-0.36686390532544377</v>
      </c>
      <c r="I78" s="101">
        <f>IF(ISNUMBER(G78), $B91 * H78, "")</f>
        <v>-36686.390532544377</v>
      </c>
      <c r="J78" s="15">
        <v>106</v>
      </c>
      <c r="K78" s="32">
        <f t="shared" si="36"/>
        <v>-0.37278106508875741</v>
      </c>
      <c r="L78" s="18">
        <f>IF(ISNUMBER(J78), $B91 * K78, "")</f>
        <v>-37278.106508875739</v>
      </c>
      <c r="M78" s="31">
        <v>111</v>
      </c>
      <c r="N78" s="32">
        <f t="shared" si="37"/>
        <v>-0.34319526627218933</v>
      </c>
      <c r="O78" s="18">
        <f>IF(ISNUMBER(M78), $B91 * N78, "")</f>
        <v>-34319.526627218933</v>
      </c>
      <c r="Q78" s="235"/>
      <c r="R78" s="235"/>
      <c r="S78" s="235"/>
    </row>
    <row r="79" spans="1:19" ht="17.25" thickBot="1">
      <c r="A79" s="162" t="s">
        <v>202</v>
      </c>
      <c r="B79" s="126">
        <v>112</v>
      </c>
      <c r="C79" s="77">
        <v>0</v>
      </c>
      <c r="D79" s="15">
        <v>121</v>
      </c>
      <c r="E79" s="32">
        <f t="shared" si="34"/>
        <v>8.0357142857142863E-2</v>
      </c>
      <c r="F79" s="18">
        <f>IF(ISNUMBER(D79), $B91 * E79, "")</f>
        <v>8035.7142857142862</v>
      </c>
      <c r="G79" s="31">
        <v>110</v>
      </c>
      <c r="H79" s="32">
        <f t="shared" si="35"/>
        <v>-1.7857142857142856E-2</v>
      </c>
      <c r="I79" s="101">
        <f>IF(ISNUMBER(G79), $B91 * H79, "")</f>
        <v>-1785.7142857142856</v>
      </c>
      <c r="J79" s="15">
        <v>107</v>
      </c>
      <c r="K79" s="32">
        <f t="shared" si="36"/>
        <v>-4.4642857142857144E-2</v>
      </c>
      <c r="L79" s="18">
        <f>IF(ISNUMBER(J79), $B91 * K79, "")</f>
        <v>-4464.2857142857147</v>
      </c>
      <c r="M79" s="31">
        <v>105</v>
      </c>
      <c r="N79" s="32">
        <f t="shared" si="37"/>
        <v>-6.25E-2</v>
      </c>
      <c r="O79" s="18">
        <f>IF(ISNUMBER(M79), $B91 * N79, "")</f>
        <v>-6250</v>
      </c>
      <c r="Q79" s="33"/>
      <c r="R79" s="33"/>
    </row>
    <row r="80" spans="1:19" ht="17.25" thickBot="1">
      <c r="A80" s="130" t="s">
        <v>210</v>
      </c>
      <c r="B80" s="131">
        <v>120</v>
      </c>
      <c r="C80" s="79">
        <v>0</v>
      </c>
      <c r="D80" s="24">
        <v>128</v>
      </c>
      <c r="E80" s="25">
        <f t="shared" si="34"/>
        <v>6.6666666666666666E-2</v>
      </c>
      <c r="F80" s="104">
        <f>IF(ISNUMBER(D80), $B91 * E80, "")</f>
        <v>6666.666666666667</v>
      </c>
      <c r="G80" s="102">
        <v>111</v>
      </c>
      <c r="H80" s="25">
        <f t="shared" si="35"/>
        <v>-7.4999999999999997E-2</v>
      </c>
      <c r="I80" s="103">
        <f>IF(ISNUMBER(G80), $B91 * H80, "")</f>
        <v>-7500</v>
      </c>
      <c r="J80" s="24">
        <v>106</v>
      </c>
      <c r="K80" s="25">
        <f t="shared" si="36"/>
        <v>-0.11666666666666667</v>
      </c>
      <c r="L80" s="104">
        <f>IF(ISNUMBER(J80), $B91 * K80, "")</f>
        <v>-11666.666666666666</v>
      </c>
      <c r="M80" s="102">
        <v>105</v>
      </c>
      <c r="N80" s="25">
        <f t="shared" si="37"/>
        <v>-0.125</v>
      </c>
      <c r="O80" s="104">
        <f>IF(ISNUMBER(M80), $B91 * N80, "")</f>
        <v>-12500</v>
      </c>
      <c r="Q80" s="236"/>
      <c r="R80" s="237"/>
      <c r="S80" s="238"/>
    </row>
    <row r="81" spans="1:19">
      <c r="A81" s="161" t="s">
        <v>116</v>
      </c>
      <c r="B81" s="124">
        <v>338</v>
      </c>
      <c r="C81" s="76">
        <v>0</v>
      </c>
      <c r="D81" s="13">
        <v>340</v>
      </c>
      <c r="E81" s="14">
        <f>IF(ISNUMBER(D81), (D81 - $B81) / $B81, "")</f>
        <v>5.9171597633136093E-3</v>
      </c>
      <c r="F81" s="16">
        <f>IF(ISNUMBER(D81), $B91 * E81, "")</f>
        <v>591.71597633136093</v>
      </c>
      <c r="G81" s="29">
        <v>376</v>
      </c>
      <c r="H81" s="14">
        <f>IF(ISNUMBER(G81), (G81 - $B81) / $B81, "")</f>
        <v>0.11242603550295859</v>
      </c>
      <c r="I81" s="100">
        <f>IF(ISNUMBER(G81), $B91 * H81, "")</f>
        <v>11242.603550295858</v>
      </c>
      <c r="J81" s="13">
        <v>390</v>
      </c>
      <c r="K81" s="14">
        <f>IF(ISNUMBER(J81), (J81 - $B81) / $B81, "")</f>
        <v>0.15384615384615385</v>
      </c>
      <c r="L81" s="16">
        <f>IF(ISNUMBER(J81), $B91 * K81, "")</f>
        <v>15384.615384615385</v>
      </c>
      <c r="M81" s="29">
        <v>374</v>
      </c>
      <c r="N81" s="14">
        <f>IF(ISNUMBER(M81), (M81 - $B81) / $B81, "")</f>
        <v>0.10650887573964497</v>
      </c>
      <c r="O81" s="16">
        <f>IF(ISNUMBER(M81), $B91 * N81, "")</f>
        <v>10650.887573964497</v>
      </c>
      <c r="Q81" s="239"/>
      <c r="R81" s="240"/>
      <c r="S81" s="241"/>
    </row>
    <row r="82" spans="1:19" ht="17.25" thickBot="1">
      <c r="A82" s="162" t="s">
        <v>230</v>
      </c>
      <c r="B82" s="126">
        <v>111</v>
      </c>
      <c r="C82" s="77">
        <v>0</v>
      </c>
      <c r="D82" s="15">
        <v>120</v>
      </c>
      <c r="E82" s="32">
        <f t="shared" ref="E82:E85" si="38">IF(ISNUMBER(D82), (D82 - $B82) / $B82, "")</f>
        <v>8.1081081081081086E-2</v>
      </c>
      <c r="F82" s="18">
        <f>IF(ISNUMBER(D82), $B91 * E82, "")</f>
        <v>8108.1081081081084</v>
      </c>
      <c r="G82" s="31">
        <v>106</v>
      </c>
      <c r="H82" s="32">
        <f t="shared" ref="H82:H85" si="39">IF(ISNUMBER(G82), (G82 - $B82) / $B82, "")</f>
        <v>-4.5045045045045043E-2</v>
      </c>
      <c r="I82" s="101">
        <f>IF(ISNUMBER(G82), $B91 * H82, "")</f>
        <v>-4504.5045045045044</v>
      </c>
      <c r="J82" s="15">
        <v>103</v>
      </c>
      <c r="K82" s="32">
        <f t="shared" ref="K82:K85" si="40">IF(ISNUMBER(J82), (J82 - $B82) / $B82, "")</f>
        <v>-7.2072072072072071E-2</v>
      </c>
      <c r="L82" s="18">
        <f>IF(ISNUMBER(J82), $B91 * K82, "")</f>
        <v>-7207.2072072072069</v>
      </c>
      <c r="M82" s="31">
        <v>104</v>
      </c>
      <c r="N82" s="32">
        <f t="shared" ref="N82:N85" si="41">IF(ISNUMBER(M82), (M82 - $B82) / $B82, "")</f>
        <v>-6.3063063063063057E-2</v>
      </c>
      <c r="O82" s="18">
        <f>IF(ISNUMBER(M82), $B91 * N82, "")</f>
        <v>-6306.3063063063055</v>
      </c>
      <c r="Q82" s="242"/>
      <c r="R82" s="243"/>
      <c r="S82" s="244"/>
    </row>
    <row r="83" spans="1:19" ht="17.25" thickBot="1">
      <c r="A83" s="162" t="s">
        <v>246</v>
      </c>
      <c r="B83" s="126">
        <v>283</v>
      </c>
      <c r="C83" s="77">
        <v>-3.5211268000000001E-3</v>
      </c>
      <c r="D83" s="15">
        <v>313</v>
      </c>
      <c r="E83" s="32">
        <f t="shared" si="38"/>
        <v>0.10600706713780919</v>
      </c>
      <c r="F83" s="18">
        <f>IF(ISNUMBER(D83), $B91 * E83, "")</f>
        <v>10600.706713780919</v>
      </c>
      <c r="G83" s="31">
        <v>283</v>
      </c>
      <c r="H83" s="32">
        <f t="shared" si="39"/>
        <v>0</v>
      </c>
      <c r="I83" s="101">
        <f>IF(ISNUMBER(G83), $B91 * H83, "")</f>
        <v>0</v>
      </c>
      <c r="J83" s="15">
        <v>264</v>
      </c>
      <c r="K83" s="32">
        <f t="shared" si="40"/>
        <v>-6.7137809187279157E-2</v>
      </c>
      <c r="L83" s="18">
        <f>IF(ISNUMBER(J83), $B91 * K83, "")</f>
        <v>-6713.7809187279154</v>
      </c>
      <c r="M83" s="31">
        <v>255</v>
      </c>
      <c r="N83" s="32">
        <f t="shared" si="41"/>
        <v>-9.8939929328621903E-2</v>
      </c>
      <c r="O83" s="18">
        <f>IF(ISNUMBER(M83), $B91 * N83, "")</f>
        <v>-9893.9929328621911</v>
      </c>
      <c r="Q83" s="235"/>
      <c r="R83" s="235"/>
      <c r="S83" s="235"/>
    </row>
    <row r="84" spans="1:19" ht="17.25" thickBot="1">
      <c r="A84" s="162" t="s">
        <v>208</v>
      </c>
      <c r="B84" s="126">
        <v>280</v>
      </c>
      <c r="C84" s="77">
        <v>-7.0921986000000003E-3</v>
      </c>
      <c r="D84" s="15">
        <v>309</v>
      </c>
      <c r="E84" s="32">
        <f t="shared" si="38"/>
        <v>0.10357142857142858</v>
      </c>
      <c r="F84" s="18">
        <f>IF(ISNUMBER(D84), $B91 * E84, "")</f>
        <v>10357.142857142859</v>
      </c>
      <c r="G84" s="31">
        <v>166</v>
      </c>
      <c r="H84" s="32">
        <f t="shared" si="39"/>
        <v>-0.40714285714285714</v>
      </c>
      <c r="I84" s="101">
        <f>IF(ISNUMBER(G84), $B91 * H84, "")</f>
        <v>-40714.285714285717</v>
      </c>
      <c r="J84" s="15">
        <v>154</v>
      </c>
      <c r="K84" s="32">
        <f t="shared" si="40"/>
        <v>-0.45</v>
      </c>
      <c r="L84" s="18">
        <f>IF(ISNUMBER(J84), $B91 * K84, "")</f>
        <v>-45000</v>
      </c>
      <c r="M84" s="31">
        <v>162</v>
      </c>
      <c r="N84" s="32">
        <f t="shared" si="41"/>
        <v>-0.42142857142857143</v>
      </c>
      <c r="O84" s="18">
        <f>IF(ISNUMBER(M84), $B91 * N84, "")</f>
        <v>-42142.857142857145</v>
      </c>
      <c r="Q84" s="245"/>
      <c r="R84" s="245"/>
      <c r="S84" s="245"/>
    </row>
    <row r="85" spans="1:19" ht="17.25" thickBot="1">
      <c r="A85" s="163" t="s">
        <v>280</v>
      </c>
      <c r="B85" s="128">
        <v>992</v>
      </c>
      <c r="C85" s="78">
        <v>-8.0000000000000002E-3</v>
      </c>
      <c r="D85" s="20">
        <v>1010</v>
      </c>
      <c r="E85" s="21">
        <f t="shared" si="38"/>
        <v>1.8145161290322582E-2</v>
      </c>
      <c r="F85" s="22">
        <f>IF(ISNUMBER(D85), $B91 * E85, "")</f>
        <v>1814.5161290322583</v>
      </c>
      <c r="G85" s="30">
        <v>938</v>
      </c>
      <c r="H85" s="21">
        <f t="shared" si="39"/>
        <v>-5.4435483870967742E-2</v>
      </c>
      <c r="I85" s="105">
        <f>IF(ISNUMBER(G85), $B91 * H85, "")</f>
        <v>-5443.5483870967746</v>
      </c>
      <c r="J85" s="20">
        <v>939</v>
      </c>
      <c r="K85" s="21">
        <f t="shared" si="40"/>
        <v>-5.3427419354838711E-2</v>
      </c>
      <c r="L85" s="22">
        <f>IF(ISNUMBER(J85), $B91 * K85, "")</f>
        <v>-5342.7419354838712</v>
      </c>
      <c r="M85" s="30">
        <v>912</v>
      </c>
      <c r="N85" s="21">
        <f t="shared" si="41"/>
        <v>-8.0645161290322578E-2</v>
      </c>
      <c r="O85" s="22">
        <f>IF(ISNUMBER(M85), $B91 * N85, "")</f>
        <v>-8064.5161290322576</v>
      </c>
      <c r="Q85" s="245"/>
      <c r="R85" s="245"/>
      <c r="S85" s="245"/>
    </row>
    <row r="86" spans="1:19" ht="17.25" thickBot="1">
      <c r="A86" s="162" t="s">
        <v>148</v>
      </c>
      <c r="B86" s="129">
        <v>109</v>
      </c>
      <c r="C86" s="80">
        <v>-9.0909091000000008E-3</v>
      </c>
      <c r="D86" s="106">
        <v>105</v>
      </c>
      <c r="E86" s="107">
        <f>IF(ISNUMBER(D86), (D86 - $B86) / $B86, "")</f>
        <v>-3.669724770642202E-2</v>
      </c>
      <c r="F86" s="108">
        <f>IF(ISNUMBER(D86), $B91 * E86, "")</f>
        <v>-3669.7247706422022</v>
      </c>
      <c r="G86" s="109">
        <v>103</v>
      </c>
      <c r="H86" s="107">
        <f>IF(ISNUMBER(G86), (G86 - $B86) / $B86, "")</f>
        <v>-5.5045871559633031E-2</v>
      </c>
      <c r="I86" s="110">
        <f>IF(ISNUMBER(G86), $B91 * H86, "")</f>
        <v>-5504.5871559633033</v>
      </c>
      <c r="J86" s="106">
        <v>102</v>
      </c>
      <c r="K86" s="107">
        <f>IF(ISNUMBER(J86), (J86 - $B86) / $B86, "")</f>
        <v>-6.4220183486238536E-2</v>
      </c>
      <c r="L86" s="108">
        <f>IF(ISNUMBER(J86), $B91 * K86, "")</f>
        <v>-6422.0183486238539</v>
      </c>
      <c r="M86" s="109">
        <v>102</v>
      </c>
      <c r="N86" s="107">
        <f>IF(ISNUMBER(M86), (M86 - $B86) / $B86, "")</f>
        <v>-6.4220183486238536E-2</v>
      </c>
      <c r="O86" s="108">
        <f>IF(ISNUMBER(M86), $B91 * N86, "")</f>
        <v>-6422.0183486238539</v>
      </c>
      <c r="Q86" s="235"/>
      <c r="R86" s="235"/>
      <c r="S86" s="235"/>
    </row>
    <row r="87" spans="1:19" ht="17.25" thickBot="1">
      <c r="A87" s="162" t="s">
        <v>252</v>
      </c>
      <c r="B87" s="126">
        <v>288</v>
      </c>
      <c r="C87" s="77">
        <v>-1.03092784E-2</v>
      </c>
      <c r="D87" s="15">
        <v>305</v>
      </c>
      <c r="E87" s="32">
        <f t="shared" ref="E87:E90" si="42">IF(ISNUMBER(D87), (D87 - $B87) / $B87, "")</f>
        <v>5.9027777777777776E-2</v>
      </c>
      <c r="F87" s="18">
        <f>IF(ISNUMBER(D87), $B91 * E87, "")</f>
        <v>5902.7777777777774</v>
      </c>
      <c r="G87" s="31">
        <v>173</v>
      </c>
      <c r="H87" s="32">
        <f t="shared" ref="H87:H90" si="43">IF(ISNUMBER(G87), (G87 - $B87) / $B87, "")</f>
        <v>-0.39930555555555558</v>
      </c>
      <c r="I87" s="101">
        <f>IF(ISNUMBER(G87), $B91 * H87, "")</f>
        <v>-39930.555555555555</v>
      </c>
      <c r="J87" s="15">
        <v>167</v>
      </c>
      <c r="K87" s="32">
        <f t="shared" ref="K87:K90" si="44">IF(ISNUMBER(J87), (J87 - $B87) / $B87, "")</f>
        <v>-0.4201388888888889</v>
      </c>
      <c r="L87" s="18">
        <f>IF(ISNUMBER(J87), $B91 * K87, "")</f>
        <v>-42013.888888888891</v>
      </c>
      <c r="M87" s="31">
        <v>168</v>
      </c>
      <c r="N87" s="32">
        <f t="shared" ref="N87:N90" si="45">IF(ISNUMBER(M87), (M87 - $B87) / $B87, "")</f>
        <v>-0.41666666666666669</v>
      </c>
      <c r="O87" s="18">
        <f>IF(ISNUMBER(M87), $B91 * N87, "")</f>
        <v>-41666.666666666672</v>
      </c>
      <c r="Q87" s="235"/>
      <c r="R87" s="235"/>
      <c r="S87" s="235"/>
    </row>
    <row r="88" spans="1:19" ht="17.25" thickBot="1">
      <c r="A88" s="162" t="s">
        <v>182</v>
      </c>
      <c r="B88" s="126">
        <v>274</v>
      </c>
      <c r="C88" s="77">
        <v>-1.08303249E-2</v>
      </c>
      <c r="D88" s="15">
        <v>280</v>
      </c>
      <c r="E88" s="32">
        <f t="shared" si="42"/>
        <v>2.1897810218978103E-2</v>
      </c>
      <c r="F88" s="18">
        <f>IF(ISNUMBER(D88), $B91 * E88, "")</f>
        <v>2189.7810218978102</v>
      </c>
      <c r="G88" s="31">
        <v>268</v>
      </c>
      <c r="H88" s="32">
        <f t="shared" si="43"/>
        <v>-2.1897810218978103E-2</v>
      </c>
      <c r="I88" s="101">
        <f>IF(ISNUMBER(G88), $B91 * H88, "")</f>
        <v>-2189.7810218978102</v>
      </c>
      <c r="J88" s="15">
        <v>260</v>
      </c>
      <c r="K88" s="32">
        <f t="shared" si="44"/>
        <v>-5.1094890510948905E-2</v>
      </c>
      <c r="L88" s="18">
        <f>IF(ISNUMBER(J88), $B91 * K88, "")</f>
        <v>-5109.4890510948908</v>
      </c>
      <c r="M88" s="31">
        <v>259</v>
      </c>
      <c r="N88" s="32">
        <f t="shared" si="45"/>
        <v>-5.4744525547445258E-2</v>
      </c>
      <c r="O88" s="18">
        <f>IF(ISNUMBER(M88), $B91 * N88, "")</f>
        <v>-5474.4525547445255</v>
      </c>
      <c r="Q88" s="235"/>
      <c r="R88" s="235"/>
      <c r="S88" s="235"/>
    </row>
    <row r="89" spans="1:19">
      <c r="A89" s="162" t="s">
        <v>240</v>
      </c>
      <c r="B89" s="126">
        <v>117</v>
      </c>
      <c r="C89" s="77">
        <v>-1.6806722699999999E-2</v>
      </c>
      <c r="D89" s="15">
        <v>124</v>
      </c>
      <c r="E89" s="32">
        <f t="shared" si="42"/>
        <v>5.9829059829059832E-2</v>
      </c>
      <c r="F89" s="18">
        <f>IF(ISNUMBER(D89), $B91 * E89, "")</f>
        <v>5982.9059829059834</v>
      </c>
      <c r="G89" s="31">
        <v>108</v>
      </c>
      <c r="H89" s="32">
        <f t="shared" si="43"/>
        <v>-7.6923076923076927E-2</v>
      </c>
      <c r="I89" s="101">
        <f>IF(ISNUMBER(G89), $B91 * H89, "")</f>
        <v>-7692.3076923076924</v>
      </c>
      <c r="J89" s="15">
        <v>105</v>
      </c>
      <c r="K89" s="32">
        <f t="shared" si="44"/>
        <v>-0.10256410256410256</v>
      </c>
      <c r="L89" s="18">
        <f>IF(ISNUMBER(J89), $B91 * K89, "")</f>
        <v>-10256.410256410256</v>
      </c>
      <c r="M89" s="31">
        <v>104</v>
      </c>
      <c r="N89" s="32">
        <f t="shared" si="45"/>
        <v>-0.1111111111111111</v>
      </c>
      <c r="O89" s="18">
        <f>IF(ISNUMBER(M89), $B91 * N89, "")</f>
        <v>-11111.111111111111</v>
      </c>
      <c r="Q89" s="224"/>
      <c r="R89" s="225"/>
      <c r="S89" s="226"/>
    </row>
    <row r="90" spans="1:19" ht="17.25" thickBot="1">
      <c r="A90" s="130" t="s">
        <v>112</v>
      </c>
      <c r="B90" s="131">
        <v>175</v>
      </c>
      <c r="C90" s="79">
        <v>-1.68539326E-2</v>
      </c>
      <c r="D90" s="24">
        <v>177</v>
      </c>
      <c r="E90" s="25">
        <f t="shared" si="42"/>
        <v>1.1428571428571429E-2</v>
      </c>
      <c r="F90" s="104">
        <f>IF(ISNUMBER(D90), $B91 * E90, "")</f>
        <v>1142.8571428571429</v>
      </c>
      <c r="G90" s="102">
        <v>159</v>
      </c>
      <c r="H90" s="25">
        <f t="shared" si="43"/>
        <v>-9.1428571428571428E-2</v>
      </c>
      <c r="I90" s="103">
        <f>IF(ISNUMBER(G90), $B91 * H90, "")</f>
        <v>-9142.8571428571431</v>
      </c>
      <c r="J90" s="24">
        <v>154</v>
      </c>
      <c r="K90" s="25">
        <f t="shared" si="44"/>
        <v>-0.12</v>
      </c>
      <c r="L90" s="104">
        <f>IF(ISNUMBER(J90), $B91 * K90, "")</f>
        <v>-12000</v>
      </c>
      <c r="M90" s="102">
        <v>152</v>
      </c>
      <c r="N90" s="25">
        <f t="shared" si="45"/>
        <v>-0.13142857142857142</v>
      </c>
      <c r="O90" s="104">
        <f>IF(ISNUMBER(M90), $B91 * N90, "")</f>
        <v>-13142.857142857143</v>
      </c>
      <c r="Q90" s="227"/>
      <c r="R90" s="228"/>
      <c r="S90" s="229"/>
    </row>
    <row r="91" spans="1:19" ht="17.25" thickBot="1">
      <c r="A91" s="132" t="s">
        <v>300</v>
      </c>
      <c r="B91" s="288">
        <f>$B$37</f>
        <v>100000</v>
      </c>
      <c r="C91" s="289"/>
      <c r="D91" s="26" t="s">
        <v>301</v>
      </c>
      <c r="E91" s="27">
        <f>IF(COUNT(E71:E90), SUM(E71:E90) / COUNT(E71:E90), 0)</f>
        <v>4.438716637324798E-2</v>
      </c>
      <c r="F91" s="28">
        <f>SUM(F71:F90)</f>
        <v>88774.332746495958</v>
      </c>
      <c r="G91" s="26" t="s">
        <v>301</v>
      </c>
      <c r="H91" s="27">
        <f>IF(COUNT(H71:H90), SUM(H71:H90) / COUNT(H71:H90), 0)</f>
        <v>-0.12835931813513607</v>
      </c>
      <c r="I91" s="28">
        <f>SUM(I71:I90)</f>
        <v>-256718.63627027205</v>
      </c>
      <c r="J91" s="26" t="s">
        <v>301</v>
      </c>
      <c r="K91" s="27">
        <f>IF(COUNT(K71:K90), SUM(K71:K90) / COUNT(K71:K90), 0)</f>
        <v>-0.15209774964000525</v>
      </c>
      <c r="L91" s="28">
        <f>SUM(L71:L90)</f>
        <v>-304195.49928001052</v>
      </c>
      <c r="M91" s="26" t="s">
        <v>301</v>
      </c>
      <c r="N91" s="27">
        <f>IF(COUNT(N71:N90), SUM(N71:N90) / COUNT(N71:N90), 0)</f>
        <v>-0.15492847968106063</v>
      </c>
      <c r="O91" s="28">
        <f>SUM(O71:O90)</f>
        <v>-309856.95936212136</v>
      </c>
      <c r="Q91" s="230"/>
      <c r="R91" s="231"/>
      <c r="S91" s="232"/>
    </row>
    <row r="93" spans="1:19" ht="17.25" thickBot="1"/>
    <row r="94" spans="1:19" ht="17.25" thickBot="1">
      <c r="A94" s="246" t="s">
        <v>46</v>
      </c>
      <c r="B94" s="247"/>
      <c r="C94" s="247"/>
      <c r="D94" s="247"/>
      <c r="E94" s="247"/>
      <c r="F94" s="247"/>
      <c r="G94" s="247"/>
      <c r="H94" s="247"/>
      <c r="I94" s="247"/>
      <c r="J94" s="247"/>
      <c r="K94" s="247"/>
      <c r="L94" s="247"/>
      <c r="M94" s="247"/>
      <c r="N94" s="247"/>
      <c r="O94" s="248"/>
      <c r="Q94" s="245"/>
      <c r="R94" s="245"/>
      <c r="S94" s="245"/>
    </row>
    <row r="95" spans="1:19" ht="17.25" thickBot="1">
      <c r="A95" s="200" t="s">
        <v>297</v>
      </c>
      <c r="B95" s="246" t="s">
        <v>49</v>
      </c>
      <c r="C95" s="248"/>
      <c r="D95" s="246" t="s">
        <v>58</v>
      </c>
      <c r="E95" s="247"/>
      <c r="F95" s="248"/>
      <c r="G95" s="249">
        <f>_xlfn.IFNA(VLOOKUP(B95, 현재가테이블!$B$2:$D$200, 2, FALSE), "-")</f>
        <v>45335000</v>
      </c>
      <c r="H95" s="250"/>
      <c r="I95" s="251"/>
      <c r="J95" s="246" t="s">
        <v>59</v>
      </c>
      <c r="K95" s="247"/>
      <c r="L95" s="248"/>
      <c r="M95" s="252">
        <f>_xlfn.IFNA(VLOOKUP(B95, 현재가테이블!$B$2:$D$200, 3, FALSE), "-")</f>
        <v>-2.27209037E-2</v>
      </c>
      <c r="N95" s="253"/>
      <c r="O95" s="254"/>
      <c r="Q95" s="245"/>
      <c r="R95" s="245"/>
      <c r="S95" s="245"/>
    </row>
    <row r="96" spans="1:19" ht="17.25" thickBot="1">
      <c r="A96" s="290" t="s">
        <v>55</v>
      </c>
      <c r="B96" s="286" t="str">
        <f>TEXT($G$1, "[$-ko-KR]yyyy-mm-dd(ddd) ") &amp; "오전 00:00"</f>
        <v>2021-06-11(금) 오전 00:00</v>
      </c>
      <c r="C96" s="287"/>
      <c r="D96" s="259" t="str">
        <f>TEXT($G$1, "[$-ko-KR]yyyy-mm-dd(ddd) ") &amp; "오후 14:00"</f>
        <v>2021-06-11(금) 오후 14:00</v>
      </c>
      <c r="E96" s="260"/>
      <c r="F96" s="261"/>
      <c r="G96" s="259" t="str">
        <f>TEXT($G$1, "[$-ko-KR]yyyy-mm-dd(ddd) ") &amp; "오후 19:00"</f>
        <v>2021-06-11(금) 오후 19:00</v>
      </c>
      <c r="H96" s="260"/>
      <c r="I96" s="261"/>
      <c r="J96" s="259" t="str">
        <f>TEXT($G$1, "[$-ko-KR]yyyy-mm-dd(ddd) ") &amp; "오후 21:00"</f>
        <v>2021-06-11(금) 오후 21:00</v>
      </c>
      <c r="K96" s="260"/>
      <c r="L96" s="261"/>
      <c r="M96" s="259" t="str">
        <f>TEXT($G$1+1, "[$-ko-KR]yyyy-mm-dd(ddd) ") &amp; "오전 00:00"</f>
        <v>2021-06-12(토) 오전 00:00</v>
      </c>
      <c r="N96" s="260"/>
      <c r="O96" s="261"/>
      <c r="Q96" s="245"/>
      <c r="R96" s="245"/>
      <c r="S96" s="245"/>
    </row>
    <row r="97" spans="1:19" ht="17.25" thickBot="1">
      <c r="A97" s="291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201" t="s">
        <v>58</v>
      </c>
      <c r="H97" s="202" t="s">
        <v>298</v>
      </c>
      <c r="I97" s="203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5"/>
      <c r="R97" s="235"/>
      <c r="S97" s="235"/>
    </row>
    <row r="98" spans="1:19" ht="17.25" thickBot="1">
      <c r="A98" s="161" t="s">
        <v>254</v>
      </c>
      <c r="B98" s="124">
        <v>66.3</v>
      </c>
      <c r="C98" s="76">
        <v>0.4413043478</v>
      </c>
      <c r="D98" s="13">
        <v>56.4</v>
      </c>
      <c r="E98" s="14">
        <f>IF(ISNUMBER(D98), (D98 - $B98) / $B98, "")</f>
        <v>-0.14932126696832579</v>
      </c>
      <c r="F98" s="16">
        <f>IF(ISNUMBER(D98), $B118 * E98, "")</f>
        <v>-14932.126696832578</v>
      </c>
      <c r="G98" s="29">
        <v>37.6</v>
      </c>
      <c r="H98" s="14">
        <f>IF(ISNUMBER(G98), (G98 - $B98) / $B98, "")</f>
        <v>-0.43288084464555049</v>
      </c>
      <c r="I98" s="100">
        <f>IF(ISNUMBER(G98), $B118 * H98, "")</f>
        <v>-43288.084464555046</v>
      </c>
      <c r="J98" s="13">
        <v>36.6</v>
      </c>
      <c r="K98" s="14">
        <f>IF(ISNUMBER(J98), (J98 - $B98) / $B98, "")</f>
        <v>-0.44796380090497734</v>
      </c>
      <c r="L98" s="16">
        <f>IF(ISNUMBER(J98), $B118 * K98, "")</f>
        <v>-44796.380090497732</v>
      </c>
      <c r="M98" s="29">
        <v>37</v>
      </c>
      <c r="N98" s="14">
        <f>IF(ISNUMBER(M98), (M98 - $B98) / $B98, "")</f>
        <v>-0.44193061840120662</v>
      </c>
      <c r="O98" s="16">
        <f>IF(ISNUMBER(M98), $B118 * N98, "")</f>
        <v>-44193.061840120659</v>
      </c>
      <c r="Q98" s="245"/>
      <c r="R98" s="245"/>
      <c r="S98" s="245"/>
    </row>
    <row r="99" spans="1:19" ht="17.25" thickBot="1">
      <c r="A99" s="162" t="s">
        <v>122</v>
      </c>
      <c r="B99" s="126">
        <v>70.400000000000006</v>
      </c>
      <c r="C99" s="77">
        <v>0.2117039587</v>
      </c>
      <c r="D99" s="15">
        <v>62.3</v>
      </c>
      <c r="E99" s="32">
        <f t="shared" ref="E99:E102" si="46">IF(ISNUMBER(D99), (D99 - $B99) / $B99, "")</f>
        <v>-0.11505681818181829</v>
      </c>
      <c r="F99" s="18">
        <f>IF(ISNUMBER(D99), $B118 * E99, "")</f>
        <v>-11505.681818181829</v>
      </c>
      <c r="G99" s="31">
        <v>39.799999999999997</v>
      </c>
      <c r="H99" s="32">
        <f t="shared" ref="H99:H102" si="47">IF(ISNUMBER(G99), (G99 - $B99) / $B99, "")</f>
        <v>-0.43465909090909099</v>
      </c>
      <c r="I99" s="101">
        <f>IF(ISNUMBER(G99), $B118 * H99, "")</f>
        <v>-43465.909090909103</v>
      </c>
      <c r="J99" s="15">
        <v>39.1</v>
      </c>
      <c r="K99" s="32">
        <f t="shared" ref="K99:K102" si="48">IF(ISNUMBER(J99), (J99 - $B99) / $B99, "")</f>
        <v>-0.44460227272727276</v>
      </c>
      <c r="L99" s="18">
        <f>IF(ISNUMBER(J99), $B118 * K99, "")</f>
        <v>-44460.227272727279</v>
      </c>
      <c r="M99" s="31">
        <v>40.200000000000003</v>
      </c>
      <c r="N99" s="32">
        <f t="shared" ref="N99:N102" si="49">IF(ISNUMBER(M99), (M99 - $B99) / $B99, "")</f>
        <v>-0.42897727272727271</v>
      </c>
      <c r="O99" s="18">
        <f>IF(ISNUMBER(M99), $B118 * N99, "")</f>
        <v>-42897.727272727272</v>
      </c>
      <c r="Q99" s="245"/>
      <c r="R99" s="245"/>
      <c r="S99" s="245"/>
    </row>
    <row r="100" spans="1:19" ht="17.25" thickBot="1">
      <c r="A100" s="162" t="s">
        <v>186</v>
      </c>
      <c r="B100" s="126">
        <v>17.7</v>
      </c>
      <c r="C100" s="77">
        <v>0.10625</v>
      </c>
      <c r="D100" s="15">
        <v>17.2</v>
      </c>
      <c r="E100" s="32">
        <f t="shared" si="46"/>
        <v>-2.8248587570621469E-2</v>
      </c>
      <c r="F100" s="18">
        <f>IF(ISNUMBER(D100), $B118 * E100, "")</f>
        <v>-2824.8587570621471</v>
      </c>
      <c r="G100" s="31">
        <v>15.7</v>
      </c>
      <c r="H100" s="32">
        <f t="shared" si="47"/>
        <v>-0.11299435028248588</v>
      </c>
      <c r="I100" s="101">
        <f>IF(ISNUMBER(G100), $B118 * H100, "")</f>
        <v>-11299.435028248588</v>
      </c>
      <c r="J100" s="15">
        <v>15.4</v>
      </c>
      <c r="K100" s="32">
        <f t="shared" si="48"/>
        <v>-0.1299435028248587</v>
      </c>
      <c r="L100" s="18">
        <f>IF(ISNUMBER(J100), $B118 * K100, "")</f>
        <v>-12994.35028248587</v>
      </c>
      <c r="M100" s="31">
        <v>15.4</v>
      </c>
      <c r="N100" s="32">
        <f t="shared" si="49"/>
        <v>-0.1299435028248587</v>
      </c>
      <c r="O100" s="18">
        <f>IF(ISNUMBER(M100), $B118 * N100, "")</f>
        <v>-12994.35028248587</v>
      </c>
      <c r="Q100" s="235"/>
      <c r="R100" s="235"/>
      <c r="S100" s="235"/>
    </row>
    <row r="101" spans="1:19" ht="17.25" thickBot="1">
      <c r="A101" s="162" t="s">
        <v>216</v>
      </c>
      <c r="B101" s="126">
        <v>283</v>
      </c>
      <c r="C101" s="77">
        <v>8.4291187700000006E-2</v>
      </c>
      <c r="D101" s="15">
        <v>270</v>
      </c>
      <c r="E101" s="32">
        <f t="shared" si="46"/>
        <v>-4.5936395759717315E-2</v>
      </c>
      <c r="F101" s="18">
        <f>IF(ISNUMBER(D101), $B118 * E101, "")</f>
        <v>-4593.6395759717316</v>
      </c>
      <c r="G101" s="31">
        <v>260</v>
      </c>
      <c r="H101" s="32">
        <f t="shared" si="47"/>
        <v>-8.1272084805653705E-2</v>
      </c>
      <c r="I101" s="101">
        <f>IF(ISNUMBER(G101), $B118 * H101, "")</f>
        <v>-8127.2084805653703</v>
      </c>
      <c r="J101" s="15">
        <v>259</v>
      </c>
      <c r="K101" s="32">
        <f t="shared" si="48"/>
        <v>-8.4805653710247356E-2</v>
      </c>
      <c r="L101" s="18">
        <f>IF(ISNUMBER(J101), $B118 * K101, "")</f>
        <v>-8480.5653710247352</v>
      </c>
      <c r="M101" s="31">
        <v>256</v>
      </c>
      <c r="N101" s="32">
        <f t="shared" si="49"/>
        <v>-9.5406360424028266E-2</v>
      </c>
      <c r="O101" s="18">
        <f>IF(ISNUMBER(M101), $B118 * N101, "")</f>
        <v>-9540.6360424028262</v>
      </c>
      <c r="Q101" s="235"/>
      <c r="R101" s="235"/>
      <c r="S101" s="235"/>
    </row>
    <row r="102" spans="1:19" ht="17.25" thickBot="1">
      <c r="A102" s="163" t="s">
        <v>268</v>
      </c>
      <c r="B102" s="128">
        <v>50.3</v>
      </c>
      <c r="C102" s="78">
        <v>6.1181434600000001E-2</v>
      </c>
      <c r="D102" s="20">
        <v>67.5</v>
      </c>
      <c r="E102" s="21">
        <f t="shared" si="46"/>
        <v>0.3419483101391651</v>
      </c>
      <c r="F102" s="22">
        <f>IF(ISNUMBER(D102), $B118 * E102, "")</f>
        <v>34194.831013916511</v>
      </c>
      <c r="G102" s="30">
        <v>37.700000000000003</v>
      </c>
      <c r="H102" s="21">
        <f t="shared" si="47"/>
        <v>-0.25049701789264406</v>
      </c>
      <c r="I102" s="105">
        <f>IF(ISNUMBER(G102), $B118 * H102, "")</f>
        <v>-25049.701789264407</v>
      </c>
      <c r="J102" s="20">
        <v>38.5</v>
      </c>
      <c r="K102" s="21">
        <f t="shared" si="48"/>
        <v>-0.23459244532803178</v>
      </c>
      <c r="L102" s="22">
        <f>IF(ISNUMBER(J102), $B118 * K102, "")</f>
        <v>-23459.244532803179</v>
      </c>
      <c r="M102" s="30">
        <v>40.799999999999997</v>
      </c>
      <c r="N102" s="21">
        <f t="shared" si="49"/>
        <v>-0.1888667992047714</v>
      </c>
      <c r="O102" s="22">
        <f>IF(ISNUMBER(M102), $B118 * N102, "")</f>
        <v>-18886.679920477141</v>
      </c>
      <c r="Q102" s="235"/>
      <c r="R102" s="235"/>
      <c r="S102" s="235"/>
    </row>
    <row r="103" spans="1:19" ht="17.25" thickBot="1">
      <c r="A103" s="162" t="s">
        <v>220</v>
      </c>
      <c r="B103" s="129">
        <v>12.3</v>
      </c>
      <c r="C103" s="80">
        <v>6.0344827599999998E-2</v>
      </c>
      <c r="D103" s="106">
        <v>12.1</v>
      </c>
      <c r="E103" s="107">
        <f>IF(ISNUMBER(D103), (D103 - $B103) / $B103, "")</f>
        <v>-1.6260162601626101E-2</v>
      </c>
      <c r="F103" s="108">
        <f>IF(ISNUMBER(D103), $B118 * E103, "")</f>
        <v>-1626.01626016261</v>
      </c>
      <c r="G103" s="109">
        <v>11.1</v>
      </c>
      <c r="H103" s="107">
        <f>IF(ISNUMBER(G103), (G103 - $B103) / $B103, "")</f>
        <v>-9.7560975609756184E-2</v>
      </c>
      <c r="I103" s="110">
        <f>IF(ISNUMBER(G103), $B118 * H103, "")</f>
        <v>-9756.0975609756188</v>
      </c>
      <c r="J103" s="106">
        <v>11</v>
      </c>
      <c r="K103" s="107">
        <f>IF(ISNUMBER(J103), (J103 - $B103) / $B103, "")</f>
        <v>-0.10569105691056915</v>
      </c>
      <c r="L103" s="108">
        <f>IF(ISNUMBER(J103), $B118 * K103, "")</f>
        <v>-10569.105691056915</v>
      </c>
      <c r="M103" s="109">
        <v>10.9</v>
      </c>
      <c r="N103" s="107">
        <f>IF(ISNUMBER(M103), (M103 - $B103) / $B103, "")</f>
        <v>-0.11382113821138214</v>
      </c>
      <c r="O103" s="108">
        <f>IF(ISNUMBER(M103), $B118 * N103, "")</f>
        <v>-11382.113821138213</v>
      </c>
      <c r="Q103" s="235"/>
      <c r="R103" s="235"/>
      <c r="S103" s="235"/>
    </row>
    <row r="104" spans="1:19" ht="17.25" thickBot="1">
      <c r="A104" s="162" t="s">
        <v>266</v>
      </c>
      <c r="B104" s="126">
        <v>56.4</v>
      </c>
      <c r="C104" s="77">
        <v>5.4205607500000003E-2</v>
      </c>
      <c r="D104" s="15">
        <v>95.3</v>
      </c>
      <c r="E104" s="32">
        <f t="shared" ref="E104:E107" si="50">IF(ISNUMBER(D104), (D104 - $B104) / $B104, "")</f>
        <v>0.68971631205673756</v>
      </c>
      <c r="F104" s="18">
        <f>IF(ISNUMBER(D104), $B118 * E104, "")</f>
        <v>68971.631205673752</v>
      </c>
      <c r="G104" s="31">
        <v>81.2</v>
      </c>
      <c r="H104" s="32">
        <f t="shared" ref="H104:H107" si="51">IF(ISNUMBER(G104), (G104 - $B104) / $B104, "")</f>
        <v>0.43971631205673767</v>
      </c>
      <c r="I104" s="101">
        <f>IF(ISNUMBER(G104), $B118 * H104, "")</f>
        <v>43971.631205673766</v>
      </c>
      <c r="J104" s="15">
        <v>77.5</v>
      </c>
      <c r="K104" s="32">
        <f t="shared" ref="K104:K107" si="52">IF(ISNUMBER(J104), (J104 - $B104) / $B104, "")</f>
        <v>0.37411347517730498</v>
      </c>
      <c r="L104" s="18">
        <f>IF(ISNUMBER(J104), $B118 * K104, "")</f>
        <v>37411.347517730501</v>
      </c>
      <c r="M104" s="31">
        <v>70.8</v>
      </c>
      <c r="N104" s="32">
        <f t="shared" ref="N104:N107" si="53">IF(ISNUMBER(M104), (M104 - $B104) / $B104, "")</f>
        <v>0.25531914893617019</v>
      </c>
      <c r="O104" s="18">
        <f>IF(ISNUMBER(M104), $B118 * N104, "")</f>
        <v>25531.91489361702</v>
      </c>
      <c r="Q104" s="235"/>
      <c r="R104" s="235"/>
      <c r="S104" s="235"/>
    </row>
    <row r="105" spans="1:19" ht="17.25" thickBot="1">
      <c r="A105" s="162" t="s">
        <v>250</v>
      </c>
      <c r="B105" s="126">
        <v>121</v>
      </c>
      <c r="C105" s="77">
        <v>5.2173913000000002E-2</v>
      </c>
      <c r="D105" s="15">
        <v>121</v>
      </c>
      <c r="E105" s="32">
        <f t="shared" si="50"/>
        <v>0</v>
      </c>
      <c r="F105" s="18">
        <f>IF(ISNUMBER(D105), $B118 * E105, "")</f>
        <v>0</v>
      </c>
      <c r="G105" s="31">
        <v>73</v>
      </c>
      <c r="H105" s="32">
        <f t="shared" si="51"/>
        <v>-0.39669421487603307</v>
      </c>
      <c r="I105" s="101">
        <f>IF(ISNUMBER(G105), $B118 * H105, "")</f>
        <v>-39669.421487603307</v>
      </c>
      <c r="J105" s="15">
        <v>70.900000000000006</v>
      </c>
      <c r="K105" s="32">
        <f t="shared" si="52"/>
        <v>-0.41404958677685944</v>
      </c>
      <c r="L105" s="18">
        <f>IF(ISNUMBER(J105), $B118 * K105, "")</f>
        <v>-41404.958677685943</v>
      </c>
      <c r="M105" s="31">
        <v>73.400000000000006</v>
      </c>
      <c r="N105" s="32">
        <f t="shared" si="53"/>
        <v>-0.39338842975206606</v>
      </c>
      <c r="O105" s="18">
        <f>IF(ISNUMBER(M105), $B118 * N105, "")</f>
        <v>-39338.842975206608</v>
      </c>
      <c r="Q105" s="235"/>
      <c r="R105" s="235"/>
      <c r="S105" s="235"/>
    </row>
    <row r="106" spans="1:19" ht="17.25" thickBot="1">
      <c r="A106" s="162" t="s">
        <v>154</v>
      </c>
      <c r="B106" s="126">
        <v>10.9</v>
      </c>
      <c r="C106" s="77">
        <v>4.8076923100000002E-2</v>
      </c>
      <c r="D106" s="15">
        <v>11.4</v>
      </c>
      <c r="E106" s="32">
        <f t="shared" si="50"/>
        <v>4.5871559633027519E-2</v>
      </c>
      <c r="F106" s="18">
        <f>IF(ISNUMBER(D106), $B118 * E106, "")</f>
        <v>4587.1559633027518</v>
      </c>
      <c r="G106" s="31">
        <v>10.4</v>
      </c>
      <c r="H106" s="32">
        <f t="shared" si="51"/>
        <v>-4.5871559633027519E-2</v>
      </c>
      <c r="I106" s="101">
        <f>IF(ISNUMBER(G106), $B118 * H106, "")</f>
        <v>-4587.1559633027518</v>
      </c>
      <c r="J106" s="15">
        <v>10.199999999999999</v>
      </c>
      <c r="K106" s="32">
        <f t="shared" si="52"/>
        <v>-6.4220183486238633E-2</v>
      </c>
      <c r="L106" s="18">
        <f>IF(ISNUMBER(J106), $B118 * K106, "")</f>
        <v>-6422.0183486238629</v>
      </c>
      <c r="M106" s="31">
        <v>10.1</v>
      </c>
      <c r="N106" s="32">
        <f t="shared" si="53"/>
        <v>-7.3394495412844096E-2</v>
      </c>
      <c r="O106" s="18">
        <f>IF(ISNUMBER(M106), $B118 * N106, "")</f>
        <v>-7339.4495412844099</v>
      </c>
      <c r="Q106" s="33"/>
      <c r="R106" s="33"/>
    </row>
    <row r="107" spans="1:19" ht="17.25" thickBot="1">
      <c r="A107" s="130" t="s">
        <v>264</v>
      </c>
      <c r="B107" s="131">
        <v>83.4</v>
      </c>
      <c r="C107" s="79">
        <v>4.5112781999999997E-2</v>
      </c>
      <c r="D107" s="24">
        <v>86.8</v>
      </c>
      <c r="E107" s="25">
        <f t="shared" si="50"/>
        <v>4.0767386091126991E-2</v>
      </c>
      <c r="F107" s="104">
        <f>IF(ISNUMBER(D107), $B118 * E107, "")</f>
        <v>4076.7386091126991</v>
      </c>
      <c r="G107" s="102">
        <v>79.400000000000006</v>
      </c>
      <c r="H107" s="25">
        <f t="shared" si="51"/>
        <v>-4.7961630695443645E-2</v>
      </c>
      <c r="I107" s="103">
        <f>IF(ISNUMBER(G107), $B118 * H107, "")</f>
        <v>-4796.1630695443646</v>
      </c>
      <c r="J107" s="24">
        <v>79.599999999999994</v>
      </c>
      <c r="K107" s="25">
        <f t="shared" si="52"/>
        <v>-4.5563549160671596E-2</v>
      </c>
      <c r="L107" s="104">
        <f>IF(ISNUMBER(J107), $B118 * K107, "")</f>
        <v>-4556.3549160671591</v>
      </c>
      <c r="M107" s="102">
        <v>79</v>
      </c>
      <c r="N107" s="25">
        <f t="shared" si="53"/>
        <v>-5.2757793764988077E-2</v>
      </c>
      <c r="O107" s="104">
        <f>IF(ISNUMBER(M107), $B118 * N107, "")</f>
        <v>-5275.7793764988073</v>
      </c>
      <c r="Q107" s="236"/>
      <c r="R107" s="237"/>
      <c r="S107" s="238"/>
    </row>
    <row r="108" spans="1:19">
      <c r="A108" s="161" t="s">
        <v>218</v>
      </c>
      <c r="B108" s="124">
        <v>15.8</v>
      </c>
      <c r="C108" s="76">
        <v>3.9473684199999998E-2</v>
      </c>
      <c r="D108" s="13">
        <v>17.100000000000001</v>
      </c>
      <c r="E108" s="14">
        <f>IF(ISNUMBER(D108), (D108 - $B108) / $B108, "")</f>
        <v>8.2278481012658264E-2</v>
      </c>
      <c r="F108" s="16">
        <f>IF(ISNUMBER(D108), $B118 * E108, "")</f>
        <v>8227.8481012658267</v>
      </c>
      <c r="G108" s="29">
        <v>8.84</v>
      </c>
      <c r="H108" s="14">
        <f>IF(ISNUMBER(G108), (G108 - $B108) / $B108, "")</f>
        <v>-0.44050632911392407</v>
      </c>
      <c r="I108" s="100">
        <f>IF(ISNUMBER(G108), $B118 * H108, "")</f>
        <v>-44050.632911392408</v>
      </c>
      <c r="J108" s="13">
        <v>8.61</v>
      </c>
      <c r="K108" s="14">
        <f>IF(ISNUMBER(J108), (J108 - $B108) / $B108, "")</f>
        <v>-0.45506329113924054</v>
      </c>
      <c r="L108" s="16">
        <f>IF(ISNUMBER(J108), $B118 * K108, "")</f>
        <v>-45506.329113924054</v>
      </c>
      <c r="M108" s="29">
        <v>8.82</v>
      </c>
      <c r="N108" s="14">
        <f>IF(ISNUMBER(M108), (M108 - $B108) / $B108, "")</f>
        <v>-0.4417721518987342</v>
      </c>
      <c r="O108" s="16">
        <f>IF(ISNUMBER(M108), $B118 * N108, "")</f>
        <v>-44177.215189873423</v>
      </c>
      <c r="Q108" s="239"/>
      <c r="R108" s="240"/>
      <c r="S108" s="241"/>
    </row>
    <row r="109" spans="1:19" ht="17.25" thickBot="1">
      <c r="A109" s="162" t="s">
        <v>222</v>
      </c>
      <c r="B109" s="126">
        <v>11.3</v>
      </c>
      <c r="C109" s="77">
        <v>3.6697247699999998E-2</v>
      </c>
      <c r="D109" s="15">
        <v>11.7</v>
      </c>
      <c r="E109" s="32">
        <f t="shared" ref="E109:E112" si="54">IF(ISNUMBER(D109), (D109 - $B109) / $B109, "")</f>
        <v>3.539823008849545E-2</v>
      </c>
      <c r="F109" s="18">
        <f>IF(ISNUMBER(D109), $B118 * E109, "")</f>
        <v>3539.8230088495452</v>
      </c>
      <c r="G109" s="31">
        <v>10.5</v>
      </c>
      <c r="H109" s="32">
        <f t="shared" ref="H109:H112" si="55">IF(ISNUMBER(G109), (G109 - $B109) / $B109, "")</f>
        <v>-7.0796460176991205E-2</v>
      </c>
      <c r="I109" s="101">
        <f>IF(ISNUMBER(G109), $B118 * H109, "")</f>
        <v>-7079.6460176991204</v>
      </c>
      <c r="J109" s="15">
        <v>10</v>
      </c>
      <c r="K109" s="32">
        <f t="shared" ref="K109:K112" si="56">IF(ISNUMBER(J109), (J109 - $B109) / $B109, "")</f>
        <v>-0.11504424778761067</v>
      </c>
      <c r="L109" s="18">
        <f>IF(ISNUMBER(J109), $B118 * K109, "")</f>
        <v>-11504.424778761068</v>
      </c>
      <c r="M109" s="31">
        <v>9.9600000000000009</v>
      </c>
      <c r="N109" s="32">
        <f t="shared" ref="N109:N112" si="57">IF(ISNUMBER(M109), (M109 - $B109) / $B109, "")</f>
        <v>-0.11858407079646016</v>
      </c>
      <c r="O109" s="18">
        <f>IF(ISNUMBER(M109), $B118 * N109, "")</f>
        <v>-11858.407079646016</v>
      </c>
      <c r="Q109" s="242"/>
      <c r="R109" s="243"/>
      <c r="S109" s="244"/>
    </row>
    <row r="110" spans="1:19" ht="17.25" thickBot="1">
      <c r="A110" s="162" t="s">
        <v>260</v>
      </c>
      <c r="B110" s="126">
        <v>66.400000000000006</v>
      </c>
      <c r="C110" s="77">
        <v>3.4267912800000001E-2</v>
      </c>
      <c r="D110" s="15">
        <v>80.099999999999994</v>
      </c>
      <c r="E110" s="32">
        <f t="shared" si="54"/>
        <v>0.20632530120481909</v>
      </c>
      <c r="F110" s="18">
        <f>IF(ISNUMBER(D110), $B118 * E110, "")</f>
        <v>20632.530120481908</v>
      </c>
      <c r="G110" s="31">
        <v>62</v>
      </c>
      <c r="H110" s="32">
        <f t="shared" si="55"/>
        <v>-6.626506024096393E-2</v>
      </c>
      <c r="I110" s="101">
        <f>IF(ISNUMBER(G110), $B118 * H110, "")</f>
        <v>-6626.506024096393</v>
      </c>
      <c r="J110" s="15">
        <v>60.4</v>
      </c>
      <c r="K110" s="32">
        <f t="shared" si="56"/>
        <v>-9.0361445783132627E-2</v>
      </c>
      <c r="L110" s="18">
        <f>IF(ISNUMBER(J110), $B118 * K110, "")</f>
        <v>-9036.1445783132622</v>
      </c>
      <c r="M110" s="31">
        <v>60.9</v>
      </c>
      <c r="N110" s="32">
        <f t="shared" si="57"/>
        <v>-8.2831325301204919E-2</v>
      </c>
      <c r="O110" s="18">
        <f>IF(ISNUMBER(M110), $B118 * N110, "")</f>
        <v>-8283.1325301204924</v>
      </c>
      <c r="Q110" s="235"/>
      <c r="R110" s="235"/>
      <c r="S110" s="235"/>
    </row>
    <row r="111" spans="1:19" ht="17.25" thickBot="1">
      <c r="A111" s="162" t="s">
        <v>94</v>
      </c>
      <c r="B111" s="126">
        <v>84140</v>
      </c>
      <c r="C111" s="77">
        <v>2.7852431E-2</v>
      </c>
      <c r="D111" s="15">
        <v>76610</v>
      </c>
      <c r="E111" s="32">
        <f t="shared" si="54"/>
        <v>-8.9493700974566201E-2</v>
      </c>
      <c r="F111" s="18">
        <f>IF(ISNUMBER(D111), $B118 * E111, "")</f>
        <v>-8949.37009745662</v>
      </c>
      <c r="G111" s="31">
        <v>74200</v>
      </c>
      <c r="H111" s="32">
        <f t="shared" si="55"/>
        <v>-0.11813643926788686</v>
      </c>
      <c r="I111" s="101">
        <f>IF(ISNUMBER(G111), $B118 * H111, "")</f>
        <v>-11813.643926788685</v>
      </c>
      <c r="J111" s="15">
        <v>72060</v>
      </c>
      <c r="K111" s="32">
        <f t="shared" si="56"/>
        <v>-0.1435702400760637</v>
      </c>
      <c r="L111" s="18">
        <f>IF(ISNUMBER(J111), $B118 * K111, "")</f>
        <v>-14357.024007606369</v>
      </c>
      <c r="M111" s="31">
        <v>72250</v>
      </c>
      <c r="N111" s="32">
        <f t="shared" si="57"/>
        <v>-0.14131209888281435</v>
      </c>
      <c r="O111" s="18">
        <f>IF(ISNUMBER(M111), $B118 * N111, "")</f>
        <v>-14131.209888281435</v>
      </c>
      <c r="Q111" s="245"/>
      <c r="R111" s="245"/>
      <c r="S111" s="245"/>
    </row>
    <row r="112" spans="1:19" ht="17.25" thickBot="1">
      <c r="A112" s="163" t="s">
        <v>198</v>
      </c>
      <c r="B112" s="128">
        <v>15.3</v>
      </c>
      <c r="C112" s="78">
        <v>2.68456376E-2</v>
      </c>
      <c r="D112" s="20">
        <v>16.100000000000001</v>
      </c>
      <c r="E112" s="21">
        <f t="shared" si="54"/>
        <v>5.2287581699346448E-2</v>
      </c>
      <c r="F112" s="22">
        <f>IF(ISNUMBER(D112), $B118 * E112, "")</f>
        <v>5228.7581699346447</v>
      </c>
      <c r="G112" s="30">
        <v>14.1</v>
      </c>
      <c r="H112" s="21">
        <f t="shared" si="55"/>
        <v>-7.8431372549019676E-2</v>
      </c>
      <c r="I112" s="105">
        <f>IF(ISNUMBER(G112), $B118 * H112, "")</f>
        <v>-7843.1372549019679</v>
      </c>
      <c r="J112" s="20">
        <v>13.7</v>
      </c>
      <c r="K112" s="21">
        <f t="shared" si="56"/>
        <v>-0.1045751633986929</v>
      </c>
      <c r="L112" s="22">
        <f>IF(ISNUMBER(J112), $B118 * K112, "")</f>
        <v>-10457.516339869289</v>
      </c>
      <c r="M112" s="30">
        <v>13.5</v>
      </c>
      <c r="N112" s="21">
        <f t="shared" si="57"/>
        <v>-0.11764705882352945</v>
      </c>
      <c r="O112" s="22">
        <f>IF(ISNUMBER(M112), $B118 * N112, "")</f>
        <v>-11764.705882352946</v>
      </c>
      <c r="Q112" s="245"/>
      <c r="R112" s="245"/>
      <c r="S112" s="245"/>
    </row>
    <row r="113" spans="1:19" ht="17.25" thickBot="1">
      <c r="A113" s="162" t="s">
        <v>200</v>
      </c>
      <c r="B113" s="129">
        <v>198</v>
      </c>
      <c r="C113" s="80">
        <v>2.59067358E-2</v>
      </c>
      <c r="D113" s="106">
        <v>206</v>
      </c>
      <c r="E113" s="107">
        <f>IF(ISNUMBER(D113), (D113 - $B113) / $B113, "")</f>
        <v>4.0404040404040407E-2</v>
      </c>
      <c r="F113" s="108">
        <f>IF(ISNUMBER(D113), $B118 * E113, "")</f>
        <v>4040.4040404040406</v>
      </c>
      <c r="G113" s="109">
        <v>184</v>
      </c>
      <c r="H113" s="107">
        <f>IF(ISNUMBER(G113), (G113 - $B113) / $B113, "")</f>
        <v>-7.0707070707070704E-2</v>
      </c>
      <c r="I113" s="110">
        <f>IF(ISNUMBER(G113), $B118 * H113, "")</f>
        <v>-7070.7070707070707</v>
      </c>
      <c r="J113" s="106">
        <v>175</v>
      </c>
      <c r="K113" s="107">
        <f>IF(ISNUMBER(J113), (J113 - $B113) / $B113, "")</f>
        <v>-0.11616161616161616</v>
      </c>
      <c r="L113" s="108">
        <f>IF(ISNUMBER(J113), $B118 * K113, "")</f>
        <v>-11616.161616161617</v>
      </c>
      <c r="M113" s="109">
        <v>173</v>
      </c>
      <c r="N113" s="107">
        <f>IF(ISNUMBER(M113), (M113 - $B113) / $B113, "")</f>
        <v>-0.12626262626262627</v>
      </c>
      <c r="O113" s="108">
        <f>IF(ISNUMBER(M113), $B118 * N113, "")</f>
        <v>-12626.262626262627</v>
      </c>
      <c r="Q113" s="235"/>
      <c r="R113" s="235"/>
      <c r="S113" s="235"/>
    </row>
    <row r="114" spans="1:19" ht="17.25" thickBot="1">
      <c r="A114" s="162" t="s">
        <v>214</v>
      </c>
      <c r="B114" s="126">
        <v>12.7</v>
      </c>
      <c r="C114" s="77">
        <v>2.4193548400000001E-2</v>
      </c>
      <c r="D114" s="15">
        <v>14</v>
      </c>
      <c r="E114" s="32">
        <f t="shared" ref="E114:E117" si="58">IF(ISNUMBER(D114), (D114 - $B114) / $B114, "")</f>
        <v>0.10236220472440952</v>
      </c>
      <c r="F114" s="18">
        <f>IF(ISNUMBER(D114), $B118 * E114, "")</f>
        <v>10236.220472440951</v>
      </c>
      <c r="G114" s="31">
        <v>11.8</v>
      </c>
      <c r="H114" s="32">
        <f t="shared" ref="H114:H117" si="59">IF(ISNUMBER(G114), (G114 - $B114) / $B114, "")</f>
        <v>-7.0866141732283353E-2</v>
      </c>
      <c r="I114" s="101">
        <f>IF(ISNUMBER(G114), $B118 * H114, "")</f>
        <v>-7086.6141732283349</v>
      </c>
      <c r="J114" s="15">
        <v>11.2</v>
      </c>
      <c r="K114" s="32">
        <f t="shared" ref="K114:K117" si="60">IF(ISNUMBER(J114), (J114 - $B114) / $B114, "")</f>
        <v>-0.11811023622047245</v>
      </c>
      <c r="L114" s="18">
        <f>IF(ISNUMBER(J114), $B118 * K114, "")</f>
        <v>-11811.023622047245</v>
      </c>
      <c r="M114" s="31">
        <v>11.3</v>
      </c>
      <c r="N114" s="32">
        <f t="shared" ref="N114:N117" si="61">IF(ISNUMBER(M114), (M114 - $B114) / $B114, "")</f>
        <v>-0.11023622047244083</v>
      </c>
      <c r="O114" s="18">
        <f>IF(ISNUMBER(M114), $B118 * N114, "")</f>
        <v>-11023.622047244084</v>
      </c>
      <c r="Q114" s="235"/>
      <c r="R114" s="235"/>
      <c r="S114" s="235"/>
    </row>
    <row r="115" spans="1:19" ht="17.25" thickBot="1">
      <c r="A115" s="162" t="s">
        <v>72</v>
      </c>
      <c r="B115" s="126">
        <v>19.7</v>
      </c>
      <c r="C115" s="77">
        <v>2.0725388599999998E-2</v>
      </c>
      <c r="D115" s="15">
        <v>24.3</v>
      </c>
      <c r="E115" s="32">
        <f t="shared" si="58"/>
        <v>0.23350253807106608</v>
      </c>
      <c r="F115" s="18">
        <f>IF(ISNUMBER(D115), $B118 * E115, "")</f>
        <v>23350.253807106608</v>
      </c>
      <c r="G115" s="31">
        <v>21.9</v>
      </c>
      <c r="H115" s="32">
        <f t="shared" si="59"/>
        <v>0.11167512690355327</v>
      </c>
      <c r="I115" s="101">
        <f>IF(ISNUMBER(G115), $B118 * H115, "")</f>
        <v>11167.512690355328</v>
      </c>
      <c r="J115" s="15">
        <v>20.8</v>
      </c>
      <c r="K115" s="32">
        <f t="shared" si="60"/>
        <v>5.5837563451776727E-2</v>
      </c>
      <c r="L115" s="18">
        <f>IF(ISNUMBER(J115), $B118 * K115, "")</f>
        <v>5583.7563451776723</v>
      </c>
      <c r="M115" s="31">
        <v>20</v>
      </c>
      <c r="N115" s="32">
        <f t="shared" si="61"/>
        <v>1.5228426395939123E-2</v>
      </c>
      <c r="O115" s="18">
        <f>IF(ISNUMBER(M115), $B118 * N115, "")</f>
        <v>1522.8426395939123</v>
      </c>
      <c r="Q115" s="235"/>
      <c r="R115" s="235"/>
      <c r="S115" s="235"/>
    </row>
    <row r="116" spans="1:19">
      <c r="A116" s="162" t="s">
        <v>282</v>
      </c>
      <c r="B116" s="126">
        <v>111</v>
      </c>
      <c r="C116" s="77">
        <v>1.83486239E-2</v>
      </c>
      <c r="D116" s="15">
        <v>118</v>
      </c>
      <c r="E116" s="32">
        <f t="shared" si="58"/>
        <v>6.3063063063063057E-2</v>
      </c>
      <c r="F116" s="18">
        <f>IF(ISNUMBER(D116), $B118 * E116, "")</f>
        <v>6306.3063063063055</v>
      </c>
      <c r="G116" s="31">
        <v>69.3</v>
      </c>
      <c r="H116" s="32">
        <f t="shared" si="59"/>
        <v>-0.37567567567567572</v>
      </c>
      <c r="I116" s="101">
        <f>IF(ISNUMBER(G116), $B118 * H116, "")</f>
        <v>-37567.567567567574</v>
      </c>
      <c r="J116" s="15">
        <v>67.2</v>
      </c>
      <c r="K116" s="32">
        <f t="shared" si="60"/>
        <v>-0.39459459459459456</v>
      </c>
      <c r="L116" s="18">
        <f>IF(ISNUMBER(J116), $B118 * K116, "")</f>
        <v>-39459.459459459453</v>
      </c>
      <c r="M116" s="31">
        <v>72.5</v>
      </c>
      <c r="N116" s="32">
        <f t="shared" si="61"/>
        <v>-0.34684684684684686</v>
      </c>
      <c r="O116" s="18">
        <f>IF(ISNUMBER(M116), $B118 * N116, "")</f>
        <v>-34684.684684684689</v>
      </c>
      <c r="Q116" s="224"/>
      <c r="R116" s="225"/>
      <c r="S116" s="226"/>
    </row>
    <row r="117" spans="1:19" ht="17.25" thickBot="1">
      <c r="A117" s="130" t="s">
        <v>162</v>
      </c>
      <c r="B117" s="131">
        <v>1150</v>
      </c>
      <c r="C117" s="79">
        <v>1.3215859E-2</v>
      </c>
      <c r="D117" s="24">
        <v>1200</v>
      </c>
      <c r="E117" s="25">
        <f t="shared" si="58"/>
        <v>4.3478260869565216E-2</v>
      </c>
      <c r="F117" s="104">
        <f>IF(ISNUMBER(D117), $B118 * E117, "")</f>
        <v>4347.826086956522</v>
      </c>
      <c r="G117" s="102">
        <v>752</v>
      </c>
      <c r="H117" s="25">
        <f t="shared" si="59"/>
        <v>-0.34608695652173915</v>
      </c>
      <c r="I117" s="103">
        <f>IF(ISNUMBER(G117), $B118 * H117, "")</f>
        <v>-34608.695652173912</v>
      </c>
      <c r="J117" s="24">
        <v>708</v>
      </c>
      <c r="K117" s="25">
        <f t="shared" si="60"/>
        <v>-0.3843478260869565</v>
      </c>
      <c r="L117" s="104">
        <f>IF(ISNUMBER(J117), $B118 * K117, "")</f>
        <v>-38434.782608695648</v>
      </c>
      <c r="M117" s="102">
        <v>730</v>
      </c>
      <c r="N117" s="25">
        <f t="shared" si="61"/>
        <v>-0.36521739130434783</v>
      </c>
      <c r="O117" s="104">
        <f>IF(ISNUMBER(M117), $B118 * N117, "")</f>
        <v>-36521.739130434784</v>
      </c>
      <c r="Q117" s="227"/>
      <c r="R117" s="228"/>
      <c r="S117" s="229"/>
    </row>
    <row r="118" spans="1:19" ht="17.25" thickBot="1">
      <c r="A118" s="132" t="s">
        <v>300</v>
      </c>
      <c r="B118" s="288">
        <f>$B$37</f>
        <v>100000</v>
      </c>
      <c r="C118" s="289"/>
      <c r="D118" s="26" t="s">
        <v>301</v>
      </c>
      <c r="E118" s="27">
        <f>IF(COUNT(E98:E117), SUM(E98:E117) / COUNT(E98:E117), 0)</f>
        <v>7.6654316850042273E-2</v>
      </c>
      <c r="F118" s="28">
        <f>SUM(F98:F117)</f>
        <v>153308.63370008455</v>
      </c>
      <c r="G118" s="26" t="s">
        <v>301</v>
      </c>
      <c r="H118" s="27">
        <f>IF(COUNT(H98:H117), SUM(H98:H117) / COUNT(H98:H117), 0)</f>
        <v>-0.14932359181874741</v>
      </c>
      <c r="I118" s="28">
        <f>SUM(I98:I117)</f>
        <v>-298647.18363749486</v>
      </c>
      <c r="J118" s="26" t="s">
        <v>301</v>
      </c>
      <c r="K118" s="27">
        <f>IF(COUNT(K98:K117), SUM(K98:K117) / COUNT(K98:K117), 0)</f>
        <v>-0.17316548372245127</v>
      </c>
      <c r="L118" s="28">
        <f>SUM(L98:L117)</f>
        <v>-346330.96744490264</v>
      </c>
      <c r="M118" s="26" t="s">
        <v>301</v>
      </c>
      <c r="N118" s="27">
        <f>IF(COUNT(N98:N117), SUM(N98:N117) / COUNT(N98:N117), 0)</f>
        <v>-0.17493243129901567</v>
      </c>
      <c r="O118" s="28">
        <f>SUM(O98:O117)</f>
        <v>-349864.86259803141</v>
      </c>
      <c r="Q118" s="230"/>
      <c r="R118" s="231"/>
      <c r="S118" s="232"/>
    </row>
    <row r="120" spans="1:19" ht="17.25" thickBot="1"/>
    <row r="121" spans="1:19" ht="17.25" thickBot="1">
      <c r="A121" s="246" t="s">
        <v>288</v>
      </c>
      <c r="B121" s="247"/>
      <c r="C121" s="247"/>
      <c r="D121" s="247"/>
      <c r="E121" s="247"/>
      <c r="F121" s="247"/>
      <c r="G121" s="247"/>
      <c r="H121" s="247"/>
      <c r="I121" s="247"/>
      <c r="J121" s="247"/>
      <c r="K121" s="247"/>
      <c r="L121" s="247"/>
      <c r="M121" s="247"/>
      <c r="N121" s="247"/>
      <c r="O121" s="248"/>
      <c r="Q121" s="245"/>
      <c r="R121" s="245"/>
      <c r="S121" s="245"/>
    </row>
    <row r="122" spans="1:19" ht="17.25" thickBot="1">
      <c r="A122" s="200" t="s">
        <v>297</v>
      </c>
      <c r="B122" s="246" t="s">
        <v>49</v>
      </c>
      <c r="C122" s="248"/>
      <c r="D122" s="246" t="s">
        <v>58</v>
      </c>
      <c r="E122" s="247"/>
      <c r="F122" s="248"/>
      <c r="G122" s="249">
        <f>_xlfn.IFNA(VLOOKUP(B122, 현재가테이블!$B$2:$D$200, 2, FALSE), "-")</f>
        <v>45335000</v>
      </c>
      <c r="H122" s="250"/>
      <c r="I122" s="251"/>
      <c r="J122" s="246" t="s">
        <v>59</v>
      </c>
      <c r="K122" s="247"/>
      <c r="L122" s="248"/>
      <c r="M122" s="252">
        <f>_xlfn.IFNA(VLOOKUP(B122, 현재가테이블!$B$2:$D$200, 3, FALSE), "-")</f>
        <v>-2.27209037E-2</v>
      </c>
      <c r="N122" s="253"/>
      <c r="O122" s="254"/>
      <c r="Q122" s="245"/>
      <c r="R122" s="245"/>
      <c r="S122" s="245"/>
    </row>
    <row r="123" spans="1:19" ht="17.25" thickBot="1">
      <c r="A123" s="290" t="s">
        <v>55</v>
      </c>
      <c r="B123" s="286" t="str">
        <f>TEXT($G$1, "[$-ko-KR]yyyy-mm-dd(ddd) ") &amp; "오전 00:00"</f>
        <v>2021-06-11(금) 오전 00:00</v>
      </c>
      <c r="C123" s="287"/>
      <c r="D123" s="259" t="str">
        <f>TEXT($G$1, "[$-ko-KR]yyyy-mm-dd(ddd) ") &amp; "오후 14:00"</f>
        <v>2021-06-11(금) 오후 14:00</v>
      </c>
      <c r="E123" s="260"/>
      <c r="F123" s="261"/>
      <c r="G123" s="259" t="str">
        <f>TEXT($G$1, "[$-ko-KR]yyyy-mm-dd(ddd) ") &amp; "오후 19:00"</f>
        <v>2021-06-11(금) 오후 19:00</v>
      </c>
      <c r="H123" s="260"/>
      <c r="I123" s="261"/>
      <c r="J123" s="259" t="str">
        <f>TEXT($G$1, "[$-ko-KR]yyyy-mm-dd(ddd) ") &amp; "오후 21:00"</f>
        <v>2021-06-11(금) 오후 21:00</v>
      </c>
      <c r="K123" s="260"/>
      <c r="L123" s="261"/>
      <c r="M123" s="259" t="str">
        <f>TEXT($G$1+1, "[$-ko-KR]yyyy-mm-dd(ddd) ") &amp; "오전 00:00"</f>
        <v>2021-06-12(토) 오전 00:00</v>
      </c>
      <c r="N123" s="260"/>
      <c r="O123" s="261"/>
      <c r="Q123" s="245"/>
      <c r="R123" s="245"/>
      <c r="S123" s="245"/>
    </row>
    <row r="124" spans="1:19" ht="17.25" thickBot="1">
      <c r="A124" s="291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201" t="s">
        <v>58</v>
      </c>
      <c r="H124" s="202" t="s">
        <v>298</v>
      </c>
      <c r="I124" s="203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5"/>
      <c r="R124" s="235"/>
      <c r="S124" s="235"/>
    </row>
    <row r="125" spans="1:19" ht="17.25" thickBot="1">
      <c r="A125" s="161" t="s">
        <v>264</v>
      </c>
      <c r="B125" s="124">
        <v>83.4</v>
      </c>
      <c r="C125" s="76">
        <v>4.5112781999999997E-2</v>
      </c>
      <c r="D125" s="13">
        <v>86.8</v>
      </c>
      <c r="E125" s="14">
        <f>IF(ISNUMBER(D125), (D125 - $B125) / $B125, "")</f>
        <v>4.0767386091126991E-2</v>
      </c>
      <c r="F125" s="16">
        <f>IF(ISNUMBER(D125), $B145 * E125, "")</f>
        <v>4076.7386091126991</v>
      </c>
      <c r="G125" s="29">
        <v>79.400000000000006</v>
      </c>
      <c r="H125" s="14">
        <f>IF(ISNUMBER(G125), (G125 - $B125) / $B125, "")</f>
        <v>-4.7961630695443645E-2</v>
      </c>
      <c r="I125" s="100">
        <f>IF(ISNUMBER(G125), $B145 * H125, "")</f>
        <v>-4796.1630695443646</v>
      </c>
      <c r="J125" s="13">
        <v>79.599999999999994</v>
      </c>
      <c r="K125" s="14">
        <f>IF(ISNUMBER(J125), (J125 - $B125) / $B125, "")</f>
        <v>-4.5563549160671596E-2</v>
      </c>
      <c r="L125" s="16">
        <f>IF(ISNUMBER(J125), $B145 * K125, "")</f>
        <v>-4556.3549160671591</v>
      </c>
      <c r="M125" s="29">
        <v>79</v>
      </c>
      <c r="N125" s="14">
        <f>IF(ISNUMBER(M125), (M125 - $B125) / $B125, "")</f>
        <v>-5.2757793764988077E-2</v>
      </c>
      <c r="O125" s="16">
        <f>IF(ISNUMBER(M125), $B145 * N125, "")</f>
        <v>-5275.7793764988073</v>
      </c>
      <c r="Q125" s="245"/>
      <c r="R125" s="245"/>
      <c r="S125" s="245"/>
    </row>
    <row r="126" spans="1:19" ht="17.25" thickBot="1">
      <c r="A126" s="162" t="s">
        <v>218</v>
      </c>
      <c r="B126" s="126">
        <v>15.8</v>
      </c>
      <c r="C126" s="77">
        <v>3.9473684199999998E-2</v>
      </c>
      <c r="D126" s="15">
        <v>17.100000000000001</v>
      </c>
      <c r="E126" s="32">
        <f t="shared" ref="E126:E129" si="62">IF(ISNUMBER(D126), (D126 - $B126) / $B126, "")</f>
        <v>8.2278481012658264E-2</v>
      </c>
      <c r="F126" s="18">
        <f>IF(ISNUMBER(D126), $B145 * E126, "")</f>
        <v>8227.8481012658267</v>
      </c>
      <c r="G126" s="31">
        <v>8.84</v>
      </c>
      <c r="H126" s="32">
        <f t="shared" ref="H126:H129" si="63">IF(ISNUMBER(G126), (G126 - $B126) / $B126, "")</f>
        <v>-0.44050632911392407</v>
      </c>
      <c r="I126" s="101">
        <f>IF(ISNUMBER(G126), $B145 * H126, "")</f>
        <v>-44050.632911392408</v>
      </c>
      <c r="J126" s="15">
        <v>8.61</v>
      </c>
      <c r="K126" s="32">
        <f t="shared" ref="K126:K129" si="64">IF(ISNUMBER(J126), (J126 - $B126) / $B126, "")</f>
        <v>-0.45506329113924054</v>
      </c>
      <c r="L126" s="18">
        <f>IF(ISNUMBER(J126), $B145 * K126, "")</f>
        <v>-45506.329113924054</v>
      </c>
      <c r="M126" s="31">
        <v>8.82</v>
      </c>
      <c r="N126" s="32">
        <f t="shared" ref="N126:N129" si="65">IF(ISNUMBER(M126), (M126 - $B126) / $B126, "")</f>
        <v>-0.4417721518987342</v>
      </c>
      <c r="O126" s="18">
        <f>IF(ISNUMBER(M126), $B145 * N126, "")</f>
        <v>-44177.215189873423</v>
      </c>
      <c r="Q126" s="245"/>
      <c r="R126" s="245"/>
      <c r="S126" s="245"/>
    </row>
    <row r="127" spans="1:19" ht="17.25" thickBot="1">
      <c r="A127" s="162" t="s">
        <v>222</v>
      </c>
      <c r="B127" s="126">
        <v>11.3</v>
      </c>
      <c r="C127" s="77">
        <v>3.6697247699999998E-2</v>
      </c>
      <c r="D127" s="15">
        <v>11.7</v>
      </c>
      <c r="E127" s="32">
        <f t="shared" si="62"/>
        <v>3.539823008849545E-2</v>
      </c>
      <c r="F127" s="18">
        <f>IF(ISNUMBER(D127), $B145 * E127, "")</f>
        <v>3539.8230088495452</v>
      </c>
      <c r="G127" s="31">
        <v>10.5</v>
      </c>
      <c r="H127" s="32">
        <f t="shared" si="63"/>
        <v>-7.0796460176991205E-2</v>
      </c>
      <c r="I127" s="101">
        <f>IF(ISNUMBER(G127), $B145 * H127, "")</f>
        <v>-7079.6460176991204</v>
      </c>
      <c r="J127" s="15">
        <v>10</v>
      </c>
      <c r="K127" s="32">
        <f t="shared" si="64"/>
        <v>-0.11504424778761067</v>
      </c>
      <c r="L127" s="18">
        <f>IF(ISNUMBER(J127), $B145 * K127, "")</f>
        <v>-11504.424778761068</v>
      </c>
      <c r="M127" s="31">
        <v>9.9600000000000009</v>
      </c>
      <c r="N127" s="32">
        <f t="shared" si="65"/>
        <v>-0.11858407079646016</v>
      </c>
      <c r="O127" s="18">
        <f>IF(ISNUMBER(M127), $B145 * N127, "")</f>
        <v>-11858.407079646016</v>
      </c>
      <c r="Q127" s="235"/>
      <c r="R127" s="235"/>
      <c r="S127" s="235"/>
    </row>
    <row r="128" spans="1:19" ht="17.25" thickBot="1">
      <c r="A128" s="162" t="s">
        <v>260</v>
      </c>
      <c r="B128" s="126">
        <v>66.400000000000006</v>
      </c>
      <c r="C128" s="77">
        <v>3.4267912800000001E-2</v>
      </c>
      <c r="D128" s="15">
        <v>80.099999999999994</v>
      </c>
      <c r="E128" s="32">
        <f t="shared" si="62"/>
        <v>0.20632530120481909</v>
      </c>
      <c r="F128" s="18">
        <f>IF(ISNUMBER(D128), $B145 * E128, "")</f>
        <v>20632.530120481908</v>
      </c>
      <c r="G128" s="31">
        <v>62</v>
      </c>
      <c r="H128" s="32">
        <f t="shared" si="63"/>
        <v>-6.626506024096393E-2</v>
      </c>
      <c r="I128" s="101">
        <f>IF(ISNUMBER(G128), $B145 * H128, "")</f>
        <v>-6626.506024096393</v>
      </c>
      <c r="J128" s="15">
        <v>60.4</v>
      </c>
      <c r="K128" s="32">
        <f t="shared" si="64"/>
        <v>-9.0361445783132627E-2</v>
      </c>
      <c r="L128" s="18">
        <f>IF(ISNUMBER(J128), $B145 * K128, "")</f>
        <v>-9036.1445783132622</v>
      </c>
      <c r="M128" s="31">
        <v>60.9</v>
      </c>
      <c r="N128" s="32">
        <f t="shared" si="65"/>
        <v>-8.2831325301204919E-2</v>
      </c>
      <c r="O128" s="18">
        <f>IF(ISNUMBER(M128), $B145 * N128, "")</f>
        <v>-8283.1325301204924</v>
      </c>
      <c r="Q128" s="235"/>
      <c r="R128" s="235"/>
      <c r="S128" s="235"/>
    </row>
    <row r="129" spans="1:19" ht="17.25" thickBot="1">
      <c r="A129" s="163" t="s">
        <v>198</v>
      </c>
      <c r="B129" s="128">
        <v>15.3</v>
      </c>
      <c r="C129" s="78">
        <v>2.68456376E-2</v>
      </c>
      <c r="D129" s="20">
        <v>16.100000000000001</v>
      </c>
      <c r="E129" s="21">
        <f t="shared" si="62"/>
        <v>5.2287581699346448E-2</v>
      </c>
      <c r="F129" s="22">
        <f>IF(ISNUMBER(D129), $B145 * E129, "")</f>
        <v>5228.7581699346447</v>
      </c>
      <c r="G129" s="30">
        <v>14.1</v>
      </c>
      <c r="H129" s="21">
        <f t="shared" si="63"/>
        <v>-7.8431372549019676E-2</v>
      </c>
      <c r="I129" s="105">
        <f>IF(ISNUMBER(G129), $B145 * H129, "")</f>
        <v>-7843.1372549019679</v>
      </c>
      <c r="J129" s="20">
        <v>13.7</v>
      </c>
      <c r="K129" s="21">
        <f t="shared" si="64"/>
        <v>-0.1045751633986929</v>
      </c>
      <c r="L129" s="22">
        <f>IF(ISNUMBER(J129), $B145 * K129, "")</f>
        <v>-10457.516339869289</v>
      </c>
      <c r="M129" s="30">
        <v>13.5</v>
      </c>
      <c r="N129" s="21">
        <f t="shared" si="65"/>
        <v>-0.11764705882352945</v>
      </c>
      <c r="O129" s="22">
        <f>IF(ISNUMBER(M129), $B145 * N129, "")</f>
        <v>-11764.705882352946</v>
      </c>
      <c r="Q129" s="235"/>
      <c r="R129" s="235"/>
      <c r="S129" s="235"/>
    </row>
    <row r="130" spans="1:19" ht="17.25" thickBot="1">
      <c r="A130" s="162" t="s">
        <v>214</v>
      </c>
      <c r="B130" s="129">
        <v>12.7</v>
      </c>
      <c r="C130" s="80">
        <v>2.4193548400000001E-2</v>
      </c>
      <c r="D130" s="106">
        <v>14</v>
      </c>
      <c r="E130" s="107">
        <f>IF(ISNUMBER(D130), (D130 - $B130) / $B130, "")</f>
        <v>0.10236220472440952</v>
      </c>
      <c r="F130" s="108">
        <f>IF(ISNUMBER(D130), $B145 * E130, "")</f>
        <v>10236.220472440951</v>
      </c>
      <c r="G130" s="109">
        <v>11.8</v>
      </c>
      <c r="H130" s="107">
        <f>IF(ISNUMBER(G130), (G130 - $B130) / $B130, "")</f>
        <v>-7.0866141732283353E-2</v>
      </c>
      <c r="I130" s="110">
        <f>IF(ISNUMBER(G130), $B145 * H130, "")</f>
        <v>-7086.6141732283349</v>
      </c>
      <c r="J130" s="106">
        <v>11.2</v>
      </c>
      <c r="K130" s="107">
        <f>IF(ISNUMBER(J130), (J130 - $B130) / $B130, "")</f>
        <v>-0.11811023622047245</v>
      </c>
      <c r="L130" s="108">
        <f>IF(ISNUMBER(J130), $B145 * K130, "")</f>
        <v>-11811.023622047245</v>
      </c>
      <c r="M130" s="109">
        <v>11.3</v>
      </c>
      <c r="N130" s="107">
        <f>IF(ISNUMBER(M130), (M130 - $B130) / $B130, "")</f>
        <v>-0.11023622047244083</v>
      </c>
      <c r="O130" s="108">
        <f>IF(ISNUMBER(M130), $B145 * N130, "")</f>
        <v>-11023.622047244084</v>
      </c>
      <c r="Q130" s="235"/>
      <c r="R130" s="235"/>
      <c r="S130" s="235"/>
    </row>
    <row r="131" spans="1:19" ht="17.25" thickBot="1">
      <c r="A131" s="162" t="s">
        <v>72</v>
      </c>
      <c r="B131" s="126">
        <v>19.7</v>
      </c>
      <c r="C131" s="77">
        <v>2.0725388599999998E-2</v>
      </c>
      <c r="D131" s="15">
        <v>24.3</v>
      </c>
      <c r="E131" s="32">
        <f t="shared" ref="E131:E134" si="66">IF(ISNUMBER(D131), (D131 - $B131) / $B131, "")</f>
        <v>0.23350253807106608</v>
      </c>
      <c r="F131" s="18">
        <f>IF(ISNUMBER(D131), $B145 * E131, "")</f>
        <v>23350.253807106608</v>
      </c>
      <c r="G131" s="31">
        <v>21.9</v>
      </c>
      <c r="H131" s="32">
        <f t="shared" ref="H131:H134" si="67">IF(ISNUMBER(G131), (G131 - $B131) / $B131, "")</f>
        <v>0.11167512690355327</v>
      </c>
      <c r="I131" s="101">
        <f>IF(ISNUMBER(G131), $B145 * H131, "")</f>
        <v>11167.512690355328</v>
      </c>
      <c r="J131" s="15">
        <v>20.8</v>
      </c>
      <c r="K131" s="32">
        <f t="shared" ref="K131:K134" si="68">IF(ISNUMBER(J131), (J131 - $B131) / $B131, "")</f>
        <v>5.5837563451776727E-2</v>
      </c>
      <c r="L131" s="18">
        <f>IF(ISNUMBER(J131), $B145 * K131, "")</f>
        <v>5583.7563451776723</v>
      </c>
      <c r="M131" s="31">
        <v>20</v>
      </c>
      <c r="N131" s="32">
        <f t="shared" ref="N131:N134" si="69">IF(ISNUMBER(M131), (M131 - $B131) / $B131, "")</f>
        <v>1.5228426395939123E-2</v>
      </c>
      <c r="O131" s="18">
        <f>IF(ISNUMBER(M131), $B145 * N131, "")</f>
        <v>1522.8426395939123</v>
      </c>
      <c r="Q131" s="235"/>
      <c r="R131" s="235"/>
      <c r="S131" s="235"/>
    </row>
    <row r="132" spans="1:19" ht="17.25" thickBot="1">
      <c r="A132" s="162" t="s">
        <v>212</v>
      </c>
      <c r="B132" s="126">
        <v>68.900000000000006</v>
      </c>
      <c r="C132" s="77">
        <v>1.0263929600000001E-2</v>
      </c>
      <c r="D132" s="15">
        <v>75.400000000000006</v>
      </c>
      <c r="E132" s="32">
        <f t="shared" si="66"/>
        <v>9.4339622641509427E-2</v>
      </c>
      <c r="F132" s="18">
        <f>IF(ISNUMBER(D132), $B145 * E132, "")</f>
        <v>9433.9622641509432</v>
      </c>
      <c r="G132" s="31">
        <v>64.099999999999994</v>
      </c>
      <c r="H132" s="32">
        <f t="shared" si="67"/>
        <v>-6.9666182873730206E-2</v>
      </c>
      <c r="I132" s="101">
        <f>IF(ISNUMBER(G132), $B145 * H132, "")</f>
        <v>-6966.6182873730204</v>
      </c>
      <c r="J132" s="15">
        <v>63.2</v>
      </c>
      <c r="K132" s="32">
        <f t="shared" si="68"/>
        <v>-8.272859216255446E-2</v>
      </c>
      <c r="L132" s="18">
        <f>IF(ISNUMBER(J132), $B145 * K132, "")</f>
        <v>-8272.8592162554451</v>
      </c>
      <c r="M132" s="31">
        <v>62.8</v>
      </c>
      <c r="N132" s="32">
        <f t="shared" si="69"/>
        <v>-8.8534107402032047E-2</v>
      </c>
      <c r="O132" s="18">
        <f>IF(ISNUMBER(M132), $B145 * N132, "")</f>
        <v>-8853.4107402032041</v>
      </c>
      <c r="Q132" s="235"/>
      <c r="R132" s="235"/>
      <c r="S132" s="235"/>
    </row>
    <row r="133" spans="1:19" ht="17.25" thickBot="1">
      <c r="A133" s="162" t="s">
        <v>228</v>
      </c>
      <c r="B133" s="126">
        <v>10.1</v>
      </c>
      <c r="C133" s="77">
        <v>0.01</v>
      </c>
      <c r="D133" s="15">
        <v>10.7</v>
      </c>
      <c r="E133" s="32">
        <f t="shared" si="66"/>
        <v>5.9405940594059375E-2</v>
      </c>
      <c r="F133" s="18">
        <f>IF(ISNUMBER(D133), $B145 * E133, "")</f>
        <v>5940.5940594059375</v>
      </c>
      <c r="G133" s="31">
        <v>9.52</v>
      </c>
      <c r="H133" s="32">
        <f t="shared" si="67"/>
        <v>-5.7425742574257435E-2</v>
      </c>
      <c r="I133" s="101">
        <f>IF(ISNUMBER(G133), $B145 * H133, "")</f>
        <v>-5742.5742574257438</v>
      </c>
      <c r="J133" s="15">
        <v>9.2799999999999994</v>
      </c>
      <c r="K133" s="32">
        <f t="shared" si="68"/>
        <v>-8.1188118811881219E-2</v>
      </c>
      <c r="L133" s="18">
        <f>IF(ISNUMBER(J133), $B145 * K133, "")</f>
        <v>-8118.8118811881222</v>
      </c>
      <c r="M133" s="31">
        <v>9.1199999999999992</v>
      </c>
      <c r="N133" s="32">
        <f t="shared" si="69"/>
        <v>-9.7029702970297074E-2</v>
      </c>
      <c r="O133" s="18">
        <f>IF(ISNUMBER(M133), $B145 * N133, "")</f>
        <v>-9702.9702970297076</v>
      </c>
      <c r="Q133" s="33"/>
      <c r="R133" s="33"/>
    </row>
    <row r="134" spans="1:19" ht="17.25" thickBot="1">
      <c r="A134" s="130" t="s">
        <v>196</v>
      </c>
      <c r="B134" s="131">
        <v>11.2</v>
      </c>
      <c r="C134" s="79">
        <v>9.0090090000000001E-3</v>
      </c>
      <c r="D134" s="24">
        <v>12.1</v>
      </c>
      <c r="E134" s="25">
        <f t="shared" si="66"/>
        <v>8.0357142857142891E-2</v>
      </c>
      <c r="F134" s="104">
        <f>IF(ISNUMBER(D134), $B145 * E134, "")</f>
        <v>8035.714285714289</v>
      </c>
      <c r="G134" s="102">
        <v>10.7</v>
      </c>
      <c r="H134" s="25">
        <f t="shared" si="67"/>
        <v>-4.4642857142857144E-2</v>
      </c>
      <c r="I134" s="103">
        <f>IF(ISNUMBER(G134), $B145 * H134, "")</f>
        <v>-4464.2857142857147</v>
      </c>
      <c r="J134" s="24">
        <v>10.3</v>
      </c>
      <c r="K134" s="25">
        <f t="shared" si="68"/>
        <v>-8.0357142857142738E-2</v>
      </c>
      <c r="L134" s="104">
        <f>IF(ISNUMBER(J134), $B145 * K134, "")</f>
        <v>-8035.7142857142735</v>
      </c>
      <c r="M134" s="102">
        <v>10.3</v>
      </c>
      <c r="N134" s="25">
        <f t="shared" si="69"/>
        <v>-8.0357142857142738E-2</v>
      </c>
      <c r="O134" s="104">
        <f>IF(ISNUMBER(M134), $B145 * N134, "")</f>
        <v>-8035.7142857142735</v>
      </c>
      <c r="Q134" s="236"/>
      <c r="R134" s="237"/>
      <c r="S134" s="238"/>
    </row>
    <row r="135" spans="1:19">
      <c r="A135" s="161" t="s">
        <v>236</v>
      </c>
      <c r="B135" s="124">
        <v>53.7</v>
      </c>
      <c r="C135" s="76">
        <v>3.7383178E-3</v>
      </c>
      <c r="D135" s="13">
        <v>61.9</v>
      </c>
      <c r="E135" s="14">
        <f>IF(ISNUMBER(D135), (D135 - $B135) / $B135, "")</f>
        <v>0.15270018621973921</v>
      </c>
      <c r="F135" s="16">
        <f>IF(ISNUMBER(D135), $B145 * E135, "")</f>
        <v>15270.018621973921</v>
      </c>
      <c r="G135" s="29">
        <v>31.9</v>
      </c>
      <c r="H135" s="14">
        <f>IF(ISNUMBER(G135), (G135 - $B135) / $B135, "")</f>
        <v>-0.40595903165735575</v>
      </c>
      <c r="I135" s="100">
        <f>IF(ISNUMBER(G135), $B145 * H135, "")</f>
        <v>-40595.903165735574</v>
      </c>
      <c r="J135" s="13">
        <v>30.6</v>
      </c>
      <c r="K135" s="14">
        <f>IF(ISNUMBER(J135), (J135 - $B135) / $B135, "")</f>
        <v>-0.43016759776536312</v>
      </c>
      <c r="L135" s="16">
        <f>IF(ISNUMBER(J135), $B145 * K135, "")</f>
        <v>-43016.75977653631</v>
      </c>
      <c r="M135" s="29">
        <v>31.1</v>
      </c>
      <c r="N135" s="14">
        <f>IF(ISNUMBER(M135), (M135 - $B135) / $B135, "")</f>
        <v>-0.42085661080074488</v>
      </c>
      <c r="O135" s="16">
        <f>IF(ISNUMBER(M135), $B145 * N135, "")</f>
        <v>-42085.661080074489</v>
      </c>
      <c r="Q135" s="239"/>
      <c r="R135" s="240"/>
      <c r="S135" s="241"/>
    </row>
    <row r="136" spans="1:19" ht="17.25" thickBot="1">
      <c r="A136" s="162" t="s">
        <v>126</v>
      </c>
      <c r="B136" s="126">
        <v>27</v>
      </c>
      <c r="C136" s="77">
        <v>3.7174720999999999E-3</v>
      </c>
      <c r="D136" s="15">
        <v>31.4</v>
      </c>
      <c r="E136" s="32">
        <f t="shared" ref="E136:E139" si="70">IF(ISNUMBER(D136), (D136 - $B136) / $B136, "")</f>
        <v>0.16296296296296292</v>
      </c>
      <c r="F136" s="18">
        <f>IF(ISNUMBER(D136), $B145 * E136, "")</f>
        <v>16296.296296296292</v>
      </c>
      <c r="G136" s="31">
        <v>28.8</v>
      </c>
      <c r="H136" s="32">
        <f t="shared" ref="H136:H139" si="71">IF(ISNUMBER(G136), (G136 - $B136) / $B136, "")</f>
        <v>6.6666666666666693E-2</v>
      </c>
      <c r="I136" s="101">
        <f>IF(ISNUMBER(G136), $B145 * H136, "")</f>
        <v>6666.6666666666697</v>
      </c>
      <c r="J136" s="15">
        <v>28.5</v>
      </c>
      <c r="K136" s="32">
        <f t="shared" ref="K136:K139" si="72">IF(ISNUMBER(J136), (J136 - $B136) / $B136, "")</f>
        <v>5.5555555555555552E-2</v>
      </c>
      <c r="L136" s="18">
        <f>IF(ISNUMBER(J136), $B145 * K136, "")</f>
        <v>5555.5555555555557</v>
      </c>
      <c r="M136" s="31">
        <v>27.2</v>
      </c>
      <c r="N136" s="32">
        <f t="shared" ref="N136:N139" si="73">IF(ISNUMBER(M136), (M136 - $B136) / $B136, "")</f>
        <v>7.4074074074073808E-3</v>
      </c>
      <c r="O136" s="18">
        <f>IF(ISNUMBER(M136), $B145 * N136, "")</f>
        <v>740.74074074073803</v>
      </c>
      <c r="Q136" s="242"/>
      <c r="R136" s="243"/>
      <c r="S136" s="244"/>
    </row>
    <row r="137" spans="1:19" ht="17.25" thickBot="1">
      <c r="A137" s="162" t="s">
        <v>152</v>
      </c>
      <c r="B137" s="126">
        <v>19.3</v>
      </c>
      <c r="C137" s="77">
        <v>-5.1546392E-3</v>
      </c>
      <c r="D137" s="15">
        <v>19.399999999999999</v>
      </c>
      <c r="E137" s="32">
        <f t="shared" si="70"/>
        <v>5.1813471502589565E-3</v>
      </c>
      <c r="F137" s="18">
        <f>IF(ISNUMBER(D137), $B145 * E137, "")</f>
        <v>518.13471502589562</v>
      </c>
      <c r="G137" s="31">
        <v>18.8</v>
      </c>
      <c r="H137" s="32">
        <f t="shared" si="71"/>
        <v>-2.5906735751295335E-2</v>
      </c>
      <c r="I137" s="101">
        <f>IF(ISNUMBER(G137), $B145 * H137, "")</f>
        <v>-2590.6735751295337</v>
      </c>
      <c r="J137" s="15">
        <v>18.5</v>
      </c>
      <c r="K137" s="32">
        <f t="shared" si="72"/>
        <v>-4.1450777202072575E-2</v>
      </c>
      <c r="L137" s="18">
        <f>IF(ISNUMBER(J137), $B145 * K137, "")</f>
        <v>-4145.0777202072577</v>
      </c>
      <c r="M137" s="31">
        <v>18.3</v>
      </c>
      <c r="N137" s="32">
        <f t="shared" si="73"/>
        <v>-5.181347150259067E-2</v>
      </c>
      <c r="O137" s="18">
        <f>IF(ISNUMBER(M137), $B145 * N137, "")</f>
        <v>-5181.3471502590673</v>
      </c>
      <c r="Q137" s="235"/>
      <c r="R137" s="235"/>
      <c r="S137" s="235"/>
    </row>
    <row r="138" spans="1:19" ht="17.25" thickBot="1">
      <c r="A138" s="162" t="s">
        <v>172</v>
      </c>
      <c r="B138" s="126">
        <v>14.1</v>
      </c>
      <c r="C138" s="77">
        <v>-7.0422534999999998E-3</v>
      </c>
      <c r="D138" s="15">
        <v>15.2</v>
      </c>
      <c r="E138" s="32">
        <f t="shared" si="70"/>
        <v>7.8014184397163094E-2</v>
      </c>
      <c r="F138" s="18">
        <f>IF(ISNUMBER(D138), $B145 * E138, "")</f>
        <v>7801.4184397163099</v>
      </c>
      <c r="G138" s="31">
        <v>8.33</v>
      </c>
      <c r="H138" s="32">
        <f t="shared" si="71"/>
        <v>-0.40921985815602835</v>
      </c>
      <c r="I138" s="101">
        <f>IF(ISNUMBER(G138), $B145 * H138, "")</f>
        <v>-40921.985815602835</v>
      </c>
      <c r="J138" s="15">
        <v>8.14</v>
      </c>
      <c r="K138" s="32">
        <f t="shared" si="72"/>
        <v>-0.42269503546099285</v>
      </c>
      <c r="L138" s="18">
        <f>IF(ISNUMBER(J138), $B145 * K138, "")</f>
        <v>-42269.503546099288</v>
      </c>
      <c r="M138" s="31">
        <v>8.24</v>
      </c>
      <c r="N138" s="32">
        <f t="shared" si="73"/>
        <v>-0.41560283687943261</v>
      </c>
      <c r="O138" s="18">
        <f>IF(ISNUMBER(M138), $B145 * N138, "")</f>
        <v>-41560.283687943258</v>
      </c>
      <c r="Q138" s="245"/>
      <c r="R138" s="245"/>
      <c r="S138" s="245"/>
    </row>
    <row r="139" spans="1:19" ht="17.25" thickBot="1">
      <c r="A139" s="163" t="s">
        <v>134</v>
      </c>
      <c r="B139" s="128">
        <v>87.1</v>
      </c>
      <c r="C139" s="78">
        <v>-7.9726650999999999E-3</v>
      </c>
      <c r="D139" s="20">
        <v>96.5</v>
      </c>
      <c r="E139" s="21">
        <f t="shared" si="70"/>
        <v>0.10792192881745127</v>
      </c>
      <c r="F139" s="22">
        <f>IF(ISNUMBER(D139), $B145 * E139, "")</f>
        <v>10792.192881745128</v>
      </c>
      <c r="G139" s="30">
        <v>90.1</v>
      </c>
      <c r="H139" s="21">
        <f t="shared" si="71"/>
        <v>3.4443168771526984E-2</v>
      </c>
      <c r="I139" s="105">
        <f>IF(ISNUMBER(G139), $B145 * H139, "")</f>
        <v>3444.3168771526985</v>
      </c>
      <c r="J139" s="20">
        <v>85.4</v>
      </c>
      <c r="K139" s="21">
        <f t="shared" si="72"/>
        <v>-1.9517795637198493E-2</v>
      </c>
      <c r="L139" s="22">
        <f>IF(ISNUMBER(J139), $B145 * K139, "")</f>
        <v>-1951.7795637198492</v>
      </c>
      <c r="M139" s="30">
        <v>86.8</v>
      </c>
      <c r="N139" s="21">
        <f t="shared" si="73"/>
        <v>-3.4443168771526658E-3</v>
      </c>
      <c r="O139" s="22">
        <f>IF(ISNUMBER(M139), $B145 * N139, "")</f>
        <v>-344.43168771526661</v>
      </c>
      <c r="Q139" s="245"/>
      <c r="R139" s="245"/>
      <c r="S139" s="245"/>
    </row>
    <row r="140" spans="1:19" ht="17.25" thickBot="1">
      <c r="A140" s="162" t="s">
        <v>168</v>
      </c>
      <c r="B140" s="129">
        <v>95.8</v>
      </c>
      <c r="C140" s="80">
        <v>-1.7435897400000001E-2</v>
      </c>
      <c r="D140" s="106">
        <v>95.5</v>
      </c>
      <c r="E140" s="107">
        <f>IF(ISNUMBER(D140), (D140 - $B140) / $B140, "")</f>
        <v>-3.1315240083507013E-3</v>
      </c>
      <c r="F140" s="108">
        <f>IF(ISNUMBER(D140), $B145 * E140, "")</f>
        <v>-313.15240083507013</v>
      </c>
      <c r="G140" s="109">
        <v>90.9</v>
      </c>
      <c r="H140" s="107">
        <f>IF(ISNUMBER(G140), (G140 - $B140) / $B140, "")</f>
        <v>-5.1148225469728512E-2</v>
      </c>
      <c r="I140" s="110">
        <f>IF(ISNUMBER(G140), $B145 * H140, "")</f>
        <v>-5114.8225469728513</v>
      </c>
      <c r="J140" s="106">
        <v>90.5</v>
      </c>
      <c r="K140" s="107">
        <f>IF(ISNUMBER(J140), (J140 - $B140) / $B140, "")</f>
        <v>-5.5323590814196216E-2</v>
      </c>
      <c r="L140" s="108">
        <f>IF(ISNUMBER(J140), $B145 * K140, "")</f>
        <v>-5532.3590814196214</v>
      </c>
      <c r="M140" s="109">
        <v>90.5</v>
      </c>
      <c r="N140" s="107">
        <f>IF(ISNUMBER(M140), (M140 - $B140) / $B140, "")</f>
        <v>-5.5323590814196216E-2</v>
      </c>
      <c r="O140" s="108">
        <f>IF(ISNUMBER(M140), $B145 * N140, "")</f>
        <v>-5532.3590814196214</v>
      </c>
      <c r="Q140" s="235"/>
      <c r="R140" s="235"/>
      <c r="S140" s="235"/>
    </row>
    <row r="141" spans="1:19" ht="17.25" thickBot="1">
      <c r="A141" s="162" t="s">
        <v>156</v>
      </c>
      <c r="B141" s="126">
        <v>85.1</v>
      </c>
      <c r="C141" s="77">
        <v>-2.4082568799999999E-2</v>
      </c>
      <c r="D141" s="15">
        <v>84.6</v>
      </c>
      <c r="E141" s="32">
        <f t="shared" ref="E141:E144" si="74">IF(ISNUMBER(D141), (D141 - $B141) / $B141, "")</f>
        <v>-5.8754406580493537E-3</v>
      </c>
      <c r="F141" s="18">
        <f>IF(ISNUMBER(D141), $B145 * E141, "")</f>
        <v>-587.54406580493537</v>
      </c>
      <c r="G141" s="31">
        <v>83.6</v>
      </c>
      <c r="H141" s="32">
        <f t="shared" ref="H141:H144" si="75">IF(ISNUMBER(G141), (G141 - $B141) / $B141, "")</f>
        <v>-1.7626321974148061E-2</v>
      </c>
      <c r="I141" s="101">
        <f>IF(ISNUMBER(G141), $B145 * H141, "")</f>
        <v>-1762.6321974148061</v>
      </c>
      <c r="J141" s="15">
        <v>83.5</v>
      </c>
      <c r="K141" s="32">
        <f t="shared" ref="K141:K144" si="76">IF(ISNUMBER(J141), (J141 - $B141) / $B141, "")</f>
        <v>-1.8801410105757865E-2</v>
      </c>
      <c r="L141" s="18">
        <f>IF(ISNUMBER(J141), $B145 * K141, "")</f>
        <v>-1880.1410105757866</v>
      </c>
      <c r="M141" s="31">
        <v>83.1</v>
      </c>
      <c r="N141" s="32">
        <f t="shared" ref="N141:N144" si="77">IF(ISNUMBER(M141), (M141 - $B141) / $B141, "")</f>
        <v>-2.3501762632197415E-2</v>
      </c>
      <c r="O141" s="18">
        <f>IF(ISNUMBER(M141), $B145 * N141, "")</f>
        <v>-2350.1762632197415</v>
      </c>
      <c r="Q141" s="235"/>
      <c r="R141" s="235"/>
      <c r="S141" s="235"/>
    </row>
    <row r="142" spans="1:19" ht="17.25" thickBot="1">
      <c r="A142" s="162" t="s">
        <v>65</v>
      </c>
      <c r="B142" s="126">
        <v>33.5</v>
      </c>
      <c r="C142" s="77">
        <v>-2.6162790700000001E-2</v>
      </c>
      <c r="D142" s="15">
        <v>34.4</v>
      </c>
      <c r="E142" s="32">
        <f t="shared" si="74"/>
        <v>2.6865671641791003E-2</v>
      </c>
      <c r="F142" s="18">
        <f>IF(ISNUMBER(D142), $B145 * E142, "")</f>
        <v>2686.5671641791005</v>
      </c>
      <c r="G142" s="31">
        <v>33.9</v>
      </c>
      <c r="H142" s="32">
        <f t="shared" si="75"/>
        <v>1.1940298507462643E-2</v>
      </c>
      <c r="I142" s="101">
        <f>IF(ISNUMBER(G142), $B145 * H142, "")</f>
        <v>1194.0298507462644</v>
      </c>
      <c r="J142" s="15">
        <v>34</v>
      </c>
      <c r="K142" s="32">
        <f t="shared" si="76"/>
        <v>1.4925373134328358E-2</v>
      </c>
      <c r="L142" s="18">
        <f>IF(ISNUMBER(J142), $B145 * K142, "")</f>
        <v>1492.5373134328358</v>
      </c>
      <c r="M142" s="31">
        <v>33.5</v>
      </c>
      <c r="N142" s="32">
        <f t="shared" si="77"/>
        <v>0</v>
      </c>
      <c r="O142" s="18">
        <f>IF(ISNUMBER(M142), $B145 * N142, "")</f>
        <v>0</v>
      </c>
      <c r="Q142" s="235"/>
      <c r="R142" s="235"/>
      <c r="S142" s="235"/>
    </row>
    <row r="143" spans="1:19">
      <c r="A143" s="162" t="s">
        <v>100</v>
      </c>
      <c r="B143" s="126">
        <v>4.24</v>
      </c>
      <c r="C143" s="77">
        <v>-3.6363636400000003E-2</v>
      </c>
      <c r="D143" s="15">
        <v>4.22</v>
      </c>
      <c r="E143" s="32">
        <f t="shared" si="74"/>
        <v>-4.7169811320755808E-3</v>
      </c>
      <c r="F143" s="18">
        <f>IF(ISNUMBER(D143), $B145 * E143, "")</f>
        <v>-471.69811320755809</v>
      </c>
      <c r="G143" s="31">
        <v>4.1399999999999997</v>
      </c>
      <c r="H143" s="32">
        <f t="shared" si="75"/>
        <v>-2.3584905660377482E-2</v>
      </c>
      <c r="I143" s="101">
        <f>IF(ISNUMBER(G143), $B145 * H143, "")</f>
        <v>-2358.4905660377481</v>
      </c>
      <c r="J143" s="15">
        <v>4.12</v>
      </c>
      <c r="K143" s="32">
        <f t="shared" si="76"/>
        <v>-2.8301886792452855E-2</v>
      </c>
      <c r="L143" s="18">
        <f>IF(ISNUMBER(J143), $B145 * K143, "")</f>
        <v>-2830.1886792452856</v>
      </c>
      <c r="M143" s="31">
        <v>4.13</v>
      </c>
      <c r="N143" s="32">
        <f t="shared" si="77"/>
        <v>-2.5943396226415168E-2</v>
      </c>
      <c r="O143" s="18">
        <f>IF(ISNUMBER(M143), $B145 * N143, "")</f>
        <v>-2594.3396226415171</v>
      </c>
      <c r="Q143" s="224"/>
      <c r="R143" s="225"/>
      <c r="S143" s="226"/>
    </row>
    <row r="144" spans="1:19" ht="17.25" thickBot="1">
      <c r="A144" s="130" t="s">
        <v>278</v>
      </c>
      <c r="B144" s="131">
        <v>77.599999999999994</v>
      </c>
      <c r="C144" s="79">
        <v>-3.84138786E-2</v>
      </c>
      <c r="D144" s="24">
        <v>78.8</v>
      </c>
      <c r="E144" s="25">
        <f t="shared" si="74"/>
        <v>1.5463917525773233E-2</v>
      </c>
      <c r="F144" s="104">
        <f>IF(ISNUMBER(D144), $B145 * E144, "")</f>
        <v>1546.3917525773234</v>
      </c>
      <c r="G144" s="102">
        <v>76.8</v>
      </c>
      <c r="H144" s="25">
        <f t="shared" si="75"/>
        <v>-1.0309278350515427E-2</v>
      </c>
      <c r="I144" s="103">
        <f>IF(ISNUMBER(G144), $B145 * H144, "")</f>
        <v>-1030.9278350515428</v>
      </c>
      <c r="J144" s="24">
        <v>76.2</v>
      </c>
      <c r="K144" s="25">
        <f t="shared" si="76"/>
        <v>-1.8041237113401953E-2</v>
      </c>
      <c r="L144" s="104">
        <f>IF(ISNUMBER(J144), $B145 * K144, "")</f>
        <v>-1804.1237113401953</v>
      </c>
      <c r="M144" s="102">
        <v>76</v>
      </c>
      <c r="N144" s="25">
        <f t="shared" si="77"/>
        <v>-2.0618556701030855E-2</v>
      </c>
      <c r="O144" s="104">
        <f>IF(ISNUMBER(M144), $B145 * N144, "")</f>
        <v>-2061.8556701030857</v>
      </c>
      <c r="Q144" s="227"/>
      <c r="R144" s="228"/>
      <c r="S144" s="229"/>
    </row>
    <row r="145" spans="1:19" ht="17.25" thickBot="1">
      <c r="A145" s="132" t="s">
        <v>300</v>
      </c>
      <c r="B145" s="288">
        <f>$B$37</f>
        <v>100000</v>
      </c>
      <c r="C145" s="289"/>
      <c r="D145" s="26" t="s">
        <v>301</v>
      </c>
      <c r="E145" s="27">
        <f>IF(COUNT(E125:E144), SUM(E125:E144) / COUNT(E125:E144), 0)</f>
        <v>7.6120534095064876E-2</v>
      </c>
      <c r="F145" s="28">
        <f>SUM(F125:F144)</f>
        <v>152241.06819012979</v>
      </c>
      <c r="G145" s="26" t="s">
        <v>301</v>
      </c>
      <c r="H145" s="27">
        <f>IF(COUNT(H125:H144), SUM(H125:H144) / COUNT(H125:H144), 0)</f>
        <v>-8.3279543663485486E-2</v>
      </c>
      <c r="I145" s="28">
        <f>SUM(I125:I144)</f>
        <v>-166559.087326971</v>
      </c>
      <c r="J145" s="26" t="s">
        <v>301</v>
      </c>
      <c r="K145" s="27">
        <f>IF(COUNT(K125:K144), SUM(K125:K144) / COUNT(K125:K144), 0)</f>
        <v>-0.10404863130355875</v>
      </c>
      <c r="L145" s="28">
        <f>SUM(L125:L144)</f>
        <v>-208097.26260711742</v>
      </c>
      <c r="M145" s="26" t="s">
        <v>301</v>
      </c>
      <c r="N145" s="27">
        <f>IF(COUNT(N125:N144), SUM(N125:N144) / COUNT(N125:N144), 0)</f>
        <v>-0.10921091414586218</v>
      </c>
      <c r="O145" s="28">
        <f>SUM(O125:O144)</f>
        <v>-218421.82829172435</v>
      </c>
      <c r="Q145" s="230"/>
      <c r="R145" s="231"/>
      <c r="S145" s="232"/>
    </row>
    <row r="147" spans="1:19" ht="17.25" thickBot="1"/>
    <row r="148" spans="1:19" ht="17.25" thickBot="1">
      <c r="A148" s="246" t="s">
        <v>289</v>
      </c>
      <c r="B148" s="247"/>
      <c r="C148" s="247"/>
      <c r="D148" s="247"/>
      <c r="E148" s="247"/>
      <c r="F148" s="247"/>
      <c r="G148" s="247"/>
      <c r="H148" s="247"/>
      <c r="I148" s="247"/>
      <c r="J148" s="247"/>
      <c r="K148" s="247"/>
      <c r="L148" s="247"/>
      <c r="M148" s="247"/>
      <c r="N148" s="247"/>
      <c r="O148" s="248"/>
      <c r="Q148" s="245"/>
      <c r="R148" s="245"/>
      <c r="S148" s="245"/>
    </row>
    <row r="149" spans="1:19" ht="17.25" thickBot="1">
      <c r="A149" s="200" t="s">
        <v>297</v>
      </c>
      <c r="B149" s="246" t="s">
        <v>49</v>
      </c>
      <c r="C149" s="248"/>
      <c r="D149" s="246" t="s">
        <v>58</v>
      </c>
      <c r="E149" s="247"/>
      <c r="F149" s="248"/>
      <c r="G149" s="249">
        <f>_xlfn.IFNA(VLOOKUP(B149, 현재가테이블!$B$2:$D$200, 2, FALSE), "-")</f>
        <v>45335000</v>
      </c>
      <c r="H149" s="250"/>
      <c r="I149" s="251"/>
      <c r="J149" s="246" t="s">
        <v>59</v>
      </c>
      <c r="K149" s="247"/>
      <c r="L149" s="248"/>
      <c r="M149" s="252">
        <f>_xlfn.IFNA(VLOOKUP(B149, 현재가테이블!$B$2:$D$200, 3, FALSE), "-")</f>
        <v>-2.27209037E-2</v>
      </c>
      <c r="N149" s="253"/>
      <c r="O149" s="254"/>
      <c r="Q149" s="245"/>
      <c r="R149" s="245"/>
      <c r="S149" s="245"/>
    </row>
    <row r="150" spans="1:19" ht="17.25" thickBot="1">
      <c r="A150" s="290" t="s">
        <v>55</v>
      </c>
      <c r="B150" s="286" t="str">
        <f>TEXT($G$1, "[$-ko-KR]yyyy-mm-dd(ddd) ") &amp; "오전 00:00"</f>
        <v>2021-06-11(금) 오전 00:00</v>
      </c>
      <c r="C150" s="287"/>
      <c r="D150" s="259" t="str">
        <f>TEXT($G$1, "[$-ko-KR]yyyy-mm-dd(ddd) ") &amp; "오후 14:00"</f>
        <v>2021-06-11(금) 오후 14:00</v>
      </c>
      <c r="E150" s="260"/>
      <c r="F150" s="261"/>
      <c r="G150" s="259" t="str">
        <f>TEXT($G$1, "[$-ko-KR]yyyy-mm-dd(ddd) ") &amp; "오후 19:00"</f>
        <v>2021-06-11(금) 오후 19:00</v>
      </c>
      <c r="H150" s="260"/>
      <c r="I150" s="261"/>
      <c r="J150" s="259" t="str">
        <f>TEXT($G$1, "[$-ko-KR]yyyy-mm-dd(ddd) ") &amp; "오후 21:00"</f>
        <v>2021-06-11(금) 오후 21:00</v>
      </c>
      <c r="K150" s="260"/>
      <c r="L150" s="261"/>
      <c r="M150" s="259" t="str">
        <f>TEXT($G$1+1, "[$-ko-KR]yyyy-mm-dd(ddd) ") &amp; "오전 00:00"</f>
        <v>2021-06-12(토) 오전 00:00</v>
      </c>
      <c r="N150" s="260"/>
      <c r="O150" s="261"/>
      <c r="Q150" s="245"/>
      <c r="R150" s="245"/>
      <c r="S150" s="245"/>
    </row>
    <row r="151" spans="1:19" ht="17.25" thickBot="1">
      <c r="A151" s="291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201" t="s">
        <v>58</v>
      </c>
      <c r="H151" s="202" t="s">
        <v>298</v>
      </c>
      <c r="I151" s="203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5"/>
      <c r="R151" s="235"/>
      <c r="S151" s="235"/>
    </row>
    <row r="152" spans="1:19" ht="17.25" thickBot="1">
      <c r="A152" s="161" t="s">
        <v>112</v>
      </c>
      <c r="B152" s="124">
        <v>175</v>
      </c>
      <c r="C152" s="76">
        <v>-1.68539326E-2</v>
      </c>
      <c r="D152" s="13">
        <v>177</v>
      </c>
      <c r="E152" s="14">
        <f>IF(ISNUMBER(D152), (D152 - $B152) / $B152, "")</f>
        <v>1.1428571428571429E-2</v>
      </c>
      <c r="F152" s="16">
        <f>IF(ISNUMBER(D152), $B172 * E152, "")</f>
        <v>1142.8571428571429</v>
      </c>
      <c r="G152" s="29">
        <v>159</v>
      </c>
      <c r="H152" s="14">
        <f>IF(ISNUMBER(G152), (G152 - $B152) / $B152, "")</f>
        <v>-9.1428571428571428E-2</v>
      </c>
      <c r="I152" s="100">
        <f>IF(ISNUMBER(G152), $B172 * H152, "")</f>
        <v>-9142.8571428571431</v>
      </c>
      <c r="J152" s="13">
        <v>154</v>
      </c>
      <c r="K152" s="14">
        <f>IF(ISNUMBER(J152), (J152 - $B152) / $B152, "")</f>
        <v>-0.12</v>
      </c>
      <c r="L152" s="16">
        <f>IF(ISNUMBER(J152), $B172 * K152, "")</f>
        <v>-12000</v>
      </c>
      <c r="M152" s="29">
        <v>152</v>
      </c>
      <c r="N152" s="14">
        <f>IF(ISNUMBER(M152), (M152 - $B152) / $B152, "")</f>
        <v>-0.13142857142857142</v>
      </c>
      <c r="O152" s="16">
        <f>IF(ISNUMBER(M152), $B172 * N152, "")</f>
        <v>-13142.857142857143</v>
      </c>
      <c r="Q152" s="245"/>
      <c r="R152" s="245"/>
      <c r="S152" s="245"/>
    </row>
    <row r="153" spans="1:19" ht="17.25" thickBot="1">
      <c r="A153" s="162" t="s">
        <v>234</v>
      </c>
      <c r="B153" s="126">
        <v>737</v>
      </c>
      <c r="C153" s="77">
        <v>-1.73333333E-2</v>
      </c>
      <c r="D153" s="15">
        <v>780</v>
      </c>
      <c r="E153" s="32">
        <f t="shared" ref="E153:E156" si="78">IF(ISNUMBER(D153), (D153 - $B153) / $B153, "")</f>
        <v>5.8344640434192671E-2</v>
      </c>
      <c r="F153" s="18">
        <f>IF(ISNUMBER(D153), $B172 * E153, "")</f>
        <v>5834.464043419267</v>
      </c>
      <c r="G153" s="31">
        <v>434</v>
      </c>
      <c r="H153" s="32">
        <f t="shared" ref="H153:H156" si="79">IF(ISNUMBER(G153), (G153 - $B153) / $B153, "")</f>
        <v>-0.41112618724559025</v>
      </c>
      <c r="I153" s="101">
        <f>IF(ISNUMBER(G153), $B172 * H153, "")</f>
        <v>-41112.618724559026</v>
      </c>
      <c r="J153" s="15">
        <v>427</v>
      </c>
      <c r="K153" s="32">
        <f t="shared" ref="K153:K156" si="80">IF(ISNUMBER(J153), (J153 - $B153) / $B153, "")</f>
        <v>-0.42062415196743552</v>
      </c>
      <c r="L153" s="18">
        <f>IF(ISNUMBER(J153), $B172 * K153, "")</f>
        <v>-42062.415196743554</v>
      </c>
      <c r="M153" s="31">
        <v>450</v>
      </c>
      <c r="N153" s="32">
        <f t="shared" ref="N153:N156" si="81">IF(ISNUMBER(M153), (M153 - $B153) / $B153, "")</f>
        <v>-0.38941655359565808</v>
      </c>
      <c r="O153" s="18">
        <f>IF(ISNUMBER(M153), $B172 * N153, "")</f>
        <v>-38941.655359565804</v>
      </c>
      <c r="Q153" s="245"/>
      <c r="R153" s="245"/>
      <c r="S153" s="245"/>
    </row>
    <row r="154" spans="1:19" ht="17.25" thickBot="1">
      <c r="A154" s="162" t="s">
        <v>226</v>
      </c>
      <c r="B154" s="126">
        <v>277</v>
      </c>
      <c r="C154" s="77">
        <v>-1.7730496500000002E-2</v>
      </c>
      <c r="D154" s="15">
        <v>286</v>
      </c>
      <c r="E154" s="32">
        <f t="shared" si="78"/>
        <v>3.2490974729241874E-2</v>
      </c>
      <c r="F154" s="18">
        <f>IF(ISNUMBER(D154), $B172 * E154, "")</f>
        <v>3249.0974729241875</v>
      </c>
      <c r="G154" s="31">
        <v>258</v>
      </c>
      <c r="H154" s="32">
        <f t="shared" si="79"/>
        <v>-6.8592057761732855E-2</v>
      </c>
      <c r="I154" s="101">
        <f>IF(ISNUMBER(G154), $B172 * H154, "")</f>
        <v>-6859.2057761732858</v>
      </c>
      <c r="J154" s="15">
        <v>253</v>
      </c>
      <c r="K154" s="32">
        <f t="shared" si="80"/>
        <v>-8.6642599277978335E-2</v>
      </c>
      <c r="L154" s="18">
        <f>IF(ISNUMBER(J154), $B172 * K154, "")</f>
        <v>-8664.2599277978334</v>
      </c>
      <c r="M154" s="31">
        <v>250</v>
      </c>
      <c r="N154" s="32">
        <f t="shared" si="81"/>
        <v>-9.7472924187725629E-2</v>
      </c>
      <c r="O154" s="18">
        <f>IF(ISNUMBER(M154), $B172 * N154, "")</f>
        <v>-9747.2924187725621</v>
      </c>
      <c r="Q154" s="235"/>
      <c r="R154" s="235"/>
      <c r="S154" s="235"/>
    </row>
    <row r="155" spans="1:19" ht="17.25" thickBot="1">
      <c r="A155" s="162" t="s">
        <v>256</v>
      </c>
      <c r="B155" s="126">
        <v>160</v>
      </c>
      <c r="C155" s="77">
        <v>-1.8404908000000001E-2</v>
      </c>
      <c r="D155" s="15">
        <v>165</v>
      </c>
      <c r="E155" s="32">
        <f t="shared" si="78"/>
        <v>3.125E-2</v>
      </c>
      <c r="F155" s="18">
        <f>IF(ISNUMBER(D155), $B172 * E155, "")</f>
        <v>3125</v>
      </c>
      <c r="G155" s="31">
        <v>171</v>
      </c>
      <c r="H155" s="32">
        <f t="shared" si="79"/>
        <v>6.8750000000000006E-2</v>
      </c>
      <c r="I155" s="101">
        <f>IF(ISNUMBER(G155), $B172 * H155, "")</f>
        <v>6875.0000000000009</v>
      </c>
      <c r="J155" s="15">
        <v>171</v>
      </c>
      <c r="K155" s="32">
        <f t="shared" si="80"/>
        <v>6.8750000000000006E-2</v>
      </c>
      <c r="L155" s="18">
        <f>IF(ISNUMBER(J155), $B172 * K155, "")</f>
        <v>6875.0000000000009</v>
      </c>
      <c r="M155" s="31">
        <v>163</v>
      </c>
      <c r="N155" s="32">
        <f t="shared" si="81"/>
        <v>1.8749999999999999E-2</v>
      </c>
      <c r="O155" s="18">
        <f>IF(ISNUMBER(M155), $B172 * N155, "")</f>
        <v>1875</v>
      </c>
      <c r="Q155" s="235"/>
      <c r="R155" s="235"/>
      <c r="S155" s="235"/>
    </row>
    <row r="156" spans="1:19" ht="17.25" thickBot="1">
      <c r="A156" s="163" t="s">
        <v>270</v>
      </c>
      <c r="B156" s="128">
        <v>339</v>
      </c>
      <c r="C156" s="78">
        <v>-2.02312139E-2</v>
      </c>
      <c r="D156" s="20">
        <v>343</v>
      </c>
      <c r="E156" s="21">
        <f t="shared" si="78"/>
        <v>1.1799410029498525E-2</v>
      </c>
      <c r="F156" s="22">
        <f>IF(ISNUMBER(D156), $B172 * E156, "")</f>
        <v>1179.9410029498524</v>
      </c>
      <c r="G156" s="30">
        <v>331</v>
      </c>
      <c r="H156" s="21">
        <f t="shared" si="79"/>
        <v>-2.359882005899705E-2</v>
      </c>
      <c r="I156" s="105">
        <f>IF(ISNUMBER(G156), $B172 * H156, "")</f>
        <v>-2359.8820058997048</v>
      </c>
      <c r="J156" s="20">
        <v>332</v>
      </c>
      <c r="K156" s="21">
        <f t="shared" si="80"/>
        <v>-2.0648967551622419E-2</v>
      </c>
      <c r="L156" s="22">
        <f>IF(ISNUMBER(J156), $B172 * K156, "")</f>
        <v>-2064.8967551622418</v>
      </c>
      <c r="M156" s="30">
        <v>328</v>
      </c>
      <c r="N156" s="21">
        <f t="shared" si="81"/>
        <v>-3.2448377581120944E-2</v>
      </c>
      <c r="O156" s="22">
        <f>IF(ISNUMBER(M156), $B172 * N156, "")</f>
        <v>-3244.8377581120944</v>
      </c>
      <c r="Q156" s="235"/>
      <c r="R156" s="235"/>
      <c r="S156" s="235"/>
    </row>
    <row r="157" spans="1:19" ht="17.25" thickBot="1">
      <c r="A157" s="162" t="s">
        <v>258</v>
      </c>
      <c r="B157" s="129">
        <v>446</v>
      </c>
      <c r="C157" s="80">
        <v>-2.1929824600000002E-2</v>
      </c>
      <c r="D157" s="106">
        <v>452</v>
      </c>
      <c r="E157" s="107">
        <f>IF(ISNUMBER(D157), (D157 - $B157) / $B157, "")</f>
        <v>1.3452914798206279E-2</v>
      </c>
      <c r="F157" s="108">
        <f>IF(ISNUMBER(D157), $B172 * E157, "")</f>
        <v>1345.291479820628</v>
      </c>
      <c r="G157" s="109">
        <v>429</v>
      </c>
      <c r="H157" s="107">
        <f>IF(ISNUMBER(G157), (G157 - $B157) / $B157, "")</f>
        <v>-3.811659192825112E-2</v>
      </c>
      <c r="I157" s="110">
        <f>IF(ISNUMBER(G157), $B172 * H157, "")</f>
        <v>-3811.6591928251119</v>
      </c>
      <c r="J157" s="106">
        <v>418</v>
      </c>
      <c r="K157" s="107">
        <f>IF(ISNUMBER(J157), (J157 - $B157) / $B157, "")</f>
        <v>-6.2780269058295965E-2</v>
      </c>
      <c r="L157" s="108">
        <f>IF(ISNUMBER(J157), $B172 * K157, "")</f>
        <v>-6278.0269058295962</v>
      </c>
      <c r="M157" s="109">
        <v>418</v>
      </c>
      <c r="N157" s="107">
        <f>IF(ISNUMBER(M157), (M157 - $B157) / $B157, "")</f>
        <v>-6.2780269058295965E-2</v>
      </c>
      <c r="O157" s="108">
        <f>IF(ISNUMBER(M157), $B172 * N157, "")</f>
        <v>-6278.0269058295962</v>
      </c>
      <c r="Q157" s="235"/>
      <c r="R157" s="235"/>
      <c r="S157" s="235"/>
    </row>
    <row r="158" spans="1:19" ht="17.25" thickBot="1">
      <c r="A158" s="162" t="s">
        <v>262</v>
      </c>
      <c r="B158" s="126">
        <v>568</v>
      </c>
      <c r="C158" s="77">
        <v>-2.4054982799999999E-2</v>
      </c>
      <c r="D158" s="15">
        <v>591</v>
      </c>
      <c r="E158" s="32">
        <f t="shared" ref="E158:E161" si="82">IF(ISNUMBER(D158), (D158 - $B158) / $B158, "")</f>
        <v>4.0492957746478875E-2</v>
      </c>
      <c r="F158" s="18">
        <f>IF(ISNUMBER(D158), $B172 * E158, "")</f>
        <v>4049.2957746478874</v>
      </c>
      <c r="G158" s="31">
        <v>558</v>
      </c>
      <c r="H158" s="32">
        <f t="shared" ref="H158:H161" si="83">IF(ISNUMBER(G158), (G158 - $B158) / $B158, "")</f>
        <v>-1.7605633802816902E-2</v>
      </c>
      <c r="I158" s="101">
        <f>IF(ISNUMBER(G158), $B172 * H158, "")</f>
        <v>-1760.5633802816901</v>
      </c>
      <c r="J158" s="15">
        <v>544</v>
      </c>
      <c r="K158" s="32">
        <f t="shared" ref="K158:K161" si="84">IF(ISNUMBER(J158), (J158 - $B158) / $B158, "")</f>
        <v>-4.2253521126760563E-2</v>
      </c>
      <c r="L158" s="18">
        <f>IF(ISNUMBER(J158), $B172 * K158, "")</f>
        <v>-4225.3521126760561</v>
      </c>
      <c r="M158" s="31">
        <v>536</v>
      </c>
      <c r="N158" s="32">
        <f t="shared" ref="N158:N161" si="85">IF(ISNUMBER(M158), (M158 - $B158) / $B158, "")</f>
        <v>-5.6338028169014086E-2</v>
      </c>
      <c r="O158" s="18">
        <f>IF(ISNUMBER(M158), $B172 * N158, "")</f>
        <v>-5633.8028169014087</v>
      </c>
      <c r="Q158" s="235"/>
      <c r="R158" s="235"/>
      <c r="S158" s="235"/>
    </row>
    <row r="159" spans="1:19" ht="17.25" thickBot="1">
      <c r="A159" s="162" t="s">
        <v>57</v>
      </c>
      <c r="B159" s="126">
        <v>198</v>
      </c>
      <c r="C159" s="77">
        <v>-2.46305419E-2</v>
      </c>
      <c r="D159" s="15">
        <v>197</v>
      </c>
      <c r="E159" s="32">
        <f t="shared" si="82"/>
        <v>-5.0505050505050509E-3</v>
      </c>
      <c r="F159" s="18">
        <f>IF(ISNUMBER(D159), $B172 * E159, "")</f>
        <v>-505.05050505050508</v>
      </c>
      <c r="G159" s="31">
        <v>198</v>
      </c>
      <c r="H159" s="32">
        <f t="shared" si="83"/>
        <v>0</v>
      </c>
      <c r="I159" s="101">
        <f>IF(ISNUMBER(G159), $B172 * H159, "")</f>
        <v>0</v>
      </c>
      <c r="J159" s="15">
        <v>196</v>
      </c>
      <c r="K159" s="32">
        <f t="shared" si="84"/>
        <v>-1.0101010101010102E-2</v>
      </c>
      <c r="L159" s="18">
        <f>IF(ISNUMBER(J159), $B172 * K159, "")</f>
        <v>-1010.1010101010102</v>
      </c>
      <c r="M159" s="31">
        <v>194</v>
      </c>
      <c r="N159" s="32">
        <f t="shared" si="85"/>
        <v>-2.0202020202020204E-2</v>
      </c>
      <c r="O159" s="18">
        <f>IF(ISNUMBER(M159), $B172 * N159, "")</f>
        <v>-2020.2020202020203</v>
      </c>
      <c r="Q159" s="235"/>
      <c r="R159" s="235"/>
      <c r="S159" s="235"/>
    </row>
    <row r="160" spans="1:19" ht="17.25" thickBot="1">
      <c r="A160" s="162" t="s">
        <v>128</v>
      </c>
      <c r="B160" s="126">
        <v>334</v>
      </c>
      <c r="C160" s="77">
        <v>-2.6239067099999999E-2</v>
      </c>
      <c r="D160" s="15">
        <v>334</v>
      </c>
      <c r="E160" s="32">
        <f t="shared" si="82"/>
        <v>0</v>
      </c>
      <c r="F160" s="18">
        <f>IF(ISNUMBER(D160), $B172 * E160, "")</f>
        <v>0</v>
      </c>
      <c r="G160" s="31">
        <v>332</v>
      </c>
      <c r="H160" s="32">
        <f t="shared" si="83"/>
        <v>-5.9880239520958087E-3</v>
      </c>
      <c r="I160" s="101">
        <f>IF(ISNUMBER(G160), $B172 * H160, "")</f>
        <v>-598.80239520958082</v>
      </c>
      <c r="J160" s="15">
        <v>325</v>
      </c>
      <c r="K160" s="32">
        <f t="shared" si="84"/>
        <v>-2.6946107784431138E-2</v>
      </c>
      <c r="L160" s="18">
        <f>IF(ISNUMBER(J160), $B172 * K160, "")</f>
        <v>-2694.6107784431138</v>
      </c>
      <c r="M160" s="31">
        <v>324</v>
      </c>
      <c r="N160" s="32">
        <f t="shared" si="85"/>
        <v>-2.9940119760479042E-2</v>
      </c>
      <c r="O160" s="18">
        <f>IF(ISNUMBER(M160), $B172 * N160, "")</f>
        <v>-2994.0119760479042</v>
      </c>
      <c r="Q160" s="33"/>
      <c r="R160" s="33"/>
    </row>
    <row r="161" spans="1:19" ht="17.25" thickBot="1">
      <c r="A161" s="130" t="s">
        <v>120</v>
      </c>
      <c r="B161" s="131">
        <v>139</v>
      </c>
      <c r="C161" s="79">
        <v>-2.7972027999999999E-2</v>
      </c>
      <c r="D161" s="24">
        <v>139</v>
      </c>
      <c r="E161" s="25">
        <f t="shared" si="82"/>
        <v>0</v>
      </c>
      <c r="F161" s="104">
        <f>IF(ISNUMBER(D161), $B172 * E161, "")</f>
        <v>0</v>
      </c>
      <c r="G161" s="102">
        <v>138</v>
      </c>
      <c r="H161" s="25">
        <f t="shared" si="83"/>
        <v>-7.1942446043165471E-3</v>
      </c>
      <c r="I161" s="103">
        <f>IF(ISNUMBER(G161), $B172 * H161, "")</f>
        <v>-719.42446043165467</v>
      </c>
      <c r="J161" s="24">
        <v>137</v>
      </c>
      <c r="K161" s="25">
        <f t="shared" si="84"/>
        <v>-1.4388489208633094E-2</v>
      </c>
      <c r="L161" s="104">
        <f>IF(ISNUMBER(J161), $B172 * K161, "")</f>
        <v>-1438.8489208633093</v>
      </c>
      <c r="M161" s="102">
        <v>139</v>
      </c>
      <c r="N161" s="25">
        <f t="shared" si="85"/>
        <v>0</v>
      </c>
      <c r="O161" s="104">
        <f>IF(ISNUMBER(M161), $B172 * N161, "")</f>
        <v>0</v>
      </c>
      <c r="Q161" s="236"/>
      <c r="R161" s="237"/>
      <c r="S161" s="238"/>
    </row>
    <row r="162" spans="1:19">
      <c r="A162" s="161" t="s">
        <v>88</v>
      </c>
      <c r="B162" s="124">
        <v>270</v>
      </c>
      <c r="C162" s="76">
        <v>-3.2258064500000003E-2</v>
      </c>
      <c r="D162" s="13">
        <v>313</v>
      </c>
      <c r="E162" s="14">
        <f>IF(ISNUMBER(D162), (D162 - $B162) / $B162, "")</f>
        <v>0.15925925925925927</v>
      </c>
      <c r="F162" s="16">
        <f>IF(ISNUMBER(D162), $B172 * E162, "")</f>
        <v>15925.925925925927</v>
      </c>
      <c r="G162" s="29">
        <v>381</v>
      </c>
      <c r="H162" s="14">
        <f>IF(ISNUMBER(G162), (G162 - $B162) / $B162, "")</f>
        <v>0.41111111111111109</v>
      </c>
      <c r="I162" s="100">
        <f>IF(ISNUMBER(G162), $B172 * H162, "")</f>
        <v>41111.111111111109</v>
      </c>
      <c r="J162" s="13">
        <v>398</v>
      </c>
      <c r="K162" s="14">
        <f>IF(ISNUMBER(J162), (J162 - $B162) / $B162, "")</f>
        <v>0.47407407407407409</v>
      </c>
      <c r="L162" s="16">
        <f>IF(ISNUMBER(J162), $B172 * K162, "")</f>
        <v>47407.407407407409</v>
      </c>
      <c r="M162" s="29">
        <v>372</v>
      </c>
      <c r="N162" s="14">
        <f>IF(ISNUMBER(M162), (M162 - $B162) / $B162, "")</f>
        <v>0.37777777777777777</v>
      </c>
      <c r="O162" s="16">
        <f>IF(ISNUMBER(M162), $B172 * N162, "")</f>
        <v>37777.777777777774</v>
      </c>
      <c r="Q162" s="239"/>
      <c r="R162" s="240"/>
      <c r="S162" s="241"/>
    </row>
    <row r="163" spans="1:19" ht="17.25" thickBot="1">
      <c r="A163" s="162" t="s">
        <v>296</v>
      </c>
      <c r="B163" s="126">
        <v>383</v>
      </c>
      <c r="C163" s="77">
        <v>-3.52644836E-2</v>
      </c>
      <c r="D163" s="15">
        <v>377</v>
      </c>
      <c r="E163" s="32">
        <f t="shared" ref="E163:E166" si="86">IF(ISNUMBER(D163), (D163 - $B163) / $B163, "")</f>
        <v>-1.5665796344647518E-2</v>
      </c>
      <c r="F163" s="18">
        <f>IF(ISNUMBER(D163), $B172 * E163, "")</f>
        <v>-1566.5796344647517</v>
      </c>
      <c r="G163" s="31">
        <v>374</v>
      </c>
      <c r="H163" s="32">
        <f t="shared" ref="H163:H166" si="87">IF(ISNUMBER(G163), (G163 - $B163) / $B163, "")</f>
        <v>-2.3498694516971279E-2</v>
      </c>
      <c r="I163" s="101">
        <f>IF(ISNUMBER(G163), $B172 * H163, "")</f>
        <v>-2349.8694516971277</v>
      </c>
      <c r="J163" s="15">
        <v>374</v>
      </c>
      <c r="K163" s="32">
        <f t="shared" ref="K163:K166" si="88">IF(ISNUMBER(J163), (J163 - $B163) / $B163, "")</f>
        <v>-2.3498694516971279E-2</v>
      </c>
      <c r="L163" s="18">
        <f>IF(ISNUMBER(J163), $B172 * K163, "")</f>
        <v>-2349.8694516971277</v>
      </c>
      <c r="M163" s="31">
        <v>370</v>
      </c>
      <c r="N163" s="32">
        <f t="shared" ref="N163:N166" si="89">IF(ISNUMBER(M163), (M163 - $B163) / $B163, "")</f>
        <v>-3.3942558746736295E-2</v>
      </c>
      <c r="O163" s="18">
        <f>IF(ISNUMBER(M163), $B172 * N163, "")</f>
        <v>-3394.2558746736295</v>
      </c>
      <c r="Q163" s="242"/>
      <c r="R163" s="243"/>
      <c r="S163" s="244"/>
    </row>
    <row r="164" spans="1:19" ht="17.25" thickBot="1">
      <c r="A164" s="162" t="s">
        <v>170</v>
      </c>
      <c r="B164" s="126">
        <v>270</v>
      </c>
      <c r="C164" s="77">
        <v>-3.5714285700000001E-2</v>
      </c>
      <c r="D164" s="15">
        <v>281</v>
      </c>
      <c r="E164" s="32">
        <f t="shared" si="86"/>
        <v>4.0740740740740744E-2</v>
      </c>
      <c r="F164" s="18">
        <f>IF(ISNUMBER(D164), $B172 * E164, "")</f>
        <v>4074.0740740740744</v>
      </c>
      <c r="G164" s="31">
        <v>267</v>
      </c>
      <c r="H164" s="32">
        <f t="shared" si="87"/>
        <v>-1.1111111111111112E-2</v>
      </c>
      <c r="I164" s="101">
        <f>IF(ISNUMBER(G164), $B172 * H164, "")</f>
        <v>-1111.1111111111111</v>
      </c>
      <c r="J164" s="15">
        <v>264</v>
      </c>
      <c r="K164" s="32">
        <f t="shared" si="88"/>
        <v>-2.2222222222222223E-2</v>
      </c>
      <c r="L164" s="18">
        <f>IF(ISNUMBER(J164), $B172 * K164, "")</f>
        <v>-2222.2222222222222</v>
      </c>
      <c r="M164" s="31">
        <v>265</v>
      </c>
      <c r="N164" s="32">
        <f t="shared" si="89"/>
        <v>-1.8518518518518517E-2</v>
      </c>
      <c r="O164" s="18">
        <f>IF(ISNUMBER(M164), $B172 * N164, "")</f>
        <v>-1851.8518518518517</v>
      </c>
      <c r="Q164" s="235"/>
      <c r="R164" s="235"/>
      <c r="S164" s="235"/>
    </row>
    <row r="165" spans="1:19" ht="17.25" thickBot="1">
      <c r="A165" s="162" t="s">
        <v>136</v>
      </c>
      <c r="B165" s="126">
        <v>127</v>
      </c>
      <c r="C165" s="77">
        <v>-3.7878787900000002E-2</v>
      </c>
      <c r="D165" s="15">
        <v>127</v>
      </c>
      <c r="E165" s="32">
        <f t="shared" si="86"/>
        <v>0</v>
      </c>
      <c r="F165" s="18">
        <f>IF(ISNUMBER(D165), $B172 * E165, "")</f>
        <v>0</v>
      </c>
      <c r="G165" s="31">
        <v>129</v>
      </c>
      <c r="H165" s="32">
        <f t="shared" si="87"/>
        <v>1.5748031496062992E-2</v>
      </c>
      <c r="I165" s="101">
        <f>IF(ISNUMBER(G165), $B172 * H165, "")</f>
        <v>1574.8031496062993</v>
      </c>
      <c r="J165" s="15">
        <v>126</v>
      </c>
      <c r="K165" s="32">
        <f t="shared" si="88"/>
        <v>-7.874015748031496E-3</v>
      </c>
      <c r="L165" s="18">
        <f>IF(ISNUMBER(J165), $B172 * K165, "")</f>
        <v>-787.40157480314963</v>
      </c>
      <c r="M165" s="31">
        <v>129</v>
      </c>
      <c r="N165" s="32">
        <f t="shared" si="89"/>
        <v>1.5748031496062992E-2</v>
      </c>
      <c r="O165" s="18">
        <f>IF(ISNUMBER(M165), $B172 * N165, "")</f>
        <v>1574.8031496062993</v>
      </c>
      <c r="Q165" s="245"/>
      <c r="R165" s="245"/>
      <c r="S165" s="245"/>
    </row>
    <row r="166" spans="1:19" ht="17.25" thickBot="1">
      <c r="A166" s="163" t="s">
        <v>61</v>
      </c>
      <c r="B166" s="128">
        <v>817</v>
      </c>
      <c r="C166" s="78">
        <v>-4.1079812200000003E-2</v>
      </c>
      <c r="D166" s="20">
        <v>803</v>
      </c>
      <c r="E166" s="21">
        <f t="shared" si="86"/>
        <v>-1.7135862913096694E-2</v>
      </c>
      <c r="F166" s="22">
        <f>IF(ISNUMBER(D166), $B172 * E166, "")</f>
        <v>-1713.5862913096694</v>
      </c>
      <c r="G166" s="30">
        <v>885</v>
      </c>
      <c r="H166" s="21">
        <f t="shared" si="87"/>
        <v>8.3231334149326805E-2</v>
      </c>
      <c r="I166" s="105">
        <f>IF(ISNUMBER(G166), $B172 * H166, "")</f>
        <v>8323.1334149326813</v>
      </c>
      <c r="J166" s="20">
        <v>885</v>
      </c>
      <c r="K166" s="21">
        <f t="shared" si="88"/>
        <v>8.3231334149326805E-2</v>
      </c>
      <c r="L166" s="22">
        <f>IF(ISNUMBER(J166), $B172 * K166, "")</f>
        <v>8323.1334149326813</v>
      </c>
      <c r="M166" s="30">
        <v>850</v>
      </c>
      <c r="N166" s="21">
        <f t="shared" si="89"/>
        <v>4.0391676866585069E-2</v>
      </c>
      <c r="O166" s="22">
        <f>IF(ISNUMBER(M166), $B172 * N166, "")</f>
        <v>4039.1676866585067</v>
      </c>
      <c r="Q166" s="245"/>
      <c r="R166" s="245"/>
      <c r="S166" s="245"/>
    </row>
    <row r="167" spans="1:19" ht="17.25" thickBot="1">
      <c r="A167" s="162" t="s">
        <v>132</v>
      </c>
      <c r="B167" s="129">
        <v>132</v>
      </c>
      <c r="C167" s="80">
        <v>-4.3478260900000003E-2</v>
      </c>
      <c r="D167" s="106">
        <v>131</v>
      </c>
      <c r="E167" s="107">
        <f>IF(ISNUMBER(D167), (D167 - $B167) / $B167, "")</f>
        <v>-7.575757575757576E-3</v>
      </c>
      <c r="F167" s="108">
        <f>IF(ISNUMBER(D167), $B172 * E167, "")</f>
        <v>-757.57575757575762</v>
      </c>
      <c r="G167" s="109">
        <v>132</v>
      </c>
      <c r="H167" s="107">
        <f>IF(ISNUMBER(G167), (G167 - $B167) / $B167, "")</f>
        <v>0</v>
      </c>
      <c r="I167" s="110">
        <f>IF(ISNUMBER(G167), $B172 * H167, "")</f>
        <v>0</v>
      </c>
      <c r="J167" s="106">
        <v>130</v>
      </c>
      <c r="K167" s="107">
        <f>IF(ISNUMBER(J167), (J167 - $B167) / $B167, "")</f>
        <v>-1.5151515151515152E-2</v>
      </c>
      <c r="L167" s="108">
        <f>IF(ISNUMBER(J167), $B172 * K167, "")</f>
        <v>-1515.1515151515152</v>
      </c>
      <c r="M167" s="109">
        <v>129</v>
      </c>
      <c r="N167" s="107">
        <f>IF(ISNUMBER(M167), (M167 - $B167) / $B167, "")</f>
        <v>-2.2727272727272728E-2</v>
      </c>
      <c r="O167" s="108">
        <f>IF(ISNUMBER(M167), $B172 * N167, "")</f>
        <v>-2272.727272727273</v>
      </c>
      <c r="Q167" s="235"/>
      <c r="R167" s="235"/>
      <c r="S167" s="235"/>
    </row>
    <row r="168" spans="1:19" ht="17.25" thickBot="1">
      <c r="A168" s="162" t="s">
        <v>80</v>
      </c>
      <c r="B168" s="126">
        <v>767</v>
      </c>
      <c r="C168" s="77">
        <v>-5.4254007399999998E-2</v>
      </c>
      <c r="D168" s="15">
        <v>764</v>
      </c>
      <c r="E168" s="32">
        <f t="shared" ref="E168:E171" si="90">IF(ISNUMBER(D168), (D168 - $B168) / $B168, "")</f>
        <v>-3.9113428943937422E-3</v>
      </c>
      <c r="F168" s="18">
        <f>IF(ISNUMBER(D168), $B172 * E168, "")</f>
        <v>-391.13428943937424</v>
      </c>
      <c r="G168" s="31">
        <v>784</v>
      </c>
      <c r="H168" s="32">
        <f t="shared" ref="H168:H171" si="91">IF(ISNUMBER(G168), (G168 - $B168) / $B168, "")</f>
        <v>2.2164276401564539E-2</v>
      </c>
      <c r="I168" s="101">
        <f>IF(ISNUMBER(G168), $B172 * H168, "")</f>
        <v>2216.4276401564539</v>
      </c>
      <c r="J168" s="15">
        <v>807</v>
      </c>
      <c r="K168" s="32">
        <f t="shared" ref="K168:K171" si="92">IF(ISNUMBER(J168), (J168 - $B168) / $B168, "")</f>
        <v>5.215123859191656E-2</v>
      </c>
      <c r="L168" s="18">
        <f>IF(ISNUMBER(J168), $B172 * K168, "")</f>
        <v>5215.1238591916563</v>
      </c>
      <c r="M168" s="31">
        <v>805</v>
      </c>
      <c r="N168" s="32">
        <f t="shared" ref="N168:N171" si="93">IF(ISNUMBER(M168), (M168 - $B168) / $B168, "")</f>
        <v>4.9543676662320728E-2</v>
      </c>
      <c r="O168" s="18">
        <f>IF(ISNUMBER(M168), $B172 * N168, "")</f>
        <v>4954.3676662320731</v>
      </c>
      <c r="Q168" s="235"/>
      <c r="R168" s="235"/>
      <c r="S168" s="235"/>
    </row>
    <row r="169" spans="1:19" ht="17.25" thickBot="1">
      <c r="A169" s="162" t="s">
        <v>142</v>
      </c>
      <c r="B169" s="126">
        <v>630</v>
      </c>
      <c r="C169" s="77">
        <v>-5.82959641E-2</v>
      </c>
      <c r="D169" s="15">
        <v>563</v>
      </c>
      <c r="E169" s="32">
        <f t="shared" si="90"/>
        <v>-0.10634920634920635</v>
      </c>
      <c r="F169" s="18">
        <f>IF(ISNUMBER(D169), $B172 * E169, "")</f>
        <v>-10634.920634920634</v>
      </c>
      <c r="G169" s="31">
        <v>566</v>
      </c>
      <c r="H169" s="32">
        <f t="shared" si="91"/>
        <v>-0.10158730158730159</v>
      </c>
      <c r="I169" s="101">
        <f>IF(ISNUMBER(G169), $B172 * H169, "")</f>
        <v>-10158.730158730159</v>
      </c>
      <c r="J169" s="15">
        <v>559</v>
      </c>
      <c r="K169" s="32">
        <f t="shared" si="92"/>
        <v>-0.1126984126984127</v>
      </c>
      <c r="L169" s="18">
        <f>IF(ISNUMBER(J169), $B172 * K169, "")</f>
        <v>-11269.84126984127</v>
      </c>
      <c r="M169" s="31">
        <v>553</v>
      </c>
      <c r="N169" s="32">
        <f t="shared" si="93"/>
        <v>-0.12222222222222222</v>
      </c>
      <c r="O169" s="18">
        <f>IF(ISNUMBER(M169), $B172 * N169, "")</f>
        <v>-12222.222222222223</v>
      </c>
      <c r="Q169" s="235"/>
      <c r="R169" s="235"/>
      <c r="S169" s="235"/>
    </row>
    <row r="170" spans="1:19">
      <c r="A170" s="162" t="s">
        <v>54</v>
      </c>
      <c r="B170" s="126">
        <v>237</v>
      </c>
      <c r="C170" s="77">
        <v>-5.9523809499999997E-2</v>
      </c>
      <c r="D170" s="15">
        <v>242</v>
      </c>
      <c r="E170" s="32">
        <f t="shared" si="90"/>
        <v>2.1097046413502109E-2</v>
      </c>
      <c r="F170" s="18">
        <f>IF(ISNUMBER(D170), $B172 * E170, "")</f>
        <v>2109.7046413502107</v>
      </c>
      <c r="G170" s="31">
        <v>241</v>
      </c>
      <c r="H170" s="32">
        <f t="shared" si="91"/>
        <v>1.6877637130801686E-2</v>
      </c>
      <c r="I170" s="101">
        <f>IF(ISNUMBER(G170), $B172 * H170, "")</f>
        <v>1687.7637130801686</v>
      </c>
      <c r="J170" s="15">
        <v>236</v>
      </c>
      <c r="K170" s="32">
        <f t="shared" si="92"/>
        <v>-4.2194092827004216E-3</v>
      </c>
      <c r="L170" s="18">
        <f>IF(ISNUMBER(J170), $B172 * K170, "")</f>
        <v>-421.94092827004215</v>
      </c>
      <c r="M170" s="31">
        <v>240</v>
      </c>
      <c r="N170" s="32">
        <f t="shared" si="93"/>
        <v>1.2658227848101266E-2</v>
      </c>
      <c r="O170" s="18">
        <f>IF(ISNUMBER(M170), $B172 * N170, "")</f>
        <v>1265.8227848101264</v>
      </c>
      <c r="Q170" s="224"/>
      <c r="R170" s="225"/>
      <c r="S170" s="226"/>
    </row>
    <row r="171" spans="1:19" ht="17.25" thickBot="1">
      <c r="A171" s="130" t="s">
        <v>51</v>
      </c>
      <c r="B171" s="131">
        <v>396</v>
      </c>
      <c r="C171" s="79">
        <v>-6.3829787200000002E-2</v>
      </c>
      <c r="D171" s="24">
        <v>389</v>
      </c>
      <c r="E171" s="25">
        <f t="shared" si="90"/>
        <v>-1.7676767676767676E-2</v>
      </c>
      <c r="F171" s="104">
        <f>IF(ISNUMBER(D171), $B172 * E171, "")</f>
        <v>-1767.6767676767677</v>
      </c>
      <c r="G171" s="102">
        <v>392</v>
      </c>
      <c r="H171" s="25">
        <f t="shared" si="91"/>
        <v>-1.0101010101010102E-2</v>
      </c>
      <c r="I171" s="103">
        <f>IF(ISNUMBER(G171), $B172 * H171, "")</f>
        <v>-1010.1010101010102</v>
      </c>
      <c r="J171" s="24">
        <v>389</v>
      </c>
      <c r="K171" s="25">
        <f t="shared" si="92"/>
        <v>-1.7676767676767676E-2</v>
      </c>
      <c r="L171" s="104">
        <f>IF(ISNUMBER(J171), $B172 * K171, "")</f>
        <v>-1767.6767676767677</v>
      </c>
      <c r="M171" s="102">
        <v>387</v>
      </c>
      <c r="N171" s="25">
        <f t="shared" si="93"/>
        <v>-2.2727272727272728E-2</v>
      </c>
      <c r="O171" s="104">
        <f>IF(ISNUMBER(M171), $B172 * N171, "")</f>
        <v>-2272.727272727273</v>
      </c>
      <c r="Q171" s="227"/>
      <c r="R171" s="228"/>
      <c r="S171" s="229"/>
    </row>
    <row r="172" spans="1:19" ht="17.25" thickBot="1">
      <c r="A172" s="132" t="s">
        <v>300</v>
      </c>
      <c r="B172" s="288">
        <f>$B$37</f>
        <v>100000</v>
      </c>
      <c r="C172" s="289"/>
      <c r="D172" s="26" t="s">
        <v>301</v>
      </c>
      <c r="E172" s="27">
        <f>IF(COUNT(E152:E171), SUM(E152:E171) / COUNT(E152:E171), 0)</f>
        <v>1.2349563838765856E-2</v>
      </c>
      <c r="F172" s="28">
        <f>SUM(F152:F171)</f>
        <v>24699.127677531706</v>
      </c>
      <c r="G172" s="26" t="s">
        <v>301</v>
      </c>
      <c r="H172" s="27">
        <f>IF(COUNT(H152:H171), SUM(H152:H171) / COUNT(H152:H171), 0)</f>
        <v>-9.6032928904949445E-3</v>
      </c>
      <c r="I172" s="28">
        <f>SUM(I152:I171)</f>
        <v>-19206.585780989903</v>
      </c>
      <c r="J172" s="26" t="s">
        <v>301</v>
      </c>
      <c r="K172" s="27">
        <f>IF(COUNT(K152:K171), SUM(K152:K171) / COUNT(K152:K171), 0)</f>
        <v>-1.6475975327873524E-2</v>
      </c>
      <c r="L172" s="28">
        <f>SUM(L152:L171)</f>
        <v>-32951.950655747052</v>
      </c>
      <c r="M172" s="26" t="s">
        <v>301</v>
      </c>
      <c r="N172" s="27">
        <f>IF(COUNT(N152:N171), SUM(N152:N171) / COUNT(N152:N171), 0)</f>
        <v>-2.6264765913703005E-2</v>
      </c>
      <c r="O172" s="28">
        <f>SUM(O152:O171)</f>
        <v>-52529.531827406005</v>
      </c>
      <c r="Q172" s="230"/>
      <c r="R172" s="231"/>
      <c r="S172" s="232"/>
    </row>
    <row r="174" spans="1:19" ht="17.25" thickBot="1"/>
    <row r="175" spans="1:19" ht="17.25" thickBot="1">
      <c r="A175" s="246" t="s">
        <v>285</v>
      </c>
      <c r="B175" s="247"/>
      <c r="C175" s="247"/>
      <c r="D175" s="247"/>
      <c r="E175" s="247"/>
      <c r="F175" s="247"/>
      <c r="G175" s="247"/>
      <c r="H175" s="247"/>
      <c r="I175" s="247"/>
      <c r="J175" s="247"/>
      <c r="K175" s="247"/>
      <c r="L175" s="247"/>
      <c r="M175" s="247"/>
      <c r="N175" s="247"/>
      <c r="O175" s="248"/>
      <c r="Q175" s="245"/>
      <c r="R175" s="245"/>
      <c r="S175" s="245"/>
    </row>
    <row r="176" spans="1:19" ht="17.25" thickBot="1">
      <c r="A176" s="200" t="s">
        <v>297</v>
      </c>
      <c r="B176" s="246" t="s">
        <v>49</v>
      </c>
      <c r="C176" s="248"/>
      <c r="D176" s="246" t="s">
        <v>58</v>
      </c>
      <c r="E176" s="247"/>
      <c r="F176" s="248"/>
      <c r="G176" s="249">
        <f>_xlfn.IFNA(VLOOKUP(B176, 현재가테이블!$B$2:$D$200, 2, FALSE), "-")</f>
        <v>45335000</v>
      </c>
      <c r="H176" s="250"/>
      <c r="I176" s="251"/>
      <c r="J176" s="246" t="s">
        <v>59</v>
      </c>
      <c r="K176" s="247"/>
      <c r="L176" s="248"/>
      <c r="M176" s="252">
        <f>_xlfn.IFNA(VLOOKUP(B176, 현재가테이블!$B$2:$D$200, 3, FALSE), "-")</f>
        <v>-2.27209037E-2</v>
      </c>
      <c r="N176" s="253"/>
      <c r="O176" s="254"/>
      <c r="Q176" s="245"/>
      <c r="R176" s="245"/>
      <c r="S176" s="245"/>
    </row>
    <row r="177" spans="1:19" ht="17.25" thickBot="1">
      <c r="A177" s="290" t="s">
        <v>55</v>
      </c>
      <c r="B177" s="286" t="str">
        <f>TEXT($G$1, "[$-ko-KR]yyyy-mm-dd(ddd) ") &amp; "오전 00:00"</f>
        <v>2021-06-11(금) 오전 00:00</v>
      </c>
      <c r="C177" s="287"/>
      <c r="D177" s="259" t="str">
        <f>TEXT($G$1, "[$-ko-KR]yyyy-mm-dd(ddd) ") &amp; "오후 14:00"</f>
        <v>2021-06-11(금) 오후 14:00</v>
      </c>
      <c r="E177" s="260"/>
      <c r="F177" s="261"/>
      <c r="G177" s="259" t="str">
        <f>TEXT($G$1, "[$-ko-KR]yyyy-mm-dd(ddd) ") &amp; "오후 19:00"</f>
        <v>2021-06-11(금) 오후 19:00</v>
      </c>
      <c r="H177" s="260"/>
      <c r="I177" s="261"/>
      <c r="J177" s="259" t="str">
        <f>TEXT($G$1, "[$-ko-KR]yyyy-mm-dd(ddd) ") &amp; "오후 21:00"</f>
        <v>2021-06-11(금) 오후 21:00</v>
      </c>
      <c r="K177" s="260"/>
      <c r="L177" s="261"/>
      <c r="M177" s="259" t="str">
        <f>TEXT($G$1+1, "[$-ko-KR]yyyy-mm-dd(ddd) ") &amp; "오전 00:00"</f>
        <v>2021-06-12(토) 오전 00:00</v>
      </c>
      <c r="N177" s="260"/>
      <c r="O177" s="261"/>
      <c r="Q177" s="245"/>
      <c r="R177" s="245"/>
      <c r="S177" s="245"/>
    </row>
    <row r="178" spans="1:19" ht="17.25" thickBot="1">
      <c r="A178" s="291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201" t="s">
        <v>58</v>
      </c>
      <c r="H178" s="202" t="s">
        <v>298</v>
      </c>
      <c r="I178" s="203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5"/>
      <c r="R178" s="235"/>
      <c r="S178" s="235"/>
    </row>
    <row r="179" spans="1:19" ht="17.25" thickBot="1">
      <c r="A179" s="161" t="s">
        <v>69</v>
      </c>
      <c r="B179" s="124">
        <v>4960</v>
      </c>
      <c r="C179" s="76">
        <v>-4.7984644899999998E-2</v>
      </c>
      <c r="D179" s="13">
        <v>4915</v>
      </c>
      <c r="E179" s="14">
        <f>IF(ISNUMBER(D179), (D179 - $B179) / $B179, "")</f>
        <v>-9.0725806451612909E-3</v>
      </c>
      <c r="F179" s="16">
        <f>IF(ISNUMBER(D179), $B199 * E179, "")</f>
        <v>-907.25806451612914</v>
      </c>
      <c r="G179" s="29">
        <v>4800</v>
      </c>
      <c r="H179" s="14">
        <f>IF(ISNUMBER(G179), (G179 - $B179) / $B179, "")</f>
        <v>-3.2258064516129031E-2</v>
      </c>
      <c r="I179" s="100">
        <f>IF(ISNUMBER(G179), $B199 * H179, "")</f>
        <v>-3225.8064516129029</v>
      </c>
      <c r="J179" s="13">
        <v>4725</v>
      </c>
      <c r="K179" s="14">
        <f>IF(ISNUMBER(J179), (J179 - $B179) / $B179, "")</f>
        <v>-4.7379032258064516E-2</v>
      </c>
      <c r="L179" s="16">
        <f>IF(ISNUMBER(J179), $B199 * K179, "")</f>
        <v>-4737.9032258064517</v>
      </c>
      <c r="M179" s="29">
        <v>4690</v>
      </c>
      <c r="N179" s="14">
        <f>IF(ISNUMBER(M179), (M179 - $B179) / $B179, "")</f>
        <v>-5.4435483870967742E-2</v>
      </c>
      <c r="O179" s="16">
        <f>IF(ISNUMBER(M179), $B199 * N179, "")</f>
        <v>-5443.5483870967746</v>
      </c>
      <c r="Q179" s="245"/>
      <c r="R179" s="245"/>
      <c r="S179" s="245"/>
    </row>
    <row r="180" spans="1:19" ht="17.25" thickBot="1">
      <c r="A180" s="162" t="s">
        <v>146</v>
      </c>
      <c r="B180" s="126">
        <v>10270</v>
      </c>
      <c r="C180" s="77">
        <v>-4.8192771099999997E-2</v>
      </c>
      <c r="D180" s="15">
        <v>10260</v>
      </c>
      <c r="E180" s="32">
        <f t="shared" ref="E180:E183" si="94">IF(ISNUMBER(D180), (D180 - $B180) / $B180, "")</f>
        <v>-9.7370983446932818E-4</v>
      </c>
      <c r="F180" s="18">
        <f>IF(ISNUMBER(D180), $B199 * E180, "")</f>
        <v>-97.370983446932811</v>
      </c>
      <c r="G180" s="31">
        <v>9900</v>
      </c>
      <c r="H180" s="32">
        <f t="shared" ref="H180:H183" si="95">IF(ISNUMBER(G180), (G180 - $B180) / $B180, "")</f>
        <v>-3.6027263875365138E-2</v>
      </c>
      <c r="I180" s="101">
        <f>IF(ISNUMBER(G180), $B199 * H180, "")</f>
        <v>-3602.7263875365138</v>
      </c>
      <c r="J180" s="15">
        <v>9765</v>
      </c>
      <c r="K180" s="32">
        <f t="shared" ref="K180:K183" si="96">IF(ISNUMBER(J180), (J180 - $B180) / $B180, "")</f>
        <v>-4.9172346640701074E-2</v>
      </c>
      <c r="L180" s="18">
        <f>IF(ISNUMBER(J180), $B199 * K180, "")</f>
        <v>-4917.2346640701071</v>
      </c>
      <c r="M180" s="31">
        <v>9810</v>
      </c>
      <c r="N180" s="32">
        <f t="shared" ref="N180:N183" si="97">IF(ISNUMBER(M180), (M180 - $B180) / $B180, "")</f>
        <v>-4.4790652385589096E-2</v>
      </c>
      <c r="O180" s="18">
        <f>IF(ISNUMBER(M180), $B199 * N180, "")</f>
        <v>-4479.0652385589092</v>
      </c>
      <c r="Q180" s="245"/>
      <c r="R180" s="245"/>
      <c r="S180" s="245"/>
    </row>
    <row r="181" spans="1:19" ht="17.25" thickBot="1">
      <c r="A181" s="162" t="s">
        <v>178</v>
      </c>
      <c r="B181" s="126">
        <v>24990</v>
      </c>
      <c r="C181" s="77">
        <v>-4.8362528600000003E-2</v>
      </c>
      <c r="D181" s="15">
        <v>25580</v>
      </c>
      <c r="E181" s="32">
        <f t="shared" si="94"/>
        <v>2.3609443777511004E-2</v>
      </c>
      <c r="F181" s="18">
        <f>IF(ISNUMBER(D181), $B199 * E181, "")</f>
        <v>2360.9443777511005</v>
      </c>
      <c r="G181" s="31">
        <v>24300</v>
      </c>
      <c r="H181" s="32">
        <f t="shared" si="95"/>
        <v>-2.7611044417767107E-2</v>
      </c>
      <c r="I181" s="101">
        <f>IF(ISNUMBER(G181), $B199 * H181, "")</f>
        <v>-2761.1044417767107</v>
      </c>
      <c r="J181" s="15">
        <v>23700</v>
      </c>
      <c r="K181" s="32">
        <f t="shared" si="96"/>
        <v>-5.1620648259303722E-2</v>
      </c>
      <c r="L181" s="18">
        <f>IF(ISNUMBER(J181), $B199 * K181, "")</f>
        <v>-5162.0648259303725</v>
      </c>
      <c r="M181" s="31">
        <v>23450</v>
      </c>
      <c r="N181" s="32">
        <f t="shared" si="97"/>
        <v>-6.1624649859943981E-2</v>
      </c>
      <c r="O181" s="18">
        <f>IF(ISNUMBER(M181), $B199 * N181, "")</f>
        <v>-6162.4649859943984</v>
      </c>
      <c r="Q181" s="235"/>
      <c r="R181" s="235"/>
      <c r="S181" s="235"/>
    </row>
    <row r="182" spans="1:19" ht="17.25" thickBot="1">
      <c r="A182" s="162" t="s">
        <v>98</v>
      </c>
      <c r="B182" s="126">
        <v>3860</v>
      </c>
      <c r="C182" s="77">
        <v>-4.92610837E-2</v>
      </c>
      <c r="D182" s="15">
        <v>3810</v>
      </c>
      <c r="E182" s="32">
        <f t="shared" si="94"/>
        <v>-1.2953367875647668E-2</v>
      </c>
      <c r="F182" s="18">
        <f>IF(ISNUMBER(D182), $B199 * E182, "")</f>
        <v>-1295.3367875647668</v>
      </c>
      <c r="G182" s="31">
        <v>3815</v>
      </c>
      <c r="H182" s="32">
        <f t="shared" si="95"/>
        <v>-1.1658031088082901E-2</v>
      </c>
      <c r="I182" s="101">
        <f>IF(ISNUMBER(G182), $B199 * H182, "")</f>
        <v>-1165.8031088082901</v>
      </c>
      <c r="J182" s="15">
        <v>3810</v>
      </c>
      <c r="K182" s="32">
        <f t="shared" si="96"/>
        <v>-1.2953367875647668E-2</v>
      </c>
      <c r="L182" s="18">
        <f>IF(ISNUMBER(J182), $B199 * K182, "")</f>
        <v>-1295.3367875647668</v>
      </c>
      <c r="M182" s="31">
        <v>3795</v>
      </c>
      <c r="N182" s="32">
        <f t="shared" si="97"/>
        <v>-1.683937823834197E-2</v>
      </c>
      <c r="O182" s="18">
        <f>IF(ISNUMBER(M182), $B199 * N182, "")</f>
        <v>-1683.9378238341969</v>
      </c>
      <c r="Q182" s="235"/>
      <c r="R182" s="235"/>
      <c r="S182" s="235"/>
    </row>
    <row r="183" spans="1:19" ht="17.25" thickBot="1">
      <c r="A183" s="163" t="s">
        <v>102</v>
      </c>
      <c r="B183" s="128">
        <v>68500</v>
      </c>
      <c r="C183" s="78">
        <v>-4.9930651899999998E-2</v>
      </c>
      <c r="D183" s="20">
        <v>67250</v>
      </c>
      <c r="E183" s="21">
        <f t="shared" si="94"/>
        <v>-1.824817518248175E-2</v>
      </c>
      <c r="F183" s="22">
        <f>IF(ISNUMBER(D183), $B199 * E183, "")</f>
        <v>-1824.817518248175</v>
      </c>
      <c r="G183" s="30">
        <v>69060</v>
      </c>
      <c r="H183" s="21">
        <f t="shared" si="95"/>
        <v>8.1751824817518255E-3</v>
      </c>
      <c r="I183" s="105">
        <f>IF(ISNUMBER(G183), $B199 * H183, "")</f>
        <v>817.51824817518252</v>
      </c>
      <c r="J183" s="20">
        <v>68120</v>
      </c>
      <c r="K183" s="21">
        <f t="shared" si="96"/>
        <v>-5.5474452554744522E-3</v>
      </c>
      <c r="L183" s="22">
        <f>IF(ISNUMBER(J183), $B199 * K183, "")</f>
        <v>-554.74452554744516</v>
      </c>
      <c r="M183" s="30">
        <v>67810</v>
      </c>
      <c r="N183" s="21">
        <f t="shared" si="97"/>
        <v>-1.0072992700729927E-2</v>
      </c>
      <c r="O183" s="22">
        <f>IF(ISNUMBER(M183), $B199 * N183, "")</f>
        <v>-1007.2992700729926</v>
      </c>
      <c r="Q183" s="235"/>
      <c r="R183" s="235"/>
      <c r="S183" s="235"/>
    </row>
    <row r="184" spans="1:19" ht="17.25" thickBot="1">
      <c r="A184" s="162" t="s">
        <v>74</v>
      </c>
      <c r="B184" s="129">
        <v>15290</v>
      </c>
      <c r="C184" s="80">
        <v>-5.0310558999999998E-2</v>
      </c>
      <c r="D184" s="106">
        <v>14950</v>
      </c>
      <c r="E184" s="107">
        <f>IF(ISNUMBER(D184), (D184 - $B184) / $B184, "")</f>
        <v>-2.2236756049705691E-2</v>
      </c>
      <c r="F184" s="108">
        <f>IF(ISNUMBER(D184), $B199 * E184, "")</f>
        <v>-2223.6756049705691</v>
      </c>
      <c r="G184" s="109">
        <v>14550</v>
      </c>
      <c r="H184" s="107">
        <f>IF(ISNUMBER(G184), (G184 - $B184) / $B184, "")</f>
        <v>-4.8397645519947678E-2</v>
      </c>
      <c r="I184" s="110">
        <f>IF(ISNUMBER(G184), $B199 * H184, "")</f>
        <v>-4839.7645519947682</v>
      </c>
      <c r="J184" s="106">
        <v>14580</v>
      </c>
      <c r="K184" s="107">
        <f>IF(ISNUMBER(J184), (J184 - $B184) / $B184, "")</f>
        <v>-4.643557880967953E-2</v>
      </c>
      <c r="L184" s="108">
        <f>IF(ISNUMBER(J184), $B199 * K184, "")</f>
        <v>-4643.5578809679528</v>
      </c>
      <c r="M184" s="109">
        <v>14530</v>
      </c>
      <c r="N184" s="107">
        <f>IF(ISNUMBER(M184), (M184 - $B184) / $B184, "")</f>
        <v>-4.9705689993459777E-2</v>
      </c>
      <c r="O184" s="108">
        <f>IF(ISNUMBER(M184), $B199 * N184, "")</f>
        <v>-4970.5689993459773</v>
      </c>
      <c r="Q184" s="235"/>
      <c r="R184" s="235"/>
      <c r="S184" s="235"/>
    </row>
    <row r="185" spans="1:19" ht="17.25" thickBot="1">
      <c r="A185" s="162" t="s">
        <v>144</v>
      </c>
      <c r="B185" s="126">
        <v>6045</v>
      </c>
      <c r="C185" s="77">
        <v>-5.2507837000000002E-2</v>
      </c>
      <c r="D185" s="15">
        <v>5855</v>
      </c>
      <c r="E185" s="32">
        <f t="shared" ref="E185:E188" si="98">IF(ISNUMBER(D185), (D185 - $B185) / $B185, "")</f>
        <v>-3.1430934656741107E-2</v>
      </c>
      <c r="F185" s="18">
        <f>IF(ISNUMBER(D185), $B199 * E185, "")</f>
        <v>-3143.0934656741106</v>
      </c>
      <c r="G185" s="31">
        <v>5935</v>
      </c>
      <c r="H185" s="32">
        <f t="shared" ref="H185:H188" si="99">IF(ISNUMBER(G185), (G185 - $B185) / $B185, "")</f>
        <v>-1.8196856906534328E-2</v>
      </c>
      <c r="I185" s="101">
        <f>IF(ISNUMBER(G185), $B199 * H185, "")</f>
        <v>-1819.6856906534329</v>
      </c>
      <c r="J185" s="15">
        <v>5910</v>
      </c>
      <c r="K185" s="32">
        <f t="shared" ref="K185:K188" si="100">IF(ISNUMBER(J185), (J185 - $B185) / $B185, "")</f>
        <v>-2.2332506203473945E-2</v>
      </c>
      <c r="L185" s="18">
        <f>IF(ISNUMBER(J185), $B199 * K185, "")</f>
        <v>-2233.2506203473945</v>
      </c>
      <c r="M185" s="31">
        <v>5885</v>
      </c>
      <c r="N185" s="32">
        <f t="shared" ref="N185:N188" si="101">IF(ISNUMBER(M185), (M185 - $B185) / $B185, "")</f>
        <v>-2.6468155500413565E-2</v>
      </c>
      <c r="O185" s="18">
        <f>IF(ISNUMBER(M185), $B199 * N185, "")</f>
        <v>-2646.8155500413563</v>
      </c>
      <c r="Q185" s="235"/>
      <c r="R185" s="235"/>
      <c r="S185" s="235"/>
    </row>
    <row r="186" spans="1:19" ht="17.25" thickBot="1">
      <c r="A186" s="162" t="s">
        <v>248</v>
      </c>
      <c r="B186" s="126">
        <v>1685</v>
      </c>
      <c r="C186" s="77">
        <v>-5.3370786500000003E-2</v>
      </c>
      <c r="D186" s="15">
        <v>1670</v>
      </c>
      <c r="E186" s="32">
        <f t="shared" si="98"/>
        <v>-8.9020771513353119E-3</v>
      </c>
      <c r="F186" s="18">
        <f>IF(ISNUMBER(D186), $B199 * E186, "")</f>
        <v>-890.20771513353122</v>
      </c>
      <c r="G186" s="31">
        <v>1445</v>
      </c>
      <c r="H186" s="32">
        <f t="shared" si="99"/>
        <v>-0.14243323442136499</v>
      </c>
      <c r="I186" s="101">
        <f>IF(ISNUMBER(G186), $B199 * H186, "")</f>
        <v>-14243.3234421365</v>
      </c>
      <c r="J186" s="15">
        <v>1405</v>
      </c>
      <c r="K186" s="32">
        <f t="shared" si="100"/>
        <v>-0.16617210682492581</v>
      </c>
      <c r="L186" s="18">
        <f>IF(ISNUMBER(J186), $B199 * K186, "")</f>
        <v>-16617.21068249258</v>
      </c>
      <c r="M186" s="31">
        <v>1435</v>
      </c>
      <c r="N186" s="32">
        <f t="shared" si="101"/>
        <v>-0.14836795252225518</v>
      </c>
      <c r="O186" s="18">
        <f>IF(ISNUMBER(M186), $B199 * N186, "")</f>
        <v>-14836.795252225518</v>
      </c>
      <c r="Q186" s="235"/>
      <c r="R186" s="235"/>
      <c r="S186" s="235"/>
    </row>
    <row r="187" spans="1:19" ht="17.25" thickBot="1">
      <c r="A187" s="162" t="s">
        <v>108</v>
      </c>
      <c r="B187" s="126">
        <v>32170</v>
      </c>
      <c r="C187" s="77">
        <v>-5.38235294E-2</v>
      </c>
      <c r="D187" s="15">
        <v>31100</v>
      </c>
      <c r="E187" s="32">
        <f t="shared" si="98"/>
        <v>-3.3260801989431148E-2</v>
      </c>
      <c r="F187" s="18">
        <f>IF(ISNUMBER(D187), $B199 * E187, "")</f>
        <v>-3326.0801989431147</v>
      </c>
      <c r="G187" s="31">
        <v>30600</v>
      </c>
      <c r="H187" s="32">
        <f t="shared" si="99"/>
        <v>-4.8803232825613926E-2</v>
      </c>
      <c r="I187" s="101">
        <f>IF(ISNUMBER(G187), $B199 * H187, "")</f>
        <v>-4880.3232825613923</v>
      </c>
      <c r="J187" s="15">
        <v>30320</v>
      </c>
      <c r="K187" s="32">
        <f t="shared" si="100"/>
        <v>-5.7506994093876281E-2</v>
      </c>
      <c r="L187" s="18">
        <f>IF(ISNUMBER(J187), $B199 * K187, "")</f>
        <v>-5750.6994093876283</v>
      </c>
      <c r="M187" s="31">
        <v>30330</v>
      </c>
      <c r="N187" s="32">
        <f t="shared" si="101"/>
        <v>-5.7196145477152627E-2</v>
      </c>
      <c r="O187" s="18">
        <f>IF(ISNUMBER(M187), $B199 * N187, "")</f>
        <v>-5719.6145477152622</v>
      </c>
      <c r="Q187" s="33"/>
      <c r="R187" s="33"/>
    </row>
    <row r="188" spans="1:19" ht="17.25" thickBot="1">
      <c r="A188" s="130" t="s">
        <v>80</v>
      </c>
      <c r="B188" s="131">
        <v>767</v>
      </c>
      <c r="C188" s="79">
        <v>-5.4254007399999998E-2</v>
      </c>
      <c r="D188" s="24">
        <v>764</v>
      </c>
      <c r="E188" s="25">
        <f t="shared" si="98"/>
        <v>-3.9113428943937422E-3</v>
      </c>
      <c r="F188" s="104">
        <f>IF(ISNUMBER(D188), $B199 * E188, "")</f>
        <v>-391.13428943937424</v>
      </c>
      <c r="G188" s="102">
        <v>784</v>
      </c>
      <c r="H188" s="25">
        <f t="shared" si="99"/>
        <v>2.2164276401564539E-2</v>
      </c>
      <c r="I188" s="103">
        <f>IF(ISNUMBER(G188), $B199 * H188, "")</f>
        <v>2216.4276401564539</v>
      </c>
      <c r="J188" s="24">
        <v>807</v>
      </c>
      <c r="K188" s="25">
        <f t="shared" si="100"/>
        <v>5.215123859191656E-2</v>
      </c>
      <c r="L188" s="104">
        <f>IF(ISNUMBER(J188), $B199 * K188, "")</f>
        <v>5215.1238591916563</v>
      </c>
      <c r="M188" s="102">
        <v>805</v>
      </c>
      <c r="N188" s="25">
        <f t="shared" si="101"/>
        <v>4.9543676662320728E-2</v>
      </c>
      <c r="O188" s="104">
        <f>IF(ISNUMBER(M188), $B199 * N188, "")</f>
        <v>4954.3676662320731</v>
      </c>
      <c r="Q188" s="236"/>
      <c r="R188" s="237"/>
      <c r="S188" s="238"/>
    </row>
    <row r="189" spans="1:19">
      <c r="A189" s="161" t="s">
        <v>92</v>
      </c>
      <c r="B189" s="124">
        <v>1005</v>
      </c>
      <c r="C189" s="76">
        <v>-5.6338028200000001E-2</v>
      </c>
      <c r="D189" s="13">
        <v>1005</v>
      </c>
      <c r="E189" s="14">
        <f>IF(ISNUMBER(D189), (D189 - $B189) / $B189, "")</f>
        <v>0</v>
      </c>
      <c r="F189" s="16">
        <f>IF(ISNUMBER(D189), $B199 * E189, "")</f>
        <v>0</v>
      </c>
      <c r="G189" s="29">
        <v>1005</v>
      </c>
      <c r="H189" s="14">
        <f>IF(ISNUMBER(G189), (G189 - $B189) / $B189, "")</f>
        <v>0</v>
      </c>
      <c r="I189" s="100">
        <f>IF(ISNUMBER(G189), $B199 * H189, "")</f>
        <v>0</v>
      </c>
      <c r="J189" s="13">
        <v>1000</v>
      </c>
      <c r="K189" s="14">
        <f>IF(ISNUMBER(J189), (J189 - $B189) / $B189, "")</f>
        <v>-4.9751243781094526E-3</v>
      </c>
      <c r="L189" s="16">
        <f>IF(ISNUMBER(J189), $B199 * K189, "")</f>
        <v>-497.51243781094524</v>
      </c>
      <c r="M189" s="29">
        <v>1000</v>
      </c>
      <c r="N189" s="14">
        <f>IF(ISNUMBER(M189), (M189 - $B189) / $B189, "")</f>
        <v>-4.9751243781094526E-3</v>
      </c>
      <c r="O189" s="16">
        <f>IF(ISNUMBER(M189), $B199 * N189, "")</f>
        <v>-497.51243781094524</v>
      </c>
      <c r="Q189" s="239"/>
      <c r="R189" s="240"/>
      <c r="S189" s="241"/>
    </row>
    <row r="190" spans="1:19" ht="17.25" thickBot="1">
      <c r="A190" s="162" t="s">
        <v>192</v>
      </c>
      <c r="B190" s="126">
        <v>1080</v>
      </c>
      <c r="C190" s="77">
        <v>-5.6768559000000003E-2</v>
      </c>
      <c r="D190" s="15">
        <v>1065</v>
      </c>
      <c r="E190" s="32">
        <f t="shared" ref="E190:E193" si="102">IF(ISNUMBER(D190), (D190 - $B190) / $B190, "")</f>
        <v>-1.3888888888888888E-2</v>
      </c>
      <c r="F190" s="18">
        <f>IF(ISNUMBER(D190), $B199 * E190, "")</f>
        <v>-1388.8888888888889</v>
      </c>
      <c r="G190" s="31">
        <v>1030</v>
      </c>
      <c r="H190" s="32">
        <f t="shared" ref="H190:H193" si="103">IF(ISNUMBER(G190), (G190 - $B190) / $B190, "")</f>
        <v>-4.6296296296296294E-2</v>
      </c>
      <c r="I190" s="101">
        <f>IF(ISNUMBER(G190), $B199 * H190, "")</f>
        <v>-4629.6296296296296</v>
      </c>
      <c r="J190" s="15">
        <v>1010</v>
      </c>
      <c r="K190" s="32">
        <f t="shared" ref="K190:K193" si="104">IF(ISNUMBER(J190), (J190 - $B190) / $B190, "")</f>
        <v>-6.4814814814814811E-2</v>
      </c>
      <c r="L190" s="18">
        <f>IF(ISNUMBER(J190), $B199 * K190, "")</f>
        <v>-6481.4814814814808</v>
      </c>
      <c r="M190" s="31">
        <v>1000</v>
      </c>
      <c r="N190" s="32">
        <f t="shared" ref="N190:N193" si="105">IF(ISNUMBER(M190), (M190 - $B190) / $B190, "")</f>
        <v>-7.407407407407407E-2</v>
      </c>
      <c r="O190" s="18">
        <f>IF(ISNUMBER(M190), $B199 * N190, "")</f>
        <v>-7407.4074074074069</v>
      </c>
      <c r="Q190" s="242"/>
      <c r="R190" s="243"/>
      <c r="S190" s="244"/>
    </row>
    <row r="191" spans="1:19" ht="17.25" thickBot="1">
      <c r="A191" s="162" t="s">
        <v>142</v>
      </c>
      <c r="B191" s="126">
        <v>630</v>
      </c>
      <c r="C191" s="77">
        <v>-5.82959641E-2</v>
      </c>
      <c r="D191" s="15">
        <v>563</v>
      </c>
      <c r="E191" s="32">
        <f t="shared" si="102"/>
        <v>-0.10634920634920635</v>
      </c>
      <c r="F191" s="18">
        <f>IF(ISNUMBER(D191), $B199 * E191, "")</f>
        <v>-10634.920634920634</v>
      </c>
      <c r="G191" s="31">
        <v>566</v>
      </c>
      <c r="H191" s="32">
        <f t="shared" si="103"/>
        <v>-0.10158730158730159</v>
      </c>
      <c r="I191" s="101">
        <f>IF(ISNUMBER(G191), $B199 * H191, "")</f>
        <v>-10158.730158730159</v>
      </c>
      <c r="J191" s="15">
        <v>559</v>
      </c>
      <c r="K191" s="32">
        <f t="shared" si="104"/>
        <v>-0.1126984126984127</v>
      </c>
      <c r="L191" s="18">
        <f>IF(ISNUMBER(J191), $B199 * K191, "")</f>
        <v>-11269.84126984127</v>
      </c>
      <c r="M191" s="31">
        <v>553</v>
      </c>
      <c r="N191" s="32">
        <f t="shared" si="105"/>
        <v>-0.12222222222222222</v>
      </c>
      <c r="O191" s="18">
        <f>IF(ISNUMBER(M191), $B199 * N191, "")</f>
        <v>-12222.222222222223</v>
      </c>
      <c r="Q191" s="235"/>
      <c r="R191" s="235"/>
      <c r="S191" s="235"/>
    </row>
    <row r="192" spans="1:19" ht="17.25" thickBot="1">
      <c r="A192" s="162" t="s">
        <v>54</v>
      </c>
      <c r="B192" s="126">
        <v>237</v>
      </c>
      <c r="C192" s="77">
        <v>-5.9523809499999997E-2</v>
      </c>
      <c r="D192" s="15">
        <v>242</v>
      </c>
      <c r="E192" s="32">
        <f t="shared" si="102"/>
        <v>2.1097046413502109E-2</v>
      </c>
      <c r="F192" s="18">
        <f>IF(ISNUMBER(D192), $B199 * E192, "")</f>
        <v>2109.7046413502107</v>
      </c>
      <c r="G192" s="31">
        <v>241</v>
      </c>
      <c r="H192" s="32">
        <f t="shared" si="103"/>
        <v>1.6877637130801686E-2</v>
      </c>
      <c r="I192" s="101">
        <f>IF(ISNUMBER(G192), $B199 * H192, "")</f>
        <v>1687.7637130801686</v>
      </c>
      <c r="J192" s="15">
        <v>236</v>
      </c>
      <c r="K192" s="32">
        <f t="shared" si="104"/>
        <v>-4.2194092827004216E-3</v>
      </c>
      <c r="L192" s="18">
        <f>IF(ISNUMBER(J192), $B199 * K192, "")</f>
        <v>-421.94092827004215</v>
      </c>
      <c r="M192" s="31">
        <v>240</v>
      </c>
      <c r="N192" s="32">
        <f t="shared" si="105"/>
        <v>1.2658227848101266E-2</v>
      </c>
      <c r="O192" s="18">
        <f>IF(ISNUMBER(M192), $B199 * N192, "")</f>
        <v>1265.8227848101264</v>
      </c>
      <c r="Q192" s="245"/>
      <c r="R192" s="245"/>
      <c r="S192" s="245"/>
    </row>
    <row r="193" spans="1:19" ht="17.25" thickBot="1">
      <c r="A193" s="163" t="s">
        <v>276</v>
      </c>
      <c r="B193" s="128">
        <v>3015</v>
      </c>
      <c r="C193" s="78">
        <v>-6.0747663600000001E-2</v>
      </c>
      <c r="D193" s="20">
        <v>2915</v>
      </c>
      <c r="E193" s="21">
        <f t="shared" si="102"/>
        <v>-3.316749585406302E-2</v>
      </c>
      <c r="F193" s="22">
        <f>IF(ISNUMBER(D193), $B199 * E193, "")</f>
        <v>-3316.7495854063018</v>
      </c>
      <c r="G193" s="30">
        <v>2710</v>
      </c>
      <c r="H193" s="21">
        <f t="shared" si="103"/>
        <v>-0.1011608623548922</v>
      </c>
      <c r="I193" s="105">
        <f>IF(ISNUMBER(G193), $B199 * H193, "")</f>
        <v>-10116.08623548922</v>
      </c>
      <c r="J193" s="20">
        <v>2670</v>
      </c>
      <c r="K193" s="21">
        <f t="shared" si="104"/>
        <v>-0.11442786069651742</v>
      </c>
      <c r="L193" s="22">
        <f>IF(ISNUMBER(J193), $B199 * K193, "")</f>
        <v>-11442.786069651742</v>
      </c>
      <c r="M193" s="30">
        <v>2635</v>
      </c>
      <c r="N193" s="21">
        <f t="shared" si="105"/>
        <v>-0.12603648424543948</v>
      </c>
      <c r="O193" s="22">
        <f>IF(ISNUMBER(M193), $B199 * N193, "")</f>
        <v>-12603.648424543948</v>
      </c>
      <c r="Q193" s="245"/>
      <c r="R193" s="245"/>
      <c r="S193" s="245"/>
    </row>
    <row r="194" spans="1:19" ht="17.25" thickBot="1">
      <c r="A194" s="162" t="s">
        <v>114</v>
      </c>
      <c r="B194" s="129">
        <v>10170</v>
      </c>
      <c r="C194" s="80">
        <v>-6.2672811100000003E-2</v>
      </c>
      <c r="D194" s="106">
        <v>9780</v>
      </c>
      <c r="E194" s="107">
        <f>IF(ISNUMBER(D194), (D194 - $B194) / $B194, "")</f>
        <v>-3.8348082595870206E-2</v>
      </c>
      <c r="F194" s="108">
        <f>IF(ISNUMBER(D194), $B199 * E194, "")</f>
        <v>-3834.8082595870205</v>
      </c>
      <c r="G194" s="109">
        <v>9805</v>
      </c>
      <c r="H194" s="107">
        <f>IF(ISNUMBER(G194), (G194 - $B194) / $B194, "")</f>
        <v>-3.5889872173058016E-2</v>
      </c>
      <c r="I194" s="110">
        <f>IF(ISNUMBER(G194), $B199 * H194, "")</f>
        <v>-3588.9872173058016</v>
      </c>
      <c r="J194" s="106">
        <v>9730</v>
      </c>
      <c r="K194" s="107">
        <f>IF(ISNUMBER(J194), (J194 - $B194) / $B194, "")</f>
        <v>-4.3264503441494594E-2</v>
      </c>
      <c r="L194" s="108">
        <f>IF(ISNUMBER(J194), $B199 * K194, "")</f>
        <v>-4326.4503441494589</v>
      </c>
      <c r="M194" s="109">
        <v>9605</v>
      </c>
      <c r="N194" s="107">
        <f>IF(ISNUMBER(M194), (M194 - $B194) / $B194, "")</f>
        <v>-5.5555555555555552E-2</v>
      </c>
      <c r="O194" s="108">
        <f>IF(ISNUMBER(M194), $B199 * N194, "")</f>
        <v>-5555.5555555555557</v>
      </c>
      <c r="Q194" s="235"/>
      <c r="R194" s="235"/>
      <c r="S194" s="235"/>
    </row>
    <row r="195" spans="1:19" ht="17.25" thickBot="1">
      <c r="A195" s="162" t="s">
        <v>76</v>
      </c>
      <c r="B195" s="126">
        <v>27710</v>
      </c>
      <c r="C195" s="77">
        <v>-6.2901589399999999E-2</v>
      </c>
      <c r="D195" s="15">
        <v>26660</v>
      </c>
      <c r="E195" s="32">
        <f t="shared" ref="E195:E198" si="106">IF(ISNUMBER(D195), (D195 - $B195) / $B195, "")</f>
        <v>-3.7892457596535548E-2</v>
      </c>
      <c r="F195" s="18">
        <f>IF(ISNUMBER(D195), $B199 * E195, "")</f>
        <v>-3789.2457596535546</v>
      </c>
      <c r="G195" s="31">
        <v>26700</v>
      </c>
      <c r="H195" s="32">
        <f t="shared" ref="H195:H198" si="107">IF(ISNUMBER(G195), (G195 - $B195) / $B195, "")</f>
        <v>-3.644893540238181E-2</v>
      </c>
      <c r="I195" s="101">
        <f>IF(ISNUMBER(G195), $B199 * H195, "")</f>
        <v>-3644.8935402381812</v>
      </c>
      <c r="J195" s="15">
        <v>26430</v>
      </c>
      <c r="K195" s="32">
        <f t="shared" ref="K195:K198" si="108">IF(ISNUMBER(J195), (J195 - $B195) / $B195, "")</f>
        <v>-4.619271021291952E-2</v>
      </c>
      <c r="L195" s="18">
        <f>IF(ISNUMBER(J195), $B199 * K195, "")</f>
        <v>-4619.2710212919519</v>
      </c>
      <c r="M195" s="31">
        <v>26360</v>
      </c>
      <c r="N195" s="32">
        <f t="shared" ref="N195:N198" si="109">IF(ISNUMBER(M195), (M195 - $B195) / $B195, "")</f>
        <v>-4.8718874052688557E-2</v>
      </c>
      <c r="O195" s="18">
        <f>IF(ISNUMBER(M195), $B199 * N195, "")</f>
        <v>-4871.8874052688561</v>
      </c>
      <c r="Q195" s="235"/>
      <c r="R195" s="235"/>
      <c r="S195" s="235"/>
    </row>
    <row r="196" spans="1:19" ht="17.25" thickBot="1">
      <c r="A196" s="162" t="s">
        <v>51</v>
      </c>
      <c r="B196" s="126">
        <v>396</v>
      </c>
      <c r="C196" s="77">
        <v>-6.3829787200000002E-2</v>
      </c>
      <c r="D196" s="15">
        <v>389</v>
      </c>
      <c r="E196" s="32">
        <f t="shared" si="106"/>
        <v>-1.7676767676767676E-2</v>
      </c>
      <c r="F196" s="18">
        <f>IF(ISNUMBER(D196), $B199 * E196, "")</f>
        <v>-1767.6767676767677</v>
      </c>
      <c r="G196" s="31">
        <v>392</v>
      </c>
      <c r="H196" s="32">
        <f t="shared" si="107"/>
        <v>-1.0101010101010102E-2</v>
      </c>
      <c r="I196" s="101">
        <f>IF(ISNUMBER(G196), $B199 * H196, "")</f>
        <v>-1010.1010101010102</v>
      </c>
      <c r="J196" s="15">
        <v>389</v>
      </c>
      <c r="K196" s="32">
        <f t="shared" si="108"/>
        <v>-1.7676767676767676E-2</v>
      </c>
      <c r="L196" s="18">
        <f>IF(ISNUMBER(J196), $B199 * K196, "")</f>
        <v>-1767.6767676767677</v>
      </c>
      <c r="M196" s="31">
        <v>387</v>
      </c>
      <c r="N196" s="32">
        <f t="shared" si="109"/>
        <v>-2.2727272727272728E-2</v>
      </c>
      <c r="O196" s="18">
        <f>IF(ISNUMBER(M196), $B199 * N196, "")</f>
        <v>-2272.727272727273</v>
      </c>
      <c r="Q196" s="235"/>
      <c r="R196" s="235"/>
      <c r="S196" s="235"/>
    </row>
    <row r="197" spans="1:19">
      <c r="A197" s="162" t="s">
        <v>140</v>
      </c>
      <c r="B197" s="126">
        <v>2240</v>
      </c>
      <c r="C197" s="77">
        <v>-6.8607068600000001E-2</v>
      </c>
      <c r="D197" s="15">
        <v>2130</v>
      </c>
      <c r="E197" s="32">
        <f t="shared" si="106"/>
        <v>-4.9107142857142856E-2</v>
      </c>
      <c r="F197" s="18">
        <f>IF(ISNUMBER(D197), $B199 * E197, "")</f>
        <v>-4910.7142857142853</v>
      </c>
      <c r="G197" s="31">
        <v>2140</v>
      </c>
      <c r="H197" s="32">
        <f t="shared" si="107"/>
        <v>-4.4642857142857144E-2</v>
      </c>
      <c r="I197" s="101">
        <f>IF(ISNUMBER(G197), $B199 * H197, "")</f>
        <v>-4464.2857142857147</v>
      </c>
      <c r="J197" s="15">
        <v>2180</v>
      </c>
      <c r="K197" s="32">
        <f t="shared" si="108"/>
        <v>-2.6785714285714284E-2</v>
      </c>
      <c r="L197" s="18">
        <f>IF(ISNUMBER(J197), $B199 * K197, "")</f>
        <v>-2678.5714285714284</v>
      </c>
      <c r="M197" s="31">
        <v>2105</v>
      </c>
      <c r="N197" s="32">
        <f t="shared" si="109"/>
        <v>-6.0267857142857144E-2</v>
      </c>
      <c r="O197" s="18">
        <f>IF(ISNUMBER(M197), $B199 * N197, "")</f>
        <v>-6026.7857142857147</v>
      </c>
      <c r="Q197" s="224"/>
      <c r="R197" s="225"/>
      <c r="S197" s="226"/>
    </row>
    <row r="198" spans="1:19" ht="17.25" thickBot="1">
      <c r="A198" s="130" t="s">
        <v>190</v>
      </c>
      <c r="B198" s="131">
        <v>60480</v>
      </c>
      <c r="C198" s="79">
        <v>-7.7204760499999997E-2</v>
      </c>
      <c r="D198" s="24">
        <v>56350</v>
      </c>
      <c r="E198" s="25">
        <f t="shared" si="106"/>
        <v>-6.8287037037037035E-2</v>
      </c>
      <c r="F198" s="104">
        <f>IF(ISNUMBER(D198), $B199 * E198, "")</f>
        <v>-6828.7037037037035</v>
      </c>
      <c r="G198" s="102">
        <v>52710</v>
      </c>
      <c r="H198" s="25">
        <f t="shared" si="107"/>
        <v>-0.12847222222222221</v>
      </c>
      <c r="I198" s="103">
        <f>IF(ISNUMBER(G198), $B199 * H198, "")</f>
        <v>-12847.222222222221</v>
      </c>
      <c r="J198" s="24">
        <v>52100</v>
      </c>
      <c r="K198" s="25">
        <f t="shared" si="108"/>
        <v>-0.13855820105820105</v>
      </c>
      <c r="L198" s="104">
        <f>IF(ISNUMBER(J198), $B199 * K198, "")</f>
        <v>-13855.820105820105</v>
      </c>
      <c r="M198" s="102">
        <v>51830</v>
      </c>
      <c r="N198" s="25">
        <f t="shared" si="109"/>
        <v>-0.14302248677248677</v>
      </c>
      <c r="O198" s="104">
        <f>IF(ISNUMBER(M198), $B199 * N198, "")</f>
        <v>-14302.248677248677</v>
      </c>
      <c r="Q198" s="227"/>
      <c r="R198" s="228"/>
      <c r="S198" s="229"/>
    </row>
    <row r="199" spans="1:19" ht="17.25" thickBot="1">
      <c r="A199" s="132" t="s">
        <v>300</v>
      </c>
      <c r="B199" s="288">
        <f>$B$37</f>
        <v>100000</v>
      </c>
      <c r="C199" s="289"/>
      <c r="D199" s="26" t="s">
        <v>301</v>
      </c>
      <c r="E199" s="27">
        <f>IF(COUNT(E179:E198), SUM(E179:E198) / COUNT(E179:E198), 0)</f>
        <v>-2.3050016747193276E-2</v>
      </c>
      <c r="F199" s="28">
        <f>SUM(F179:F198)</f>
        <v>-46100.033494386545</v>
      </c>
      <c r="G199" s="26" t="s">
        <v>301</v>
      </c>
      <c r="H199" s="27">
        <f>IF(COUNT(H179:H198), SUM(H179:H198) / COUNT(H179:H198), 0)</f>
        <v>-4.1138381741835317E-2</v>
      </c>
      <c r="I199" s="28">
        <f>SUM(I179:I198)</f>
        <v>-82276.763483670642</v>
      </c>
      <c r="J199" s="26" t="s">
        <v>301</v>
      </c>
      <c r="K199" s="27">
        <f>IF(COUNT(K179:K198), SUM(K179:K198) / COUNT(K179:K198), 0)</f>
        <v>-4.9029115308744112E-2</v>
      </c>
      <c r="L199" s="28">
        <f>SUM(L179:L198)</f>
        <v>-98058.23061748824</v>
      </c>
      <c r="M199" s="26" t="s">
        <v>301</v>
      </c>
      <c r="N199" s="27">
        <f>IF(COUNT(N179:N198), SUM(N179:N198) / COUNT(N179:N198), 0)</f>
        <v>-5.3244957360456889E-2</v>
      </c>
      <c r="O199" s="28">
        <f>SUM(O179:O198)</f>
        <v>-106489.9147209138</v>
      </c>
      <c r="Q199" s="230"/>
      <c r="R199" s="231"/>
      <c r="S199" s="232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28EF8-1CF2-4BC4-A65E-86375D02BE49}">
  <sheetPr codeName="Sheet18"/>
  <dimension ref="A1:S199"/>
  <sheetViews>
    <sheetView topLeftCell="A93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6" t="s">
        <v>0</v>
      </c>
      <c r="B1" s="247"/>
      <c r="C1" s="247"/>
      <c r="D1" s="247"/>
      <c r="E1" s="247"/>
      <c r="F1" s="248"/>
      <c r="G1" s="277">
        <v>44359</v>
      </c>
      <c r="H1" s="278"/>
      <c r="I1" s="279"/>
      <c r="J1" s="246" t="s">
        <v>1</v>
      </c>
      <c r="K1" s="247"/>
      <c r="L1" s="247"/>
      <c r="M1" s="247"/>
      <c r="N1" s="247"/>
      <c r="O1" s="248"/>
      <c r="Q1" s="246" t="s">
        <v>2</v>
      </c>
      <c r="R1" s="248"/>
    </row>
    <row r="2" spans="1:19" ht="17.25" customHeight="1">
      <c r="A2" s="117" t="s">
        <v>3</v>
      </c>
      <c r="B2" s="280" t="s">
        <v>8</v>
      </c>
      <c r="C2" s="281"/>
      <c r="D2" s="281"/>
      <c r="E2" s="281"/>
      <c r="F2" s="282"/>
      <c r="G2" s="274" t="s">
        <v>46</v>
      </c>
      <c r="H2" s="275"/>
      <c r="I2" s="276"/>
      <c r="J2" s="1" t="s">
        <v>3</v>
      </c>
      <c r="K2" s="280" t="s">
        <v>350</v>
      </c>
      <c r="L2" s="281"/>
      <c r="M2" s="281"/>
      <c r="N2" s="281"/>
      <c r="O2" s="282"/>
      <c r="Q2" s="2" t="s">
        <v>6</v>
      </c>
      <c r="R2" s="3">
        <v>0.375</v>
      </c>
    </row>
    <row r="3" spans="1:19" ht="17.25" customHeight="1" thickBot="1">
      <c r="A3" s="118" t="s">
        <v>7</v>
      </c>
      <c r="B3" s="271" t="s">
        <v>358</v>
      </c>
      <c r="C3" s="272"/>
      <c r="D3" s="272"/>
      <c r="E3" s="272"/>
      <c r="F3" s="273"/>
      <c r="G3" s="26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-173,702 KRW (-8.69%)</v>
      </c>
      <c r="H3" s="268"/>
      <c r="I3" s="269"/>
      <c r="J3" s="4" t="s">
        <v>7</v>
      </c>
      <c r="K3" s="271" t="s">
        <v>351</v>
      </c>
      <c r="L3" s="272"/>
      <c r="M3" s="272"/>
      <c r="N3" s="272"/>
      <c r="O3" s="27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1" t="s">
        <v>16</v>
      </c>
      <c r="C4" s="272"/>
      <c r="D4" s="272"/>
      <c r="E4" s="272"/>
      <c r="F4" s="273"/>
      <c r="G4" s="274" t="s">
        <v>44</v>
      </c>
      <c r="H4" s="275"/>
      <c r="I4" s="276"/>
      <c r="J4" s="4" t="s">
        <v>11</v>
      </c>
      <c r="K4" s="271" t="s">
        <v>352</v>
      </c>
      <c r="L4" s="272"/>
      <c r="M4" s="272"/>
      <c r="N4" s="272"/>
      <c r="O4" s="27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1" t="s">
        <v>349</v>
      </c>
      <c r="C5" s="272"/>
      <c r="D5" s="272"/>
      <c r="E5" s="272"/>
      <c r="F5" s="273"/>
      <c r="G5" s="26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-218,267 KRW (-10.91%)</v>
      </c>
      <c r="H5" s="268"/>
      <c r="I5" s="269"/>
      <c r="J5" s="4" t="s">
        <v>15</v>
      </c>
      <c r="K5" s="271" t="s">
        <v>353</v>
      </c>
      <c r="L5" s="272"/>
      <c r="M5" s="272"/>
      <c r="N5" s="272"/>
      <c r="O5" s="273"/>
    </row>
    <row r="6" spans="1:19">
      <c r="A6" s="118" t="s">
        <v>18</v>
      </c>
      <c r="B6" s="271"/>
      <c r="C6" s="272"/>
      <c r="D6" s="272"/>
      <c r="E6" s="272"/>
      <c r="F6" s="273"/>
      <c r="G6" s="274" t="s">
        <v>45</v>
      </c>
      <c r="H6" s="275"/>
      <c r="I6" s="276"/>
      <c r="J6" s="4" t="s">
        <v>18</v>
      </c>
      <c r="K6" s="271" t="s">
        <v>354</v>
      </c>
      <c r="L6" s="272"/>
      <c r="M6" s="272"/>
      <c r="N6" s="272"/>
      <c r="O6" s="273"/>
    </row>
    <row r="7" spans="1:19" ht="17.25" thickBot="1">
      <c r="A7" s="118" t="s">
        <v>21</v>
      </c>
      <c r="B7" s="271"/>
      <c r="C7" s="272"/>
      <c r="D7" s="272"/>
      <c r="E7" s="272"/>
      <c r="F7" s="273"/>
      <c r="G7" s="26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-182,346 KRW (-9.12%)</v>
      </c>
      <c r="H7" s="268"/>
      <c r="I7" s="269"/>
      <c r="J7" s="4" t="s">
        <v>21</v>
      </c>
      <c r="K7" s="271" t="s">
        <v>355</v>
      </c>
      <c r="L7" s="272"/>
      <c r="M7" s="272"/>
      <c r="N7" s="272"/>
      <c r="O7" s="273"/>
    </row>
    <row r="8" spans="1:19" ht="17.25" thickBot="1">
      <c r="A8" s="118" t="s">
        <v>24</v>
      </c>
      <c r="B8" s="271"/>
      <c r="C8" s="272"/>
      <c r="D8" s="272"/>
      <c r="E8" s="272"/>
      <c r="F8" s="273"/>
      <c r="G8" s="274" t="s">
        <v>285</v>
      </c>
      <c r="H8" s="275"/>
      <c r="I8" s="276"/>
      <c r="J8" s="4" t="s">
        <v>24</v>
      </c>
      <c r="K8" s="271"/>
      <c r="L8" s="272"/>
      <c r="M8" s="272"/>
      <c r="N8" s="272"/>
      <c r="O8" s="273"/>
      <c r="Q8" s="246" t="s">
        <v>27</v>
      </c>
      <c r="R8" s="248"/>
    </row>
    <row r="9" spans="1:19" ht="17.25" thickBot="1">
      <c r="A9" s="118" t="s">
        <v>28</v>
      </c>
      <c r="B9" s="271"/>
      <c r="C9" s="272"/>
      <c r="D9" s="272"/>
      <c r="E9" s="272"/>
      <c r="F9" s="273"/>
      <c r="G9" s="26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-480,339 KRW (-24.02%)</v>
      </c>
      <c r="H9" s="268"/>
      <c r="I9" s="269"/>
      <c r="J9" s="4" t="s">
        <v>28</v>
      </c>
      <c r="K9" s="271"/>
      <c r="L9" s="272"/>
      <c r="M9" s="272"/>
      <c r="N9" s="272"/>
      <c r="O9" s="273"/>
      <c r="Q9" s="2" t="s">
        <v>29</v>
      </c>
      <c r="R9" s="6">
        <v>10</v>
      </c>
    </row>
    <row r="10" spans="1:19">
      <c r="A10" s="118" t="s">
        <v>30</v>
      </c>
      <c r="B10" s="271"/>
      <c r="C10" s="272"/>
      <c r="D10" s="272"/>
      <c r="E10" s="272"/>
      <c r="F10" s="273"/>
      <c r="G10" s="274" t="s">
        <v>47</v>
      </c>
      <c r="H10" s="275"/>
      <c r="I10" s="276"/>
      <c r="J10" s="4" t="s">
        <v>30</v>
      </c>
      <c r="K10" s="271" t="s">
        <v>356</v>
      </c>
      <c r="L10" s="272"/>
      <c r="M10" s="272"/>
      <c r="N10" s="272"/>
      <c r="O10" s="273"/>
      <c r="Q10" s="2" t="s">
        <v>31</v>
      </c>
      <c r="R10" s="6">
        <v>100</v>
      </c>
    </row>
    <row r="11" spans="1:19" ht="17.25" thickBot="1">
      <c r="A11" s="119" t="s">
        <v>32</v>
      </c>
      <c r="B11" s="264" t="s">
        <v>357</v>
      </c>
      <c r="C11" s="265"/>
      <c r="D11" s="265"/>
      <c r="E11" s="265"/>
      <c r="F11" s="266"/>
      <c r="G11" s="26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-54,437 KRW (-10.89%)</v>
      </c>
      <c r="H11" s="268"/>
      <c r="I11" s="269"/>
      <c r="J11" s="7" t="s">
        <v>32</v>
      </c>
      <c r="K11" s="264" t="s">
        <v>348</v>
      </c>
      <c r="L11" s="265"/>
      <c r="M11" s="265"/>
      <c r="N11" s="265"/>
      <c r="O11" s="266"/>
      <c r="Q11" s="65" t="s">
        <v>33</v>
      </c>
      <c r="R11" s="8">
        <v>1000</v>
      </c>
    </row>
    <row r="12" spans="1:19" ht="17.25" thickBot="1"/>
    <row r="13" spans="1:19" ht="17.25" customHeight="1" thickBot="1">
      <c r="A13" s="246" t="s">
        <v>34</v>
      </c>
      <c r="B13" s="247"/>
      <c r="C13" s="247"/>
      <c r="D13" s="247"/>
      <c r="E13" s="247"/>
      <c r="F13" s="247"/>
      <c r="G13" s="247"/>
      <c r="H13" s="247"/>
      <c r="I13" s="247"/>
      <c r="J13" s="247"/>
      <c r="K13" s="247"/>
      <c r="L13" s="247"/>
      <c r="M13" s="247"/>
      <c r="N13" s="247"/>
      <c r="O13" s="248"/>
      <c r="Q13" s="245"/>
      <c r="R13" s="245"/>
      <c r="S13" s="245"/>
    </row>
    <row r="14" spans="1:19" ht="17.25" customHeight="1" thickBot="1">
      <c r="A14" s="204" t="s">
        <v>35</v>
      </c>
      <c r="B14" s="246" t="s">
        <v>36</v>
      </c>
      <c r="C14" s="248"/>
      <c r="D14" s="246" t="s">
        <v>37</v>
      </c>
      <c r="E14" s="247"/>
      <c r="F14" s="248"/>
      <c r="G14" s="249">
        <f>_xlfn.IFNA(VLOOKUP(B14, 현재가테이블!$B$2:$D$200, 2, FALSE), "-")</f>
        <v>45335000</v>
      </c>
      <c r="H14" s="250"/>
      <c r="I14" s="251"/>
      <c r="J14" s="246" t="s">
        <v>38</v>
      </c>
      <c r="K14" s="247"/>
      <c r="L14" s="248"/>
      <c r="M14" s="252">
        <f>_xlfn.IFNA(VLOOKUP(B14, 현재가테이블!$B$2:$D$200, 3, FALSE), "-")</f>
        <v>-2.27209037E-2</v>
      </c>
      <c r="N14" s="253"/>
      <c r="O14" s="254"/>
      <c r="Q14" s="245"/>
      <c r="R14" s="245"/>
      <c r="S14" s="245"/>
    </row>
    <row r="15" spans="1:19" ht="17.25" customHeight="1" thickBot="1">
      <c r="A15" s="283" t="s">
        <v>39</v>
      </c>
      <c r="B15" s="284" t="str">
        <f>TEXT($G$1, "[$-ko-KR]yyyy-mm-dd(ddd) ") &amp; "오전 00:00"</f>
        <v>2021-06-12(토) 오전 00:00</v>
      </c>
      <c r="C15" s="285"/>
      <c r="D15" s="259" t="str">
        <f>TEXT($G$1, "[$-ko-KR]yyyy-mm-dd(ddd) ") &amp; "오후 14:00"</f>
        <v>2021-06-12(토) 오후 14:00</v>
      </c>
      <c r="E15" s="260"/>
      <c r="F15" s="261"/>
      <c r="G15" s="259" t="str">
        <f>TEXT($G$1, "[$-ko-KR]yyyy-mm-dd(ddd) ") &amp; "오후 19:00"</f>
        <v>2021-06-12(토) 오후 19:00</v>
      </c>
      <c r="H15" s="260"/>
      <c r="I15" s="261"/>
      <c r="J15" s="259" t="str">
        <f>TEXT($G$1, "[$-ko-KR]yyyy-mm-dd(ddd) ") &amp; "오후 21:00"</f>
        <v>2021-06-12(토) 오후 21:00</v>
      </c>
      <c r="K15" s="260"/>
      <c r="L15" s="261"/>
      <c r="M15" s="259" t="str">
        <f>TEXT($G$1+1, "[$-ko-KR]yyyy-mm-dd(ddd) ") &amp; "오전 00:00"</f>
        <v>2021-06-13(일) 오전 00:00</v>
      </c>
      <c r="N15" s="260"/>
      <c r="O15" s="261"/>
      <c r="Q15" s="245"/>
      <c r="R15" s="245"/>
      <c r="S15" s="245"/>
    </row>
    <row r="16" spans="1:19" ht="17.25" customHeight="1" thickBot="1">
      <c r="A16" s="28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5" t="s">
        <v>37</v>
      </c>
      <c r="H16" s="206" t="s">
        <v>40</v>
      </c>
      <c r="I16" s="20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5"/>
      <c r="R16" s="235"/>
      <c r="S16" s="235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86.8</v>
      </c>
      <c r="C17" s="76">
        <f>IF(NOT(ISBLANK(_xlfn.IFNA(VLOOKUP($A17, $A$40:$O$199, 3, FALSE), ))), _xlfn.IFNA(VLOOKUP($A17, $A$40:$O$199, 3, FALSE), ), "")</f>
        <v>-3.4482758600000003E-2</v>
      </c>
      <c r="D17" s="13">
        <f>IF(NOT(ISBLANK(_xlfn.IFNA(VLOOKUP($A17, $A$40:$O$199, 4, FALSE), ))), _xlfn.IFNA(VLOOKUP($A17, $A$40:$O$199, 4, FALSE), ), "")</f>
        <v>75.7</v>
      </c>
      <c r="E17" s="14">
        <f>IF(NOT(ISBLANK(_xlfn.IFNA(VLOOKUP($A17, $A$40:$O$199, 5, FALSE), ))), _xlfn.IFNA(VLOOKUP($A17, $A$40:$O$199, 5, FALSE), ), "")</f>
        <v>-0.12788018433179718</v>
      </c>
      <c r="F17" s="16">
        <f>IF(NOT(ISBLANK(_xlfn.IFNA(VLOOKUP($A17, $A$40:$O$199, 6, FALSE), ))), _xlfn.IFNA(VLOOKUP($A17, $A$40:$O$199, 6, FALSE), ), "")</f>
        <v>-12788.018433179717</v>
      </c>
      <c r="G17" s="29">
        <f>IF(NOT(ISBLANK(_xlfn.IFNA(VLOOKUP($A17, $A$40:$O$199, 7, FALSE), ))), _xlfn.IFNA(VLOOKUP($A17, $A$40:$O$199, 7, FALSE), ), "")</f>
        <v>75.8</v>
      </c>
      <c r="H17" s="14">
        <f>IF(NOT(ISBLANK(_xlfn.IFNA(VLOOKUP($A17, $A$40:$O$199, 8, FALSE), ))), _xlfn.IFNA(VLOOKUP($A17, $A$40:$O$199, 8, FALSE), ), "")</f>
        <v>-0.12672811059907835</v>
      </c>
      <c r="I17" s="100">
        <f>IF(NOT(ISBLANK(_xlfn.IFNA(VLOOKUP($A17, $A$40:$O$199, 9, FALSE), ))), _xlfn.IFNA(VLOOKUP($A17, $A$40:$O$199, 9, FALSE), ), "")</f>
        <v>-12672.811059907835</v>
      </c>
      <c r="J17" s="13">
        <f>IF(NOT(ISBLANK(_xlfn.IFNA(VLOOKUP($A17, $A$40:$O$199, 10, FALSE), ))), _xlfn.IFNA(VLOOKUP($A17, $A$40:$O$199, 10, FALSE), ), "")</f>
        <v>76</v>
      </c>
      <c r="K17" s="14">
        <f>IF(NOT(ISBLANK(_xlfn.IFNA(VLOOKUP($A17, $A$40:$O$199, 11, FALSE), ))), _xlfn.IFNA(VLOOKUP($A17, $A$40:$O$199, 11, FALSE), ), "")</f>
        <v>-0.12442396313364053</v>
      </c>
      <c r="L17" s="16">
        <f>IF(NOT(ISBLANK(_xlfn.IFNA(VLOOKUP($A17, $A$40:$O$199, 12, FALSE), ))), _xlfn.IFNA(VLOOKUP($A17, $A$40:$O$199, 12, FALSE), ), "")</f>
        <v>-12442.396313364054</v>
      </c>
      <c r="M17" s="29">
        <f>IF(NOT(ISBLANK(_xlfn.IFNA(VLOOKUP($A17, $A$40:$O$199, 13, FALSE), ))), _xlfn.IFNA(VLOOKUP($A17, $A$40:$O$199, 13, FALSE), ), "")</f>
        <v>77.7</v>
      </c>
      <c r="N17" s="14">
        <f>IF(NOT(ISBLANK(_xlfn.IFNA(VLOOKUP($A17, $A$40:$O$199, 14, FALSE), ))), _xlfn.IFNA(VLOOKUP($A17, $A$40:$O$199, 14, FALSE), ), "")</f>
        <v>-0.10483870967741929</v>
      </c>
      <c r="O17" s="16">
        <f>IF(NOT(ISBLANK(_xlfn.IFNA(VLOOKUP($A17, $A$40:$O$199, 15, FALSE), ))), _xlfn.IFNA(VLOOKUP($A17, $A$40:$O$199, 15, FALSE), ), "")</f>
        <v>-10483.870967741928</v>
      </c>
      <c r="Q17" s="245"/>
      <c r="R17" s="245"/>
      <c r="S17" s="245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62.8</v>
      </c>
      <c r="C18" s="77">
        <f t="shared" ref="C18:C36" si="1">IF(NOT(ISBLANK(_xlfn.IFNA(VLOOKUP($A18, $A$40:$O$199, 3, FALSE), ))), _xlfn.IFNA(VLOOKUP($A18, $A$40:$O$199, 3, FALSE), ), "")</f>
        <v>-0.1104815864</v>
      </c>
      <c r="D18" s="15">
        <f t="shared" ref="D18:D36" si="2">IF(NOT(ISBLANK(_xlfn.IFNA(VLOOKUP($A18, $A$40:$O$199, 4, FALSE), ))), _xlfn.IFNA(VLOOKUP($A18, $A$40:$O$199, 4, FALSE), ), "")</f>
        <v>55.2</v>
      </c>
      <c r="E18" s="32">
        <f t="shared" ref="E18:E36" si="3">IF(NOT(ISBLANK(_xlfn.IFNA(VLOOKUP($A18, $A$40:$O$199, 5, FALSE), ))), _xlfn.IFNA(VLOOKUP($A18, $A$40:$O$199, 5, FALSE), ), "")</f>
        <v>-0.12101910828025469</v>
      </c>
      <c r="F18" s="18">
        <f t="shared" ref="F18:F36" si="4">IF(NOT(ISBLANK(_xlfn.IFNA(VLOOKUP($A18, $A$40:$O$199, 6, FALSE), ))), _xlfn.IFNA(VLOOKUP($A18, $A$40:$O$199, 6, FALSE), ), "")</f>
        <v>-12101.91082802547</v>
      </c>
      <c r="G18" s="31">
        <f t="shared" ref="G18:G36" si="5">IF(NOT(ISBLANK(_xlfn.IFNA(VLOOKUP($A18, $A$40:$O$199, 7, FALSE), ))), _xlfn.IFNA(VLOOKUP($A18, $A$40:$O$199, 7, FALSE), ), "")</f>
        <v>51.4</v>
      </c>
      <c r="H18" s="32">
        <f t="shared" ref="H18:H36" si="6">IF(NOT(ISBLANK(_xlfn.IFNA(VLOOKUP($A18, $A$40:$O$199, 8, FALSE), ))), _xlfn.IFNA(VLOOKUP($A18, $A$40:$O$199, 8, FALSE), ), "")</f>
        <v>-0.18152866242038215</v>
      </c>
      <c r="I18" s="101">
        <f t="shared" ref="I18:I36" si="7">IF(NOT(ISBLANK(_xlfn.IFNA(VLOOKUP($A18, $A$40:$O$199, 9, FALSE), ))), _xlfn.IFNA(VLOOKUP($A18, $A$40:$O$199, 9, FALSE), ), "")</f>
        <v>-18152.866242038217</v>
      </c>
      <c r="J18" s="15">
        <f t="shared" ref="J18:J36" si="8">IF(NOT(ISBLANK(_xlfn.IFNA(VLOOKUP($A18, $A$40:$O$199, 10, FALSE), ))), _xlfn.IFNA(VLOOKUP($A18, $A$40:$O$199, 10, FALSE), ), "")</f>
        <v>52.7</v>
      </c>
      <c r="K18" s="32">
        <f t="shared" ref="K18:K36" si="9">IF(NOT(ISBLANK(_xlfn.IFNA(VLOOKUP($A18, $A$40:$O$199, 11, FALSE), ))), _xlfn.IFNA(VLOOKUP($A18, $A$40:$O$199, 11, FALSE), ), "")</f>
        <v>-0.16082802547770692</v>
      </c>
      <c r="L18" s="18">
        <f t="shared" ref="L18:L36" si="10">IF(NOT(ISBLANK(_xlfn.IFNA(VLOOKUP($A18, $A$40:$O$199, 12, FALSE), ))), _xlfn.IFNA(VLOOKUP($A18, $A$40:$O$199, 12, FALSE), ), "")</f>
        <v>-16082.802547770692</v>
      </c>
      <c r="M18" s="31">
        <f t="shared" ref="M18:M36" si="11">IF(NOT(ISBLANK(_xlfn.IFNA(VLOOKUP($A18, $A$40:$O$199, 13, FALSE), ))), _xlfn.IFNA(VLOOKUP($A18, $A$40:$O$199, 13, FALSE), ), "")</f>
        <v>53.3</v>
      </c>
      <c r="N18" s="32">
        <f t="shared" ref="N18:N36" si="12">IF(NOT(ISBLANK(_xlfn.IFNA(VLOOKUP($A18, $A$40:$O$199, 14, FALSE), ))), _xlfn.IFNA(VLOOKUP($A18, $A$40:$O$199, 14, FALSE), ), "")</f>
        <v>-0.15127388535031847</v>
      </c>
      <c r="O18" s="18">
        <f t="shared" ref="O18:O36" si="13">IF(NOT(ISBLANK(_xlfn.IFNA(VLOOKUP($A18, $A$40:$O$199, 15, FALSE), ))), _xlfn.IFNA(VLOOKUP($A18, $A$40:$O$199, 15, FALSE), ), "")</f>
        <v>-15127.388535031847</v>
      </c>
      <c r="Q18" s="245"/>
      <c r="R18" s="245"/>
      <c r="S18" s="245"/>
    </row>
    <row r="19" spans="1:19" ht="17.25" customHeight="1" thickBot="1">
      <c r="A19" s="162" t="s">
        <v>202</v>
      </c>
      <c r="B19" s="126">
        <f t="shared" si="0"/>
        <v>105</v>
      </c>
      <c r="C19" s="77">
        <f t="shared" si="1"/>
        <v>-9.4827586199999994E-2</v>
      </c>
      <c r="D19" s="15">
        <f t="shared" si="2"/>
        <v>87</v>
      </c>
      <c r="E19" s="32">
        <f t="shared" si="3"/>
        <v>-0.17142857142857143</v>
      </c>
      <c r="F19" s="18">
        <f t="shared" si="4"/>
        <v>-17142.857142857141</v>
      </c>
      <c r="G19" s="31">
        <f t="shared" si="5"/>
        <v>87.4</v>
      </c>
      <c r="H19" s="32">
        <f t="shared" si="6"/>
        <v>-0.16761904761904756</v>
      </c>
      <c r="I19" s="101">
        <f t="shared" si="7"/>
        <v>-16761.904761904756</v>
      </c>
      <c r="J19" s="15">
        <f t="shared" si="8"/>
        <v>88.2</v>
      </c>
      <c r="K19" s="32">
        <f t="shared" si="9"/>
        <v>-0.15999999999999998</v>
      </c>
      <c r="L19" s="18">
        <f t="shared" si="10"/>
        <v>-15999.999999999998</v>
      </c>
      <c r="M19" s="31">
        <f t="shared" si="11"/>
        <v>88.6</v>
      </c>
      <c r="N19" s="32">
        <f t="shared" si="12"/>
        <v>-0.15619047619047624</v>
      </c>
      <c r="O19" s="18">
        <f t="shared" si="13"/>
        <v>-15619.047619047624</v>
      </c>
      <c r="Q19" s="235"/>
      <c r="R19" s="235"/>
      <c r="S19" s="235"/>
    </row>
    <row r="20" spans="1:19" ht="17.25" customHeight="1" thickBot="1">
      <c r="A20" s="162" t="s">
        <v>120</v>
      </c>
      <c r="B20" s="126">
        <f t="shared" si="0"/>
        <v>139</v>
      </c>
      <c r="C20" s="77">
        <f t="shared" si="1"/>
        <v>7.2463768E-3</v>
      </c>
      <c r="D20" s="15">
        <f t="shared" si="2"/>
        <v>131</v>
      </c>
      <c r="E20" s="32">
        <f t="shared" si="3"/>
        <v>-5.7553956834532377E-2</v>
      </c>
      <c r="F20" s="18">
        <f t="shared" si="4"/>
        <v>-5755.3956834532373</v>
      </c>
      <c r="G20" s="31">
        <f t="shared" si="5"/>
        <v>130</v>
      </c>
      <c r="H20" s="32">
        <f t="shared" si="6"/>
        <v>-6.4748201438848921E-2</v>
      </c>
      <c r="I20" s="101">
        <f t="shared" si="7"/>
        <v>-6474.8201438848919</v>
      </c>
      <c r="J20" s="15">
        <f t="shared" si="8"/>
        <v>131</v>
      </c>
      <c r="K20" s="32">
        <f t="shared" si="9"/>
        <v>-5.7553956834532377E-2</v>
      </c>
      <c r="L20" s="18">
        <f t="shared" si="10"/>
        <v>-5755.3956834532373</v>
      </c>
      <c r="M20" s="31">
        <f t="shared" si="11"/>
        <v>131</v>
      </c>
      <c r="N20" s="32">
        <f t="shared" si="12"/>
        <v>-5.7553956834532377E-2</v>
      </c>
      <c r="O20" s="18">
        <f t="shared" si="13"/>
        <v>-5755.3956834532373</v>
      </c>
      <c r="Q20" s="235"/>
      <c r="R20" s="235"/>
      <c r="S20" s="235"/>
    </row>
    <row r="21" spans="1:19" ht="17.25" customHeight="1" thickBot="1">
      <c r="A21" s="163" t="s">
        <v>246</v>
      </c>
      <c r="B21" s="128">
        <f t="shared" si="0"/>
        <v>255</v>
      </c>
      <c r="C21" s="78">
        <f t="shared" si="1"/>
        <v>-0.1414141414</v>
      </c>
      <c r="D21" s="20">
        <f t="shared" si="2"/>
        <v>231</v>
      </c>
      <c r="E21" s="21">
        <f t="shared" si="3"/>
        <v>-9.4117647058823528E-2</v>
      </c>
      <c r="F21" s="22">
        <f t="shared" si="4"/>
        <v>-9411.7647058823532</v>
      </c>
      <c r="G21" s="30">
        <f t="shared" si="5"/>
        <v>230</v>
      </c>
      <c r="H21" s="21">
        <f t="shared" si="6"/>
        <v>-9.8039215686274508E-2</v>
      </c>
      <c r="I21" s="105">
        <f t="shared" si="7"/>
        <v>-9803.9215686274511</v>
      </c>
      <c r="J21" s="20">
        <f t="shared" si="8"/>
        <v>232</v>
      </c>
      <c r="K21" s="21">
        <f t="shared" si="9"/>
        <v>-9.0196078431372548E-2</v>
      </c>
      <c r="L21" s="22">
        <f t="shared" si="10"/>
        <v>-9019.6078431372553</v>
      </c>
      <c r="M21" s="30">
        <f t="shared" si="11"/>
        <v>236</v>
      </c>
      <c r="N21" s="21">
        <f t="shared" si="12"/>
        <v>-7.4509803921568626E-2</v>
      </c>
      <c r="O21" s="22">
        <f t="shared" si="13"/>
        <v>-7450.9803921568628</v>
      </c>
      <c r="Q21" s="235"/>
      <c r="R21" s="235"/>
      <c r="S21" s="235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5"/>
      <c r="R22" s="235"/>
      <c r="S22" s="235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5"/>
      <c r="R23" s="235"/>
      <c r="S23" s="235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5"/>
      <c r="R24" s="235"/>
      <c r="S24" s="235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6"/>
      <c r="R26" s="237"/>
      <c r="S26" s="238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9"/>
      <c r="R27" s="240"/>
      <c r="S27" s="241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2"/>
      <c r="R28" s="243"/>
      <c r="S28" s="244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5"/>
      <c r="R29" s="235"/>
      <c r="S29" s="235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5"/>
      <c r="R30" s="245"/>
      <c r="S30" s="245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5"/>
      <c r="R31" s="245"/>
      <c r="S31" s="24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5"/>
      <c r="R32" s="235"/>
      <c r="S32" s="235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5"/>
      <c r="R33" s="235"/>
      <c r="S33" s="235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5"/>
      <c r="R34" s="235"/>
      <c r="S34" s="235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4"/>
      <c r="R35" s="225"/>
      <c r="S35" s="22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7"/>
      <c r="R36" s="228"/>
      <c r="S36" s="229"/>
    </row>
    <row r="37" spans="1:19" ht="17.25" customHeight="1" thickBot="1">
      <c r="A37" s="132" t="s">
        <v>42</v>
      </c>
      <c r="B37" s="288">
        <v>100000</v>
      </c>
      <c r="C37" s="289"/>
      <c r="D37" s="26" t="s">
        <v>43</v>
      </c>
      <c r="E37" s="27">
        <f>IF(COUNT(E17:E36), SUM(E17:E36) / COUNT(E17:E36), 0)</f>
        <v>-0.11439989358679584</v>
      </c>
      <c r="F37" s="28">
        <f>SUM(F17:F36)</f>
        <v>-57199.946793397918</v>
      </c>
      <c r="G37" s="26" t="s">
        <v>43</v>
      </c>
      <c r="H37" s="27">
        <f>IF(COUNT(H17:H36), SUM(H17:H36) / COUNT(H17:H36), 0)</f>
        <v>-0.12773264755272631</v>
      </c>
      <c r="I37" s="28">
        <f>SUM(I17:I36)</f>
        <v>-63866.323776363148</v>
      </c>
      <c r="J37" s="26" t="s">
        <v>43</v>
      </c>
      <c r="K37" s="27">
        <f>IF(COUNT(K17:K36), SUM(K17:K36) / COUNT(K17:K36), 0)</f>
        <v>-0.11860040477545046</v>
      </c>
      <c r="L37" s="28">
        <f>SUM(L17:L36)</f>
        <v>-59300.202387725236</v>
      </c>
      <c r="M37" s="26" t="s">
        <v>43</v>
      </c>
      <c r="N37" s="27">
        <f>IF(COUNT(N17:N36), SUM(N17:N36) / COUNT(N17:N36), 0)</f>
        <v>-0.10887336639486297</v>
      </c>
      <c r="O37" s="28">
        <f>SUM(O17:O36)</f>
        <v>-54436.683197431499</v>
      </c>
      <c r="Q37" s="230"/>
      <c r="R37" s="231"/>
      <c r="S37" s="232"/>
    </row>
    <row r="38" spans="1:19" ht="17.25" customHeight="1"/>
    <row r="39" spans="1:19" ht="17.25" customHeight="1" thickBot="1"/>
    <row r="40" spans="1:19" ht="17.25" customHeight="1" thickBot="1">
      <c r="A40" s="246" t="s">
        <v>44</v>
      </c>
      <c r="B40" s="247"/>
      <c r="C40" s="247"/>
      <c r="D40" s="247"/>
      <c r="E40" s="247"/>
      <c r="F40" s="247"/>
      <c r="G40" s="247"/>
      <c r="H40" s="247"/>
      <c r="I40" s="247"/>
      <c r="J40" s="247"/>
      <c r="K40" s="247"/>
      <c r="L40" s="247"/>
      <c r="M40" s="247"/>
      <c r="N40" s="247"/>
      <c r="O40" s="248"/>
      <c r="Q40" s="245"/>
      <c r="R40" s="245"/>
      <c r="S40" s="245"/>
    </row>
    <row r="41" spans="1:19" ht="17.25" customHeight="1" thickBot="1">
      <c r="A41" s="204" t="s">
        <v>297</v>
      </c>
      <c r="B41" s="246" t="s">
        <v>49</v>
      </c>
      <c r="C41" s="248"/>
      <c r="D41" s="246" t="s">
        <v>58</v>
      </c>
      <c r="E41" s="247"/>
      <c r="F41" s="248"/>
      <c r="G41" s="249">
        <f>_xlfn.IFNA(VLOOKUP(B41, 현재가테이블!$B$2:$D$200, 2, FALSE), "-")</f>
        <v>45335000</v>
      </c>
      <c r="H41" s="250"/>
      <c r="I41" s="251"/>
      <c r="J41" s="246" t="s">
        <v>59</v>
      </c>
      <c r="K41" s="247"/>
      <c r="L41" s="248"/>
      <c r="M41" s="252">
        <f>_xlfn.IFNA(VLOOKUP(B41, 현재가테이블!$B$2:$D$200, 3, FALSE), "-")</f>
        <v>-2.27209037E-2</v>
      </c>
      <c r="N41" s="253"/>
      <c r="O41" s="254"/>
      <c r="Q41" s="245"/>
      <c r="R41" s="245"/>
      <c r="S41" s="245"/>
    </row>
    <row r="42" spans="1:19" ht="17.25" customHeight="1" thickBot="1">
      <c r="A42" s="290" t="s">
        <v>55</v>
      </c>
      <c r="B42" s="286" t="str">
        <f>TEXT($G$1, "[$-ko-KR]yyyy-mm-dd(ddd) ") &amp; "오전 00:00"</f>
        <v>2021-06-12(토) 오전 00:00</v>
      </c>
      <c r="C42" s="287"/>
      <c r="D42" s="259" t="str">
        <f>TEXT($G$1, "[$-ko-KR]yyyy-mm-dd(ddd) ") &amp; "오후 14:00"</f>
        <v>2021-06-12(토) 오후 14:00</v>
      </c>
      <c r="E42" s="260"/>
      <c r="F42" s="261"/>
      <c r="G42" s="259" t="str">
        <f>TEXT($G$1, "[$-ko-KR]yyyy-mm-dd(ddd) ") &amp; "오후 19:00"</f>
        <v>2021-06-12(토) 오후 19:00</v>
      </c>
      <c r="H42" s="260"/>
      <c r="I42" s="261"/>
      <c r="J42" s="259" t="str">
        <f>TEXT($G$1, "[$-ko-KR]yyyy-mm-dd(ddd) ") &amp; "오후 21:00"</f>
        <v>2021-06-12(토) 오후 21:00</v>
      </c>
      <c r="K42" s="260"/>
      <c r="L42" s="261"/>
      <c r="M42" s="259" t="str">
        <f>TEXT($G$1+1, "[$-ko-KR]yyyy-mm-dd(ddd) ") &amp; "오전 00:00"</f>
        <v>2021-06-13(일) 오전 00:00</v>
      </c>
      <c r="N42" s="260"/>
      <c r="O42" s="261"/>
      <c r="Q42" s="245"/>
      <c r="R42" s="245"/>
      <c r="S42" s="245"/>
    </row>
    <row r="43" spans="1:19" ht="17.25" customHeight="1" thickBot="1">
      <c r="A43" s="291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205" t="s">
        <v>58</v>
      </c>
      <c r="H43" s="206" t="s">
        <v>298</v>
      </c>
      <c r="I43" s="207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5"/>
      <c r="R43" s="235"/>
      <c r="S43" s="235"/>
    </row>
    <row r="44" spans="1:19" ht="17.25" customHeight="1" thickBot="1">
      <c r="A44" s="161" t="s">
        <v>266</v>
      </c>
      <c r="B44" s="124">
        <v>70.8</v>
      </c>
      <c r="C44" s="76">
        <v>0.2421052632</v>
      </c>
      <c r="D44" s="13">
        <v>55.8</v>
      </c>
      <c r="E44" s="14">
        <f>IF(ISNUMBER(D44), (D44 - $B44) / $B44, "")</f>
        <v>-0.21186440677966104</v>
      </c>
      <c r="F44" s="16">
        <f>IF(ISNUMBER(D44), $B64 * E44, "")</f>
        <v>-21186.440677966104</v>
      </c>
      <c r="G44" s="29">
        <v>55.5</v>
      </c>
      <c r="H44" s="14">
        <f>IF(ISNUMBER(G44), (G44 - $B44) / $B44, "")</f>
        <v>-0.21610169491525422</v>
      </c>
      <c r="I44" s="100">
        <f>IF(ISNUMBER(G44), $B64 * H44, "")</f>
        <v>-21610.169491525423</v>
      </c>
      <c r="J44" s="13">
        <v>56.3</v>
      </c>
      <c r="K44" s="14">
        <f>IF(ISNUMBER(J44), (J44 - $B44) / $B44, "")</f>
        <v>-0.20480225988700565</v>
      </c>
      <c r="L44" s="16">
        <f>IF(ISNUMBER(J44), $B64 * K44, "")</f>
        <v>-20480.225988700564</v>
      </c>
      <c r="M44" s="29">
        <v>56.6</v>
      </c>
      <c r="N44" s="14">
        <f>IF(ISNUMBER(M44), (M44 - $B44) / $B44, "")</f>
        <v>-0.20056497175141239</v>
      </c>
      <c r="O44" s="16">
        <f>IF(ISNUMBER(M44), $B64 * N44, "")</f>
        <v>-20056.497175141238</v>
      </c>
      <c r="Q44" s="245"/>
      <c r="R44" s="245"/>
      <c r="S44" s="245"/>
    </row>
    <row r="45" spans="1:19" ht="17.25" customHeight="1" thickBot="1">
      <c r="A45" s="162" t="s">
        <v>126</v>
      </c>
      <c r="B45" s="126">
        <v>27.2</v>
      </c>
      <c r="C45" s="77">
        <v>0</v>
      </c>
      <c r="D45" s="15">
        <v>23.5</v>
      </c>
      <c r="E45" s="32">
        <f t="shared" ref="E45:E48" si="14">IF(ISNUMBER(D45), (D45 - $B45) / $B45, "")</f>
        <v>-0.13602941176470587</v>
      </c>
      <c r="F45" s="18">
        <f>IF(ISNUMBER(D45), $B64 * E45, "")</f>
        <v>-13602.941176470587</v>
      </c>
      <c r="G45" s="31">
        <v>23.9</v>
      </c>
      <c r="H45" s="32">
        <f t="shared" ref="H45:H48" si="15">IF(ISNUMBER(G45), (G45 - $B45) / $B45, "")</f>
        <v>-0.12132352941176473</v>
      </c>
      <c r="I45" s="101">
        <f>IF(ISNUMBER(G45), $B64 * H45, "")</f>
        <v>-12132.352941176474</v>
      </c>
      <c r="J45" s="15">
        <v>24.3</v>
      </c>
      <c r="K45" s="32">
        <f t="shared" ref="K45:K48" si="16">IF(ISNUMBER(J45), (J45 - $B45) / $B45, "")</f>
        <v>-0.10661764705882348</v>
      </c>
      <c r="L45" s="18">
        <f>IF(ISNUMBER(J45), $B64 * K45, "")</f>
        <v>-10661.764705882348</v>
      </c>
      <c r="M45" s="31">
        <v>24.2</v>
      </c>
      <c r="N45" s="32">
        <f t="shared" ref="N45:N48" si="17">IF(ISNUMBER(M45), (M45 - $B45) / $B45, "")</f>
        <v>-0.11029411764705882</v>
      </c>
      <c r="O45" s="18">
        <f>IF(ISNUMBER(M45), $B64 * N45, "")</f>
        <v>-11029.411764705883</v>
      </c>
      <c r="Q45" s="245"/>
      <c r="R45" s="245"/>
      <c r="S45" s="245"/>
    </row>
    <row r="46" spans="1:19" ht="17.25" customHeight="1" thickBot="1">
      <c r="A46" s="162" t="s">
        <v>72</v>
      </c>
      <c r="B46" s="126">
        <v>20</v>
      </c>
      <c r="C46" s="77">
        <v>-4.9751244000000002E-3</v>
      </c>
      <c r="D46" s="15">
        <v>18.100000000000001</v>
      </c>
      <c r="E46" s="32">
        <f t="shared" si="14"/>
        <v>-9.4999999999999932E-2</v>
      </c>
      <c r="F46" s="18">
        <f>IF(ISNUMBER(D46), $B64 * E46, "")</f>
        <v>-9499.9999999999927</v>
      </c>
      <c r="G46" s="31">
        <v>17.8</v>
      </c>
      <c r="H46" s="32">
        <f t="shared" si="15"/>
        <v>-0.10999999999999996</v>
      </c>
      <c r="I46" s="101">
        <f>IF(ISNUMBER(G46), $B64 * H46, "")</f>
        <v>-10999.999999999996</v>
      </c>
      <c r="J46" s="15">
        <v>17.899999999999999</v>
      </c>
      <c r="K46" s="32">
        <f t="shared" si="16"/>
        <v>-0.10500000000000007</v>
      </c>
      <c r="L46" s="18">
        <f>IF(ISNUMBER(J46), $B64 * K46, "")</f>
        <v>-10500.000000000007</v>
      </c>
      <c r="M46" s="31">
        <v>18.100000000000001</v>
      </c>
      <c r="N46" s="32">
        <f t="shared" si="17"/>
        <v>-9.4999999999999932E-2</v>
      </c>
      <c r="O46" s="18">
        <f>IF(ISNUMBER(M46), $B64 * N46, "")</f>
        <v>-9499.9999999999927</v>
      </c>
      <c r="Q46" s="235"/>
      <c r="R46" s="235"/>
      <c r="S46" s="235"/>
    </row>
    <row r="47" spans="1:19" ht="17.25" customHeight="1" thickBot="1">
      <c r="A47" s="162" t="s">
        <v>65</v>
      </c>
      <c r="B47" s="126">
        <v>33.5</v>
      </c>
      <c r="C47" s="77">
        <v>-5.9347180999999999E-3</v>
      </c>
      <c r="D47" s="15">
        <v>30.6</v>
      </c>
      <c r="E47" s="32">
        <f t="shared" si="14"/>
        <v>-8.6567164179104442E-2</v>
      </c>
      <c r="F47" s="18">
        <f>IF(ISNUMBER(D47), $B64 * E47, "")</f>
        <v>-8656.7164179104439</v>
      </c>
      <c r="G47" s="31">
        <v>31.1</v>
      </c>
      <c r="H47" s="32">
        <f t="shared" si="15"/>
        <v>-7.1641791044776082E-2</v>
      </c>
      <c r="I47" s="101">
        <f>IF(ISNUMBER(G47), $B64 * H47, "")</f>
        <v>-7164.1791044776082</v>
      </c>
      <c r="J47" s="15">
        <v>31.7</v>
      </c>
      <c r="K47" s="32">
        <f t="shared" si="16"/>
        <v>-5.373134328358211E-2</v>
      </c>
      <c r="L47" s="18">
        <f>IF(ISNUMBER(J47), $B64 * K47, "")</f>
        <v>-5373.134328358211</v>
      </c>
      <c r="M47" s="31">
        <v>31.3</v>
      </c>
      <c r="N47" s="32">
        <f t="shared" si="17"/>
        <v>-6.567164179104476E-2</v>
      </c>
      <c r="O47" s="18">
        <f>IF(ISNUMBER(M47), $B64 * N47, "")</f>
        <v>-6567.1641791044758</v>
      </c>
      <c r="Q47" s="235"/>
      <c r="R47" s="235"/>
      <c r="S47" s="235"/>
    </row>
    <row r="48" spans="1:19" ht="17.25" customHeight="1" thickBot="1">
      <c r="A48" s="163" t="s">
        <v>100</v>
      </c>
      <c r="B48" s="128">
        <v>4.13</v>
      </c>
      <c r="C48" s="78">
        <v>-1.9002375299999999E-2</v>
      </c>
      <c r="D48" s="20">
        <v>3.9</v>
      </c>
      <c r="E48" s="21">
        <f t="shared" si="14"/>
        <v>-5.569007263922518E-2</v>
      </c>
      <c r="F48" s="22">
        <f>IF(ISNUMBER(D48), $B64 * E48, "")</f>
        <v>-5569.0072639225182</v>
      </c>
      <c r="G48" s="30">
        <v>3.92</v>
      </c>
      <c r="H48" s="21">
        <f t="shared" si="15"/>
        <v>-5.0847457627118633E-2</v>
      </c>
      <c r="I48" s="105">
        <f>IF(ISNUMBER(G48), $B64 * H48, "")</f>
        <v>-5084.7457627118638</v>
      </c>
      <c r="J48" s="20">
        <v>3.99</v>
      </c>
      <c r="K48" s="21">
        <f t="shared" si="16"/>
        <v>-3.3898305084745686E-2</v>
      </c>
      <c r="L48" s="22">
        <f>IF(ISNUMBER(J48), $B64 * K48, "")</f>
        <v>-3389.8305084745684</v>
      </c>
      <c r="M48" s="30">
        <v>3.93</v>
      </c>
      <c r="N48" s="21">
        <f t="shared" si="17"/>
        <v>-4.8426150121065312E-2</v>
      </c>
      <c r="O48" s="22">
        <f>IF(ISNUMBER(M48), $B64 * N48, "")</f>
        <v>-4842.6150121065311</v>
      </c>
      <c r="Q48" s="235"/>
      <c r="R48" s="235"/>
      <c r="S48" s="235"/>
    </row>
    <row r="49" spans="1:19" ht="17.25" customHeight="1" thickBot="1">
      <c r="A49" s="162" t="s">
        <v>278</v>
      </c>
      <c r="B49" s="129">
        <v>76</v>
      </c>
      <c r="C49" s="80">
        <v>-2.0618556699999999E-2</v>
      </c>
      <c r="D49" s="106">
        <v>67.2</v>
      </c>
      <c r="E49" s="107">
        <f>IF(ISNUMBER(D49), (D49 - $B49) / $B49, "")</f>
        <v>-0.11578947368421048</v>
      </c>
      <c r="F49" s="108">
        <f>IF(ISNUMBER(D49), $B64 * E49, "")</f>
        <v>-11578.947368421048</v>
      </c>
      <c r="G49" s="109">
        <v>67.8</v>
      </c>
      <c r="H49" s="107">
        <f>IF(ISNUMBER(G49), (G49 - $B49) / $B49, "")</f>
        <v>-0.10789473684210531</v>
      </c>
      <c r="I49" s="110">
        <f>IF(ISNUMBER(G49), $B64 * H49, "")</f>
        <v>-10789.47368421053</v>
      </c>
      <c r="J49" s="106">
        <v>70</v>
      </c>
      <c r="K49" s="107">
        <f>IF(ISNUMBER(J49), (J49 - $B49) / $B49, "")</f>
        <v>-7.8947368421052627E-2</v>
      </c>
      <c r="L49" s="108">
        <f>IF(ISNUMBER(J49), $B64 * K49, "")</f>
        <v>-7894.7368421052624</v>
      </c>
      <c r="M49" s="109">
        <v>69.099999999999994</v>
      </c>
      <c r="N49" s="107">
        <f>IF(ISNUMBER(M49), (M49 - $B49) / $B49, "")</f>
        <v>-9.07894736842106E-2</v>
      </c>
      <c r="O49" s="108">
        <f>IF(ISNUMBER(M49), $B64 * N49, "")</f>
        <v>-9078.9473684210607</v>
      </c>
      <c r="Q49" s="235"/>
      <c r="R49" s="235"/>
      <c r="S49" s="235"/>
    </row>
    <row r="50" spans="1:19" ht="17.25" customHeight="1" thickBot="1">
      <c r="A50" s="162" t="s">
        <v>156</v>
      </c>
      <c r="B50" s="126">
        <v>83.1</v>
      </c>
      <c r="C50" s="77">
        <v>-2.1201413400000001E-2</v>
      </c>
      <c r="D50" s="15">
        <v>77.7</v>
      </c>
      <c r="E50" s="32">
        <f t="shared" ref="E50:E53" si="18">IF(ISNUMBER(D50), (D50 - $B50) / $B50, "")</f>
        <v>-6.4981949458483651E-2</v>
      </c>
      <c r="F50" s="18">
        <f>IF(ISNUMBER(D50), $B64 * E50, "")</f>
        <v>-6498.194945848365</v>
      </c>
      <c r="G50" s="31">
        <v>78.099999999999994</v>
      </c>
      <c r="H50" s="32">
        <f t="shared" ref="H50:H53" si="19">IF(ISNUMBER(G50), (G50 - $B50) / $B50, "")</f>
        <v>-6.0168471720818295E-2</v>
      </c>
      <c r="I50" s="101">
        <f>IF(ISNUMBER(G50), $B64 * H50, "")</f>
        <v>-6016.8471720818297</v>
      </c>
      <c r="J50" s="15">
        <v>79.3</v>
      </c>
      <c r="K50" s="32">
        <f t="shared" ref="K50:K53" si="20">IF(ISNUMBER(J50), (J50 - $B50) / $B50, "")</f>
        <v>-4.5728038507821873E-2</v>
      </c>
      <c r="L50" s="18">
        <f>IF(ISNUMBER(J50), $B64 * K50, "")</f>
        <v>-4572.8038507821875</v>
      </c>
      <c r="M50" s="31">
        <v>79.400000000000006</v>
      </c>
      <c r="N50" s="32">
        <f t="shared" ref="N50:N53" si="21">IF(ISNUMBER(M50), (M50 - $B50) / $B50, "")</f>
        <v>-4.4524669073405403E-2</v>
      </c>
      <c r="O50" s="18">
        <f>IF(ISNUMBER(M50), $B64 * N50, "")</f>
        <v>-4452.4669073405403</v>
      </c>
      <c r="Q50" s="235"/>
      <c r="R50" s="235"/>
      <c r="S50" s="235"/>
    </row>
    <row r="51" spans="1:19" ht="17.25" customHeight="1" thickBot="1">
      <c r="A51" s="162" t="s">
        <v>134</v>
      </c>
      <c r="B51" s="126">
        <v>86.8</v>
      </c>
      <c r="C51" s="77">
        <v>-3.4482758600000003E-2</v>
      </c>
      <c r="D51" s="15">
        <v>75.7</v>
      </c>
      <c r="E51" s="32">
        <f t="shared" si="18"/>
        <v>-0.12788018433179718</v>
      </c>
      <c r="F51" s="18">
        <f>IF(ISNUMBER(D51), $B64 * E51, "")</f>
        <v>-12788.018433179717</v>
      </c>
      <c r="G51" s="31">
        <v>75.8</v>
      </c>
      <c r="H51" s="32">
        <f t="shared" si="19"/>
        <v>-0.12672811059907835</v>
      </c>
      <c r="I51" s="101">
        <f>IF(ISNUMBER(G51), $B64 * H51, "")</f>
        <v>-12672.811059907835</v>
      </c>
      <c r="J51" s="15">
        <v>76</v>
      </c>
      <c r="K51" s="32">
        <f t="shared" si="20"/>
        <v>-0.12442396313364053</v>
      </c>
      <c r="L51" s="18">
        <f>IF(ISNUMBER(J51), $B64 * K51, "")</f>
        <v>-12442.396313364054</v>
      </c>
      <c r="M51" s="31">
        <v>77.7</v>
      </c>
      <c r="N51" s="32">
        <f t="shared" si="21"/>
        <v>-0.10483870967741929</v>
      </c>
      <c r="O51" s="18">
        <f>IF(ISNUMBER(M51), $B64 * N51, "")</f>
        <v>-10483.870967741928</v>
      </c>
      <c r="Q51" s="235"/>
      <c r="R51" s="235"/>
      <c r="S51" s="235"/>
    </row>
    <row r="52" spans="1:19" ht="17.25" customHeight="1" thickBot="1">
      <c r="A52" s="162" t="s">
        <v>264</v>
      </c>
      <c r="B52" s="126">
        <v>79</v>
      </c>
      <c r="C52" s="77">
        <v>-4.9338146800000003E-2</v>
      </c>
      <c r="D52" s="15">
        <v>90.4</v>
      </c>
      <c r="E52" s="32">
        <f t="shared" si="18"/>
        <v>0.14430379746835451</v>
      </c>
      <c r="F52" s="18">
        <f>IF(ISNUMBER(D52), $B64 * E52, "")</f>
        <v>14430.379746835451</v>
      </c>
      <c r="G52" s="31">
        <v>86.6</v>
      </c>
      <c r="H52" s="32">
        <f t="shared" si="19"/>
        <v>9.620253164556955E-2</v>
      </c>
      <c r="I52" s="101">
        <f>IF(ISNUMBER(G52), $B64 * H52, "")</f>
        <v>9620.2531645569543</v>
      </c>
      <c r="J52" s="15">
        <v>85.4</v>
      </c>
      <c r="K52" s="32">
        <f t="shared" si="20"/>
        <v>8.1012658227848172E-2</v>
      </c>
      <c r="L52" s="18">
        <f>IF(ISNUMBER(J52), $B64 * K52, "")</f>
        <v>8101.2658227848169</v>
      </c>
      <c r="M52" s="31">
        <v>83.8</v>
      </c>
      <c r="N52" s="32">
        <f t="shared" si="21"/>
        <v>6.0759493670886039E-2</v>
      </c>
      <c r="O52" s="18">
        <f>IF(ISNUMBER(M52), $B64 * N52, "")</f>
        <v>6075.949367088604</v>
      </c>
      <c r="Q52" s="33"/>
      <c r="R52" s="33"/>
    </row>
    <row r="53" spans="1:19" ht="17.25" customHeight="1" thickBot="1">
      <c r="A53" s="130" t="s">
        <v>168</v>
      </c>
      <c r="B53" s="131">
        <v>90.5</v>
      </c>
      <c r="C53" s="79">
        <v>-5.0367261300000001E-2</v>
      </c>
      <c r="D53" s="24">
        <v>78.8</v>
      </c>
      <c r="E53" s="25">
        <f t="shared" si="18"/>
        <v>-0.12928176795580112</v>
      </c>
      <c r="F53" s="104">
        <f>IF(ISNUMBER(D53), $B64 * E53, "")</f>
        <v>-12928.176795580113</v>
      </c>
      <c r="G53" s="102">
        <v>80</v>
      </c>
      <c r="H53" s="25">
        <f t="shared" si="19"/>
        <v>-0.11602209944751381</v>
      </c>
      <c r="I53" s="103">
        <f>IF(ISNUMBER(G53), $B64 * H53, "")</f>
        <v>-11602.209944751381</v>
      </c>
      <c r="J53" s="24">
        <v>80.900000000000006</v>
      </c>
      <c r="K53" s="25">
        <f t="shared" si="20"/>
        <v>-0.10607734806629827</v>
      </c>
      <c r="L53" s="104">
        <f>IF(ISNUMBER(J53), $B64 * K53, "")</f>
        <v>-10607.734806629827</v>
      </c>
      <c r="M53" s="102">
        <v>80.8</v>
      </c>
      <c r="N53" s="25">
        <f t="shared" si="21"/>
        <v>-0.10718232044198898</v>
      </c>
      <c r="O53" s="104">
        <f>IF(ISNUMBER(M53), $B64 * N53, "")</f>
        <v>-10718.232044198898</v>
      </c>
      <c r="Q53" s="236"/>
      <c r="R53" s="237"/>
      <c r="S53" s="238"/>
    </row>
    <row r="54" spans="1:19" ht="17.25" customHeight="1">
      <c r="A54" s="161" t="s">
        <v>152</v>
      </c>
      <c r="B54" s="124">
        <v>18.3</v>
      </c>
      <c r="C54" s="76">
        <v>-5.18134715E-2</v>
      </c>
      <c r="D54" s="13">
        <v>16.5</v>
      </c>
      <c r="E54" s="14">
        <f>IF(ISNUMBER(D54), (D54 - $B54) / $B54, "")</f>
        <v>-9.8360655737704958E-2</v>
      </c>
      <c r="F54" s="16">
        <f>IF(ISNUMBER(D54), $B64 * E54, "")</f>
        <v>-9836.0655737704965</v>
      </c>
      <c r="G54" s="29">
        <v>16.5</v>
      </c>
      <c r="H54" s="14">
        <f>IF(ISNUMBER(G54), (G54 - $B54) / $B54, "")</f>
        <v>-9.8360655737704958E-2</v>
      </c>
      <c r="I54" s="100">
        <f>IF(ISNUMBER(G54), $B64 * H54, "")</f>
        <v>-9836.0655737704965</v>
      </c>
      <c r="J54" s="13">
        <v>17.399999999999999</v>
      </c>
      <c r="K54" s="14">
        <f>IF(ISNUMBER(J54), (J54 - $B54) / $B54, "")</f>
        <v>-4.9180327868852576E-2</v>
      </c>
      <c r="L54" s="16">
        <f>IF(ISNUMBER(J54), $B64 * K54, "")</f>
        <v>-4918.0327868852573</v>
      </c>
      <c r="M54" s="29">
        <v>17.2</v>
      </c>
      <c r="N54" s="14">
        <f>IF(ISNUMBER(M54), (M54 - $B54) / $B54, "")</f>
        <v>-6.0109289617486412E-2</v>
      </c>
      <c r="O54" s="16">
        <f>IF(ISNUMBER(M54), $B64 * N54, "")</f>
        <v>-6010.9289617486411</v>
      </c>
      <c r="Q54" s="239"/>
      <c r="R54" s="240"/>
      <c r="S54" s="241"/>
    </row>
    <row r="55" spans="1:19" ht="17.25" customHeight="1" thickBot="1">
      <c r="A55" s="162" t="s">
        <v>220</v>
      </c>
      <c r="B55" s="126">
        <v>10.9</v>
      </c>
      <c r="C55" s="77">
        <v>-9.1666666699999996E-2</v>
      </c>
      <c r="D55" s="15">
        <v>9.75</v>
      </c>
      <c r="E55" s="32">
        <f t="shared" ref="E55:E58" si="22">IF(ISNUMBER(D55), (D55 - $B55) / $B55, "")</f>
        <v>-0.10550458715596334</v>
      </c>
      <c r="F55" s="18">
        <f>IF(ISNUMBER(D55), $B64 * E55, "")</f>
        <v>-10550.458715596335</v>
      </c>
      <c r="G55" s="31">
        <v>9.89</v>
      </c>
      <c r="H55" s="32">
        <f t="shared" ref="H55:H58" si="23">IF(ISNUMBER(G55), (G55 - $B55) / $B55, "")</f>
        <v>-9.2660550458715574E-2</v>
      </c>
      <c r="I55" s="101">
        <f>IF(ISNUMBER(G55), $B64 * H55, "")</f>
        <v>-9266.055045871557</v>
      </c>
      <c r="J55" s="15">
        <v>9.94</v>
      </c>
      <c r="K55" s="32">
        <f t="shared" ref="K55:K58" si="24">IF(ISNUMBER(J55), (J55 - $B55) / $B55, "")</f>
        <v>-8.8073394495412918E-2</v>
      </c>
      <c r="L55" s="18">
        <f>IF(ISNUMBER(J55), $B64 * K55, "")</f>
        <v>-8807.3394495412922</v>
      </c>
      <c r="M55" s="31">
        <v>10</v>
      </c>
      <c r="N55" s="32">
        <f t="shared" ref="N55:N58" si="25">IF(ISNUMBER(M55), (M55 - $B55) / $B55, "")</f>
        <v>-8.2568807339449574E-2</v>
      </c>
      <c r="O55" s="18">
        <f>IF(ISNUMBER(M55), $B64 * N55, "")</f>
        <v>-8256.8807339449577</v>
      </c>
      <c r="Q55" s="242"/>
      <c r="R55" s="243"/>
      <c r="S55" s="244"/>
    </row>
    <row r="56" spans="1:19" ht="17.25" customHeight="1" thickBot="1">
      <c r="A56" s="162" t="s">
        <v>260</v>
      </c>
      <c r="B56" s="126">
        <v>60.9</v>
      </c>
      <c r="C56" s="77">
        <v>-9.7777777799999993E-2</v>
      </c>
      <c r="D56" s="15">
        <v>65.7</v>
      </c>
      <c r="E56" s="32">
        <f t="shared" si="22"/>
        <v>7.8817733990147854E-2</v>
      </c>
      <c r="F56" s="18">
        <f>IF(ISNUMBER(D56), $B64 * E56, "")</f>
        <v>7881.7733990147854</v>
      </c>
      <c r="G56" s="31">
        <v>57.5</v>
      </c>
      <c r="H56" s="32">
        <f t="shared" si="23"/>
        <v>-5.5829228243021327E-2</v>
      </c>
      <c r="I56" s="101">
        <f>IF(ISNUMBER(G56), $B64 * H56, "")</f>
        <v>-5582.9228243021325</v>
      </c>
      <c r="J56" s="15">
        <v>57.1</v>
      </c>
      <c r="K56" s="32">
        <f t="shared" si="24"/>
        <v>-6.239737274220028E-2</v>
      </c>
      <c r="L56" s="18">
        <f>IF(ISNUMBER(J56), $B64 * K56, "")</f>
        <v>-6239.7372742200278</v>
      </c>
      <c r="M56" s="31">
        <v>56.4</v>
      </c>
      <c r="N56" s="32">
        <f t="shared" si="25"/>
        <v>-7.3891625615763554E-2</v>
      </c>
      <c r="O56" s="18">
        <f>IF(ISNUMBER(M56), $B64 * N56, "")</f>
        <v>-7389.1625615763551</v>
      </c>
      <c r="Q56" s="235"/>
      <c r="R56" s="235"/>
      <c r="S56" s="235"/>
    </row>
    <row r="57" spans="1:19" ht="17.25" customHeight="1" thickBot="1">
      <c r="A57" s="162" t="s">
        <v>154</v>
      </c>
      <c r="B57" s="126">
        <v>10.1</v>
      </c>
      <c r="C57" s="77">
        <v>-9.8214285700000001E-2</v>
      </c>
      <c r="D57" s="15">
        <v>8.5500000000000007</v>
      </c>
      <c r="E57" s="32">
        <f t="shared" si="22"/>
        <v>-0.15346534653465335</v>
      </c>
      <c r="F57" s="18">
        <f>IF(ISNUMBER(D57), $B64 * E57, "")</f>
        <v>-15346.534653465334</v>
      </c>
      <c r="G57" s="31">
        <v>8.49</v>
      </c>
      <c r="H57" s="32">
        <f t="shared" si="23"/>
        <v>-0.15940594059405935</v>
      </c>
      <c r="I57" s="101">
        <f>IF(ISNUMBER(G57), $B64 * H57, "")</f>
        <v>-15940.594059405936</v>
      </c>
      <c r="J57" s="15">
        <v>8.5</v>
      </c>
      <c r="K57" s="32">
        <f t="shared" si="24"/>
        <v>-0.15841584158415839</v>
      </c>
      <c r="L57" s="18">
        <f>IF(ISNUMBER(J57), $B64 * K57, "")</f>
        <v>-15841.584158415839</v>
      </c>
      <c r="M57" s="31">
        <v>8.5</v>
      </c>
      <c r="N57" s="32">
        <f t="shared" si="25"/>
        <v>-0.15841584158415839</v>
      </c>
      <c r="O57" s="18">
        <f>IF(ISNUMBER(M57), $B64 * N57, "")</f>
        <v>-15841.584158415839</v>
      </c>
      <c r="Q57" s="245"/>
      <c r="R57" s="245"/>
      <c r="S57" s="245"/>
    </row>
    <row r="58" spans="1:19" ht="17.25" customHeight="1" thickBot="1">
      <c r="A58" s="163" t="s">
        <v>196</v>
      </c>
      <c r="B58" s="128">
        <v>10.3</v>
      </c>
      <c r="C58" s="78">
        <v>-0.1043478261</v>
      </c>
      <c r="D58" s="20">
        <v>8.18</v>
      </c>
      <c r="E58" s="21">
        <f t="shared" si="22"/>
        <v>-0.20582524271844668</v>
      </c>
      <c r="F58" s="22">
        <f>IF(ISNUMBER(D58), $B64 * E58, "")</f>
        <v>-20582.524271844668</v>
      </c>
      <c r="G58" s="30">
        <v>8.24</v>
      </c>
      <c r="H58" s="21">
        <f t="shared" si="23"/>
        <v>-0.20000000000000004</v>
      </c>
      <c r="I58" s="105">
        <f>IF(ISNUMBER(G58), $B64 * H58, "")</f>
        <v>-20000.000000000004</v>
      </c>
      <c r="J58" s="20">
        <v>8.3000000000000007</v>
      </c>
      <c r="K58" s="21">
        <f t="shared" si="24"/>
        <v>-0.1941747572815534</v>
      </c>
      <c r="L58" s="22">
        <f>IF(ISNUMBER(J58), $B64 * K58, "")</f>
        <v>-19417.475728155339</v>
      </c>
      <c r="M58" s="30">
        <v>8.3699999999999992</v>
      </c>
      <c r="N58" s="21">
        <f t="shared" si="25"/>
        <v>-0.18737864077669916</v>
      </c>
      <c r="O58" s="22">
        <f>IF(ISNUMBER(M58), $B64 * N58, "")</f>
        <v>-18737.864077669918</v>
      </c>
      <c r="Q58" s="245"/>
      <c r="R58" s="245"/>
      <c r="S58" s="245"/>
    </row>
    <row r="59" spans="1:19" ht="17.25" customHeight="1" thickBot="1">
      <c r="A59" s="162" t="s">
        <v>212</v>
      </c>
      <c r="B59" s="129">
        <v>62.8</v>
      </c>
      <c r="C59" s="80">
        <v>-0.1104815864</v>
      </c>
      <c r="D59" s="106">
        <v>55.2</v>
      </c>
      <c r="E59" s="107">
        <f>IF(ISNUMBER(D59), (D59 - $B59) / $B59, "")</f>
        <v>-0.12101910828025469</v>
      </c>
      <c r="F59" s="108">
        <f>IF(ISNUMBER(D59), $B64 * E59, "")</f>
        <v>-12101.91082802547</v>
      </c>
      <c r="G59" s="109">
        <v>51.4</v>
      </c>
      <c r="H59" s="107">
        <f>IF(ISNUMBER(G59), (G59 - $B59) / $B59, "")</f>
        <v>-0.18152866242038215</v>
      </c>
      <c r="I59" s="110">
        <f>IF(ISNUMBER(G59), $B64 * H59, "")</f>
        <v>-18152.866242038217</v>
      </c>
      <c r="J59" s="106">
        <v>52.7</v>
      </c>
      <c r="K59" s="107">
        <f>IF(ISNUMBER(J59), (J59 - $B59) / $B59, "")</f>
        <v>-0.16082802547770692</v>
      </c>
      <c r="L59" s="108">
        <f>IF(ISNUMBER(J59), $B64 * K59, "")</f>
        <v>-16082.802547770692</v>
      </c>
      <c r="M59" s="109">
        <v>53.3</v>
      </c>
      <c r="N59" s="107">
        <f>IF(ISNUMBER(M59), (M59 - $B59) / $B59, "")</f>
        <v>-0.15127388535031847</v>
      </c>
      <c r="O59" s="108">
        <f>IF(ISNUMBER(M59), $B64 * N59, "")</f>
        <v>-15127.388535031847</v>
      </c>
      <c r="Q59" s="235"/>
      <c r="R59" s="235"/>
      <c r="S59" s="235"/>
    </row>
    <row r="60" spans="1:19" ht="17.25" customHeight="1" thickBot="1">
      <c r="A60" s="162" t="s">
        <v>228</v>
      </c>
      <c r="B60" s="126">
        <v>9.1199999999999992</v>
      </c>
      <c r="C60" s="77">
        <v>-0.11456310679999999</v>
      </c>
      <c r="D60" s="15">
        <v>7.51</v>
      </c>
      <c r="E60" s="32">
        <f t="shared" ref="E60:E63" si="26">IF(ISNUMBER(D60), (D60 - $B60) / $B60, "")</f>
        <v>-0.17653508771929821</v>
      </c>
      <c r="F60" s="18">
        <f>IF(ISNUMBER(D60), $B64 * E60, "")</f>
        <v>-17653.508771929821</v>
      </c>
      <c r="G60" s="31">
        <v>7.54</v>
      </c>
      <c r="H60" s="32">
        <f t="shared" ref="H60:H63" si="27">IF(ISNUMBER(G60), (G60 - $B60) / $B60, "")</f>
        <v>-0.17324561403508765</v>
      </c>
      <c r="I60" s="101">
        <f>IF(ISNUMBER(G60), $B64 * H60, "")</f>
        <v>-17324.561403508764</v>
      </c>
      <c r="J60" s="15">
        <v>7.69</v>
      </c>
      <c r="K60" s="32">
        <f t="shared" ref="K60:K63" si="28">IF(ISNUMBER(J60), (J60 - $B60) / $B60, "")</f>
        <v>-0.15679824561403496</v>
      </c>
      <c r="L60" s="18">
        <f>IF(ISNUMBER(J60), $B64 * K60, "")</f>
        <v>-15679.824561403497</v>
      </c>
      <c r="M60" s="31">
        <v>7.77</v>
      </c>
      <c r="N60" s="32">
        <f t="shared" ref="N60:N63" si="29">IF(ISNUMBER(M60), (M60 - $B60) / $B60, "")</f>
        <v>-0.14802631578947364</v>
      </c>
      <c r="O60" s="18">
        <f>IF(ISNUMBER(M60), $B64 * N60, "")</f>
        <v>-14802.631578947365</v>
      </c>
      <c r="Q60" s="235"/>
      <c r="R60" s="235"/>
      <c r="S60" s="235"/>
    </row>
    <row r="61" spans="1:19" ht="17.25" customHeight="1" thickBot="1">
      <c r="A61" s="162" t="s">
        <v>186</v>
      </c>
      <c r="B61" s="126">
        <v>15.4</v>
      </c>
      <c r="C61" s="77">
        <v>-0.12</v>
      </c>
      <c r="D61" s="15">
        <v>13.1</v>
      </c>
      <c r="E61" s="32">
        <f t="shared" si="26"/>
        <v>-0.1493506493506494</v>
      </c>
      <c r="F61" s="18">
        <f>IF(ISNUMBER(D61), $B64 * E61, "")</f>
        <v>-14935.06493506494</v>
      </c>
      <c r="G61" s="31">
        <v>13</v>
      </c>
      <c r="H61" s="32">
        <f t="shared" si="27"/>
        <v>-0.15584415584415587</v>
      </c>
      <c r="I61" s="101">
        <f>IF(ISNUMBER(G61), $B64 * H61, "")</f>
        <v>-15584.415584415587</v>
      </c>
      <c r="J61" s="15">
        <v>13.1</v>
      </c>
      <c r="K61" s="32">
        <f t="shared" si="28"/>
        <v>-0.1493506493506494</v>
      </c>
      <c r="L61" s="18">
        <f>IF(ISNUMBER(J61), $B64 * K61, "")</f>
        <v>-14935.06493506494</v>
      </c>
      <c r="M61" s="31">
        <v>13.3</v>
      </c>
      <c r="N61" s="32">
        <f t="shared" si="29"/>
        <v>-0.13636363636363633</v>
      </c>
      <c r="O61" s="18">
        <f>IF(ISNUMBER(M61), $B64 * N61, "")</f>
        <v>-13636.363636363632</v>
      </c>
      <c r="Q61" s="235"/>
      <c r="R61" s="235"/>
      <c r="S61" s="235"/>
    </row>
    <row r="62" spans="1:19" ht="17.25" customHeight="1">
      <c r="A62" s="162" t="s">
        <v>198</v>
      </c>
      <c r="B62" s="126">
        <v>13.5</v>
      </c>
      <c r="C62" s="77">
        <v>-0.1233766234</v>
      </c>
      <c r="D62" s="15">
        <v>10.9</v>
      </c>
      <c r="E62" s="32">
        <f t="shared" si="26"/>
        <v>-0.19259259259259257</v>
      </c>
      <c r="F62" s="18">
        <f>IF(ISNUMBER(D62), $B64 * E62, "")</f>
        <v>-19259.259259259255</v>
      </c>
      <c r="G62" s="31">
        <v>10.7</v>
      </c>
      <c r="H62" s="32">
        <f t="shared" si="27"/>
        <v>-0.20740740740740746</v>
      </c>
      <c r="I62" s="101">
        <f>IF(ISNUMBER(G62), $B64 * H62, "")</f>
        <v>-20740.740740740745</v>
      </c>
      <c r="J62" s="15">
        <v>11</v>
      </c>
      <c r="K62" s="32">
        <f t="shared" si="28"/>
        <v>-0.18518518518518517</v>
      </c>
      <c r="L62" s="18">
        <f>IF(ISNUMBER(J62), $B64 * K62, "")</f>
        <v>-18518.518518518518</v>
      </c>
      <c r="M62" s="31">
        <v>11</v>
      </c>
      <c r="N62" s="32">
        <f t="shared" si="29"/>
        <v>-0.18518518518518517</v>
      </c>
      <c r="O62" s="18">
        <f>IF(ISNUMBER(M62), $B64 * N62, "")</f>
        <v>-18518.518518518518</v>
      </c>
      <c r="Q62" s="224"/>
      <c r="R62" s="225"/>
      <c r="S62" s="226"/>
    </row>
    <row r="63" spans="1:19" ht="17.25" customHeight="1" thickBot="1">
      <c r="A63" s="130" t="s">
        <v>214</v>
      </c>
      <c r="B63" s="131">
        <v>11.3</v>
      </c>
      <c r="C63" s="79">
        <v>-0.13740458019999999</v>
      </c>
      <c r="D63" s="24">
        <v>9.06</v>
      </c>
      <c r="E63" s="25">
        <f t="shared" si="26"/>
        <v>-0.19823008849557522</v>
      </c>
      <c r="F63" s="104">
        <f>IF(ISNUMBER(D63), $B64 * E63, "")</f>
        <v>-19823.008849557522</v>
      </c>
      <c r="G63" s="102">
        <v>9.07</v>
      </c>
      <c r="H63" s="25">
        <f t="shared" si="27"/>
        <v>-0.19734513274336285</v>
      </c>
      <c r="I63" s="103">
        <f>IF(ISNUMBER(G63), $B64 * H63, "")</f>
        <v>-19734.513274336285</v>
      </c>
      <c r="J63" s="24">
        <v>9.1</v>
      </c>
      <c r="K63" s="25">
        <f t="shared" si="28"/>
        <v>-0.19469026548672574</v>
      </c>
      <c r="L63" s="104">
        <f>IF(ISNUMBER(J63), $B64 * K63, "")</f>
        <v>-19469.026548672573</v>
      </c>
      <c r="M63" s="102">
        <v>9.1199999999999992</v>
      </c>
      <c r="N63" s="25">
        <f t="shared" si="29"/>
        <v>-0.19292035398230101</v>
      </c>
      <c r="O63" s="104">
        <f>IF(ISNUMBER(M63), $B64 * N63, "")</f>
        <v>-19292.035398230102</v>
      </c>
      <c r="Q63" s="227"/>
      <c r="R63" s="228"/>
      <c r="S63" s="229"/>
    </row>
    <row r="64" spans="1:19" ht="17.25" customHeight="1" thickBot="1">
      <c r="A64" s="132" t="s">
        <v>300</v>
      </c>
      <c r="B64" s="288">
        <f>$B$37</f>
        <v>100000</v>
      </c>
      <c r="C64" s="289"/>
      <c r="D64" s="26" t="s">
        <v>301</v>
      </c>
      <c r="E64" s="27">
        <f>IF(COUNT(E44:E63), SUM(E44:E63) / COUNT(E44:E63), 0)</f>
        <v>-0.11004231289598124</v>
      </c>
      <c r="F64" s="28">
        <f>SUM(F44:F63)</f>
        <v>-220084.62579196252</v>
      </c>
      <c r="G64" s="26" t="s">
        <v>301</v>
      </c>
      <c r="H64" s="27">
        <f>IF(COUNT(H44:H63), SUM(H44:H63) / COUNT(H44:H63), 0)</f>
        <v>-0.12030763537233784</v>
      </c>
      <c r="I64" s="28">
        <f>SUM(I44:I63)</f>
        <v>-240615.27074467571</v>
      </c>
      <c r="J64" s="26" t="s">
        <v>301</v>
      </c>
      <c r="K64" s="27">
        <f>IF(COUNT(K44:K63), SUM(K44:K63) / COUNT(K44:K63), 0)</f>
        <v>-0.10886538401508009</v>
      </c>
      <c r="L64" s="28">
        <f>SUM(L44:L63)</f>
        <v>-217730.76803016019</v>
      </c>
      <c r="M64" s="26" t="s">
        <v>301</v>
      </c>
      <c r="N64" s="27">
        <f>IF(COUNT(N44:N63), SUM(N44:N63) / COUNT(N44:N63), 0)</f>
        <v>-0.10913330710605953</v>
      </c>
      <c r="O64" s="28">
        <f>SUM(O44:O63)</f>
        <v>-218266.61421211908</v>
      </c>
      <c r="Q64" s="230"/>
      <c r="R64" s="231"/>
      <c r="S64" s="232"/>
    </row>
    <row r="65" spans="1:19" ht="17.25" customHeight="1"/>
    <row r="66" spans="1:19" ht="17.25" customHeight="1" thickBot="1"/>
    <row r="67" spans="1:19" ht="17.25" thickBot="1">
      <c r="A67" s="246" t="s">
        <v>45</v>
      </c>
      <c r="B67" s="247"/>
      <c r="C67" s="247"/>
      <c r="D67" s="247"/>
      <c r="E67" s="247"/>
      <c r="F67" s="247"/>
      <c r="G67" s="247"/>
      <c r="H67" s="247"/>
      <c r="I67" s="247"/>
      <c r="J67" s="247"/>
      <c r="K67" s="247"/>
      <c r="L67" s="247"/>
      <c r="M67" s="247"/>
      <c r="N67" s="247"/>
      <c r="O67" s="248"/>
      <c r="Q67" s="245"/>
      <c r="R67" s="245"/>
      <c r="S67" s="245"/>
    </row>
    <row r="68" spans="1:19" ht="17.25" thickBot="1">
      <c r="A68" s="204" t="s">
        <v>297</v>
      </c>
      <c r="B68" s="246" t="s">
        <v>49</v>
      </c>
      <c r="C68" s="248"/>
      <c r="D68" s="246" t="s">
        <v>58</v>
      </c>
      <c r="E68" s="247"/>
      <c r="F68" s="248"/>
      <c r="G68" s="249">
        <f>_xlfn.IFNA(VLOOKUP(B68, 현재가테이블!$B$2:$D$200, 2, FALSE), "-")</f>
        <v>45335000</v>
      </c>
      <c r="H68" s="250"/>
      <c r="I68" s="251"/>
      <c r="J68" s="246" t="s">
        <v>59</v>
      </c>
      <c r="K68" s="247"/>
      <c r="L68" s="248"/>
      <c r="M68" s="252">
        <f>_xlfn.IFNA(VLOOKUP(B68, 현재가테이블!$B$2:$D$200, 3, FALSE), "-")</f>
        <v>-2.27209037E-2</v>
      </c>
      <c r="N68" s="253"/>
      <c r="O68" s="254"/>
      <c r="Q68" s="245"/>
      <c r="R68" s="245"/>
      <c r="S68" s="245"/>
    </row>
    <row r="69" spans="1:19" ht="17.25" thickBot="1">
      <c r="A69" s="290" t="s">
        <v>55</v>
      </c>
      <c r="B69" s="286" t="str">
        <f>TEXT($G$1, "[$-ko-KR]yyyy-mm-dd(ddd) ") &amp; "오전 00:00"</f>
        <v>2021-06-12(토) 오전 00:00</v>
      </c>
      <c r="C69" s="287"/>
      <c r="D69" s="259" t="str">
        <f>TEXT($G$1, "[$-ko-KR]yyyy-mm-dd(ddd) ") &amp; "오후 14:00"</f>
        <v>2021-06-12(토) 오후 14:00</v>
      </c>
      <c r="E69" s="260"/>
      <c r="F69" s="261"/>
      <c r="G69" s="259" t="str">
        <f>TEXT($G$1, "[$-ko-KR]yyyy-mm-dd(ddd) ") &amp; "오후 19:00"</f>
        <v>2021-06-12(토) 오후 19:00</v>
      </c>
      <c r="H69" s="260"/>
      <c r="I69" s="261"/>
      <c r="J69" s="259" t="str">
        <f>TEXT($G$1, "[$-ko-KR]yyyy-mm-dd(ddd) ") &amp; "오후 21:00"</f>
        <v>2021-06-12(토) 오후 21:00</v>
      </c>
      <c r="K69" s="260"/>
      <c r="L69" s="261"/>
      <c r="M69" s="259" t="str">
        <f>TEXT($G$1+1, "[$-ko-KR]yyyy-mm-dd(ddd) ") &amp; "오전 00:00"</f>
        <v>2021-06-13(일) 오전 00:00</v>
      </c>
      <c r="N69" s="260"/>
      <c r="O69" s="261"/>
      <c r="Q69" s="245"/>
      <c r="R69" s="245"/>
      <c r="S69" s="245"/>
    </row>
    <row r="70" spans="1:19" ht="17.25" thickBot="1">
      <c r="A70" s="291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205" t="s">
        <v>58</v>
      </c>
      <c r="H70" s="206" t="s">
        <v>298</v>
      </c>
      <c r="I70" s="207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5"/>
      <c r="R70" s="235"/>
      <c r="S70" s="235"/>
    </row>
    <row r="71" spans="1:19" ht="17.25" thickBot="1">
      <c r="A71" s="161" t="s">
        <v>88</v>
      </c>
      <c r="B71" s="124">
        <v>372</v>
      </c>
      <c r="C71" s="76">
        <v>0.15170278640000001</v>
      </c>
      <c r="D71" s="13">
        <v>346</v>
      </c>
      <c r="E71" s="14">
        <f>IF(ISNUMBER(D71), (D71 - $B71) / $B71, "")</f>
        <v>-6.9892473118279563E-2</v>
      </c>
      <c r="F71" s="16">
        <f>IF(ISNUMBER(D71), $B91 * E71, "")</f>
        <v>-6989.2473118279568</v>
      </c>
      <c r="G71" s="29">
        <v>334</v>
      </c>
      <c r="H71" s="14">
        <f>IF(ISNUMBER(G71), (G71 - $B71) / $B71, "")</f>
        <v>-0.10215053763440861</v>
      </c>
      <c r="I71" s="100">
        <f>IF(ISNUMBER(G71), $B91 * H71, "")</f>
        <v>-10215.053763440861</v>
      </c>
      <c r="J71" s="13">
        <v>335</v>
      </c>
      <c r="K71" s="14">
        <f>IF(ISNUMBER(J71), (J71 - $B71) / $B71, "")</f>
        <v>-9.9462365591397844E-2</v>
      </c>
      <c r="L71" s="16">
        <f>IF(ISNUMBER(J71), $B91 * K71, "")</f>
        <v>-9946.2365591397847</v>
      </c>
      <c r="M71" s="29">
        <v>333</v>
      </c>
      <c r="N71" s="14">
        <f>IF(ISNUMBER(M71), (M71 - $B71) / $B71, "")</f>
        <v>-0.10483870967741936</v>
      </c>
      <c r="O71" s="16">
        <f>IF(ISNUMBER(M71), $B91 * N71, "")</f>
        <v>-10483.870967741936</v>
      </c>
      <c r="Q71" s="245"/>
      <c r="R71" s="245"/>
      <c r="S71" s="245"/>
    </row>
    <row r="72" spans="1:19" ht="17.25" thickBot="1">
      <c r="A72" s="162" t="s">
        <v>116</v>
      </c>
      <c r="B72" s="126">
        <v>374</v>
      </c>
      <c r="C72" s="77">
        <v>6.25E-2</v>
      </c>
      <c r="D72" s="15">
        <v>306</v>
      </c>
      <c r="E72" s="32">
        <f t="shared" ref="E72:E75" si="30">IF(ISNUMBER(D72), (D72 - $B72) / $B72, "")</f>
        <v>-0.18181818181818182</v>
      </c>
      <c r="F72" s="18">
        <f>IF(ISNUMBER(D72), $B91 * E72, "")</f>
        <v>-18181.818181818184</v>
      </c>
      <c r="G72" s="31">
        <v>308</v>
      </c>
      <c r="H72" s="32">
        <f t="shared" ref="H72:H75" si="31">IF(ISNUMBER(G72), (G72 - $B72) / $B72, "")</f>
        <v>-0.17647058823529413</v>
      </c>
      <c r="I72" s="101">
        <f>IF(ISNUMBER(G72), $B91 * H72, "")</f>
        <v>-17647.058823529413</v>
      </c>
      <c r="J72" s="15">
        <v>313</v>
      </c>
      <c r="K72" s="32">
        <f t="shared" ref="K72:K75" si="32">IF(ISNUMBER(J72), (J72 - $B72) / $B72, "")</f>
        <v>-0.16310160427807488</v>
      </c>
      <c r="L72" s="18">
        <f>IF(ISNUMBER(J72), $B91 * K72, "")</f>
        <v>-16310.160427807488</v>
      </c>
      <c r="M72" s="31">
        <v>313</v>
      </c>
      <c r="N72" s="32">
        <f t="shared" ref="N72:N75" si="33">IF(ISNUMBER(M72), (M72 - $B72) / $B72, "")</f>
        <v>-0.16310160427807488</v>
      </c>
      <c r="O72" s="18">
        <f>IF(ISNUMBER(M72), $B91 * N72, "")</f>
        <v>-16310.160427807488</v>
      </c>
      <c r="Q72" s="245"/>
      <c r="R72" s="245"/>
      <c r="S72" s="245"/>
    </row>
    <row r="73" spans="1:19" ht="17.25" thickBot="1">
      <c r="A73" s="162" t="s">
        <v>61</v>
      </c>
      <c r="B73" s="126">
        <v>850</v>
      </c>
      <c r="C73" s="77">
        <v>4.2944785300000003E-2</v>
      </c>
      <c r="D73" s="15">
        <v>748</v>
      </c>
      <c r="E73" s="32">
        <f t="shared" si="30"/>
        <v>-0.12</v>
      </c>
      <c r="F73" s="18">
        <f>IF(ISNUMBER(D73), $B91 * E73, "")</f>
        <v>-12000</v>
      </c>
      <c r="G73" s="31">
        <v>756</v>
      </c>
      <c r="H73" s="32">
        <f t="shared" si="31"/>
        <v>-0.11058823529411765</v>
      </c>
      <c r="I73" s="101">
        <f>IF(ISNUMBER(G73), $B91 * H73, "")</f>
        <v>-11058.823529411766</v>
      </c>
      <c r="J73" s="15">
        <v>774</v>
      </c>
      <c r="K73" s="32">
        <f t="shared" si="32"/>
        <v>-8.9411764705882357E-2</v>
      </c>
      <c r="L73" s="18">
        <f>IF(ISNUMBER(J73), $B91 * K73, "")</f>
        <v>-8941.176470588236</v>
      </c>
      <c r="M73" s="31">
        <v>778</v>
      </c>
      <c r="N73" s="32">
        <f t="shared" si="33"/>
        <v>-8.4705882352941173E-2</v>
      </c>
      <c r="O73" s="18">
        <f>IF(ISNUMBER(M73), $B91 * N73, "")</f>
        <v>-8470.5882352941171</v>
      </c>
      <c r="Q73" s="235"/>
      <c r="R73" s="235"/>
      <c r="S73" s="235"/>
    </row>
    <row r="74" spans="1:19" ht="17.25" thickBot="1">
      <c r="A74" s="162" t="s">
        <v>80</v>
      </c>
      <c r="B74" s="126">
        <v>805</v>
      </c>
      <c r="C74" s="77">
        <v>3.4704370200000001E-2</v>
      </c>
      <c r="D74" s="15">
        <v>702</v>
      </c>
      <c r="E74" s="32">
        <f t="shared" si="30"/>
        <v>-0.12795031055900621</v>
      </c>
      <c r="F74" s="18">
        <f>IF(ISNUMBER(D74), $B91 * E74, "")</f>
        <v>-12795.031055900621</v>
      </c>
      <c r="G74" s="31">
        <v>704</v>
      </c>
      <c r="H74" s="32">
        <f t="shared" si="31"/>
        <v>-0.12546583850931678</v>
      </c>
      <c r="I74" s="101">
        <f>IF(ISNUMBER(G74), $B91 * H74, "")</f>
        <v>-12546.583850931678</v>
      </c>
      <c r="J74" s="15">
        <v>726</v>
      </c>
      <c r="K74" s="32">
        <f t="shared" si="32"/>
        <v>-9.8136645962732916E-2</v>
      </c>
      <c r="L74" s="18">
        <f>IF(ISNUMBER(J74), $B91 * K74, "")</f>
        <v>-9813.664596273291</v>
      </c>
      <c r="M74" s="31">
        <v>731</v>
      </c>
      <c r="N74" s="32">
        <f t="shared" si="33"/>
        <v>-9.1925465838509315E-2</v>
      </c>
      <c r="O74" s="18">
        <f>IF(ISNUMBER(M74), $B91 * N74, "")</f>
        <v>-9192.5465838509317</v>
      </c>
      <c r="Q74" s="235"/>
      <c r="R74" s="235"/>
      <c r="S74" s="235"/>
    </row>
    <row r="75" spans="1:19" ht="17.25" thickBot="1">
      <c r="A75" s="163" t="s">
        <v>136</v>
      </c>
      <c r="B75" s="128">
        <v>129</v>
      </c>
      <c r="C75" s="78">
        <v>1.5748031499999999E-2</v>
      </c>
      <c r="D75" s="20">
        <v>112</v>
      </c>
      <c r="E75" s="21">
        <f t="shared" si="30"/>
        <v>-0.13178294573643412</v>
      </c>
      <c r="F75" s="22">
        <f>IF(ISNUMBER(D75), $B91 * E75, "")</f>
        <v>-13178.294573643412</v>
      </c>
      <c r="G75" s="30">
        <v>110</v>
      </c>
      <c r="H75" s="21">
        <f t="shared" si="31"/>
        <v>-0.14728682170542637</v>
      </c>
      <c r="I75" s="105">
        <f>IF(ISNUMBER(G75), $B91 * H75, "")</f>
        <v>-14728.682170542637</v>
      </c>
      <c r="J75" s="20">
        <v>115</v>
      </c>
      <c r="K75" s="21">
        <f t="shared" si="32"/>
        <v>-0.10852713178294573</v>
      </c>
      <c r="L75" s="22">
        <f>IF(ISNUMBER(J75), $B91 * K75, "")</f>
        <v>-10852.713178294574</v>
      </c>
      <c r="M75" s="30">
        <v>115</v>
      </c>
      <c r="N75" s="21">
        <f t="shared" si="33"/>
        <v>-0.10852713178294573</v>
      </c>
      <c r="O75" s="22">
        <f>IF(ISNUMBER(M75), $B91 * N75, "")</f>
        <v>-10852.713178294574</v>
      </c>
      <c r="Q75" s="235"/>
      <c r="R75" s="235"/>
      <c r="S75" s="235"/>
    </row>
    <row r="76" spans="1:19" ht="17.25" thickBot="1">
      <c r="A76" s="162" t="s">
        <v>120</v>
      </c>
      <c r="B76" s="129">
        <v>139</v>
      </c>
      <c r="C76" s="80">
        <v>7.2463768E-3</v>
      </c>
      <c r="D76" s="106">
        <v>131</v>
      </c>
      <c r="E76" s="107">
        <f>IF(ISNUMBER(D76), (D76 - $B76) / $B76, "")</f>
        <v>-5.7553956834532377E-2</v>
      </c>
      <c r="F76" s="108">
        <f>IF(ISNUMBER(D76), $B91 * E76, "")</f>
        <v>-5755.3956834532373</v>
      </c>
      <c r="G76" s="109">
        <v>130</v>
      </c>
      <c r="H76" s="107">
        <f>IF(ISNUMBER(G76), (G76 - $B76) / $B76, "")</f>
        <v>-6.4748201438848921E-2</v>
      </c>
      <c r="I76" s="110">
        <f>IF(ISNUMBER(G76), $B91 * H76, "")</f>
        <v>-6474.8201438848919</v>
      </c>
      <c r="J76" s="106">
        <v>131</v>
      </c>
      <c r="K76" s="107">
        <f>IF(ISNUMBER(J76), (J76 - $B76) / $B76, "")</f>
        <v>-5.7553956834532377E-2</v>
      </c>
      <c r="L76" s="108">
        <f>IF(ISNUMBER(J76), $B91 * K76, "")</f>
        <v>-5755.3956834532373</v>
      </c>
      <c r="M76" s="109">
        <v>131</v>
      </c>
      <c r="N76" s="107">
        <f>IF(ISNUMBER(M76), (M76 - $B76) / $B76, "")</f>
        <v>-5.7553956834532377E-2</v>
      </c>
      <c r="O76" s="108">
        <f>IF(ISNUMBER(M76), $B91 * N76, "")</f>
        <v>-5755.3956834532373</v>
      </c>
      <c r="Q76" s="235"/>
      <c r="R76" s="235"/>
      <c r="S76" s="235"/>
    </row>
    <row r="77" spans="1:19" ht="17.25" thickBot="1">
      <c r="A77" s="162" t="s">
        <v>54</v>
      </c>
      <c r="B77" s="126">
        <v>240</v>
      </c>
      <c r="C77" s="77">
        <v>0</v>
      </c>
      <c r="D77" s="15">
        <v>210</v>
      </c>
      <c r="E77" s="32">
        <f t="shared" ref="E77:E80" si="34">IF(ISNUMBER(D77), (D77 - $B77) / $B77, "")</f>
        <v>-0.125</v>
      </c>
      <c r="F77" s="18">
        <f>IF(ISNUMBER(D77), $B91 * E77, "")</f>
        <v>-12500</v>
      </c>
      <c r="G77" s="31">
        <v>213</v>
      </c>
      <c r="H77" s="32">
        <f t="shared" ref="H77:H80" si="35">IF(ISNUMBER(G77), (G77 - $B77) / $B77, "")</f>
        <v>-0.1125</v>
      </c>
      <c r="I77" s="101">
        <f>IF(ISNUMBER(G77), $B91 * H77, "")</f>
        <v>-11250</v>
      </c>
      <c r="J77" s="15">
        <v>219</v>
      </c>
      <c r="K77" s="32">
        <f t="shared" ref="K77:K80" si="36">IF(ISNUMBER(J77), (J77 - $B77) / $B77, "")</f>
        <v>-8.7499999999999994E-2</v>
      </c>
      <c r="L77" s="18">
        <f>IF(ISNUMBER(J77), $B91 * K77, "")</f>
        <v>-8750</v>
      </c>
      <c r="M77" s="31">
        <v>216</v>
      </c>
      <c r="N77" s="32">
        <f t="shared" ref="N77:N80" si="37">IF(ISNUMBER(M77), (M77 - $B77) / $B77, "")</f>
        <v>-0.1</v>
      </c>
      <c r="O77" s="18">
        <f>IF(ISNUMBER(M77), $B91 * N77, "")</f>
        <v>-10000</v>
      </c>
      <c r="Q77" s="235"/>
      <c r="R77" s="235"/>
      <c r="S77" s="235"/>
    </row>
    <row r="78" spans="1:19" ht="17.25" thickBot="1">
      <c r="A78" s="162" t="s">
        <v>132</v>
      </c>
      <c r="B78" s="126">
        <v>129</v>
      </c>
      <c r="C78" s="77">
        <v>-1.52671756E-2</v>
      </c>
      <c r="D78" s="15">
        <v>116</v>
      </c>
      <c r="E78" s="32">
        <f t="shared" si="34"/>
        <v>-0.10077519379844961</v>
      </c>
      <c r="F78" s="18">
        <f>IF(ISNUMBER(D78), $B91 * E78, "")</f>
        <v>-10077.519379844962</v>
      </c>
      <c r="G78" s="31">
        <v>117</v>
      </c>
      <c r="H78" s="32">
        <f t="shared" si="35"/>
        <v>-9.3023255813953487E-2</v>
      </c>
      <c r="I78" s="101">
        <f>IF(ISNUMBER(G78), $B91 * H78, "")</f>
        <v>-9302.3255813953492</v>
      </c>
      <c r="J78" s="15">
        <v>122</v>
      </c>
      <c r="K78" s="32">
        <f t="shared" si="36"/>
        <v>-5.4263565891472867E-2</v>
      </c>
      <c r="L78" s="18">
        <f>IF(ISNUMBER(J78), $B91 * K78, "")</f>
        <v>-5426.3565891472872</v>
      </c>
      <c r="M78" s="31">
        <v>121</v>
      </c>
      <c r="N78" s="32">
        <f t="shared" si="37"/>
        <v>-6.2015503875968991E-2</v>
      </c>
      <c r="O78" s="18">
        <f>IF(ISNUMBER(M78), $B91 * N78, "")</f>
        <v>-6201.5503875968989</v>
      </c>
      <c r="Q78" s="235"/>
      <c r="R78" s="235"/>
      <c r="S78" s="235"/>
    </row>
    <row r="79" spans="1:19" ht="17.25" thickBot="1">
      <c r="A79" s="162" t="s">
        <v>256</v>
      </c>
      <c r="B79" s="126">
        <v>163</v>
      </c>
      <c r="C79" s="77">
        <v>-1.8072289200000001E-2</v>
      </c>
      <c r="D79" s="15">
        <v>131</v>
      </c>
      <c r="E79" s="32">
        <f t="shared" si="34"/>
        <v>-0.19631901840490798</v>
      </c>
      <c r="F79" s="18">
        <f>IF(ISNUMBER(D79), $B91 * E79, "")</f>
        <v>-19631.901840490798</v>
      </c>
      <c r="G79" s="31">
        <v>132</v>
      </c>
      <c r="H79" s="32">
        <f t="shared" si="35"/>
        <v>-0.19018404907975461</v>
      </c>
      <c r="I79" s="101">
        <f>IF(ISNUMBER(G79), $B91 * H79, "")</f>
        <v>-19018.404907975462</v>
      </c>
      <c r="J79" s="15">
        <v>135</v>
      </c>
      <c r="K79" s="32">
        <f t="shared" si="36"/>
        <v>-0.17177914110429449</v>
      </c>
      <c r="L79" s="18">
        <f>IF(ISNUMBER(J79), $B91 * K79, "")</f>
        <v>-17177.91411042945</v>
      </c>
      <c r="M79" s="31">
        <v>138</v>
      </c>
      <c r="N79" s="32">
        <f t="shared" si="37"/>
        <v>-0.15337423312883436</v>
      </c>
      <c r="O79" s="18">
        <f>IF(ISNUMBER(M79), $B91 * N79, "")</f>
        <v>-15337.423312883437</v>
      </c>
      <c r="Q79" s="33"/>
      <c r="R79" s="33"/>
    </row>
    <row r="80" spans="1:19" ht="17.25" thickBot="1">
      <c r="A80" s="130" t="s">
        <v>51</v>
      </c>
      <c r="B80" s="131">
        <v>387</v>
      </c>
      <c r="C80" s="79">
        <v>-2.2727272699999999E-2</v>
      </c>
      <c r="D80" s="24">
        <v>357</v>
      </c>
      <c r="E80" s="25">
        <f t="shared" si="34"/>
        <v>-7.7519379844961239E-2</v>
      </c>
      <c r="F80" s="104">
        <f>IF(ISNUMBER(D80), $B91 * E80, "")</f>
        <v>-7751.937984496124</v>
      </c>
      <c r="G80" s="102">
        <v>361</v>
      </c>
      <c r="H80" s="25">
        <f t="shared" si="35"/>
        <v>-6.7183462532299745E-2</v>
      </c>
      <c r="I80" s="103">
        <f>IF(ISNUMBER(G80), $B91 * H80, "")</f>
        <v>-6718.3462532299745</v>
      </c>
      <c r="J80" s="24">
        <v>374</v>
      </c>
      <c r="K80" s="25">
        <f t="shared" si="36"/>
        <v>-3.3591731266149873E-2</v>
      </c>
      <c r="L80" s="104">
        <f>IF(ISNUMBER(J80), $B91 * K80, "")</f>
        <v>-3359.1731266149873</v>
      </c>
      <c r="M80" s="102">
        <v>380</v>
      </c>
      <c r="N80" s="25">
        <f t="shared" si="37"/>
        <v>-1.8087855297157621E-2</v>
      </c>
      <c r="O80" s="104">
        <f>IF(ISNUMBER(M80), $B91 * N80, "")</f>
        <v>-1808.7855297157621</v>
      </c>
      <c r="Q80" s="236"/>
      <c r="R80" s="237"/>
      <c r="S80" s="238"/>
    </row>
    <row r="81" spans="1:19">
      <c r="A81" s="161" t="s">
        <v>57</v>
      </c>
      <c r="B81" s="124">
        <v>194</v>
      </c>
      <c r="C81" s="76">
        <v>-2.5125628099999998E-2</v>
      </c>
      <c r="D81" s="13">
        <v>180</v>
      </c>
      <c r="E81" s="14">
        <f>IF(ISNUMBER(D81), (D81 - $B81) / $B81, "")</f>
        <v>-7.2164948453608241E-2</v>
      </c>
      <c r="F81" s="16">
        <f>IF(ISNUMBER(D81), $B91 * E81, "")</f>
        <v>-7216.494845360824</v>
      </c>
      <c r="G81" s="29">
        <v>181</v>
      </c>
      <c r="H81" s="14">
        <f>IF(ISNUMBER(G81), (G81 - $B81) / $B81, "")</f>
        <v>-6.7010309278350513E-2</v>
      </c>
      <c r="I81" s="100">
        <f>IF(ISNUMBER(G81), $B91 * H81, "")</f>
        <v>-6701.0309278350514</v>
      </c>
      <c r="J81" s="13">
        <v>185</v>
      </c>
      <c r="K81" s="14">
        <f>IF(ISNUMBER(J81), (J81 - $B81) / $B81, "")</f>
        <v>-4.6391752577319589E-2</v>
      </c>
      <c r="L81" s="16">
        <f>IF(ISNUMBER(J81), $B91 * K81, "")</f>
        <v>-4639.1752577319585</v>
      </c>
      <c r="M81" s="29">
        <v>184</v>
      </c>
      <c r="N81" s="14">
        <f>IF(ISNUMBER(M81), (M81 - $B81) / $B81, "")</f>
        <v>-5.1546391752577317E-2</v>
      </c>
      <c r="O81" s="16">
        <f>IF(ISNUMBER(M81), $B91 * N81, "")</f>
        <v>-5154.6391752577319</v>
      </c>
      <c r="Q81" s="239"/>
      <c r="R81" s="240"/>
      <c r="S81" s="241"/>
    </row>
    <row r="82" spans="1:19" ht="17.25" thickBot="1">
      <c r="A82" s="162" t="s">
        <v>148</v>
      </c>
      <c r="B82" s="126">
        <v>102</v>
      </c>
      <c r="C82" s="77">
        <v>-2.85714286E-2</v>
      </c>
      <c r="D82" s="15">
        <v>91</v>
      </c>
      <c r="E82" s="32">
        <f t="shared" ref="E82:E85" si="38">IF(ISNUMBER(D82), (D82 - $B82) / $B82, "")</f>
        <v>-0.10784313725490197</v>
      </c>
      <c r="F82" s="18">
        <f>IF(ISNUMBER(D82), $B91 * E82, "")</f>
        <v>-10784.313725490196</v>
      </c>
      <c r="G82" s="31">
        <v>93.7</v>
      </c>
      <c r="H82" s="32">
        <f t="shared" ref="H82:H85" si="39">IF(ISNUMBER(G82), (G82 - $B82) / $B82, "")</f>
        <v>-8.1372549019607818E-2</v>
      </c>
      <c r="I82" s="101">
        <f>IF(ISNUMBER(G82), $B91 * H82, "")</f>
        <v>-8137.2549019607814</v>
      </c>
      <c r="J82" s="15">
        <v>94.4</v>
      </c>
      <c r="K82" s="32">
        <f t="shared" ref="K82:K85" si="40">IF(ISNUMBER(J82), (J82 - $B82) / $B82, "")</f>
        <v>-7.4509803921568571E-2</v>
      </c>
      <c r="L82" s="18">
        <f>IF(ISNUMBER(J82), $B91 * K82, "")</f>
        <v>-7450.9803921568573</v>
      </c>
      <c r="M82" s="31">
        <v>97.6</v>
      </c>
      <c r="N82" s="32">
        <f t="shared" ref="N82:N85" si="41">IF(ISNUMBER(M82), (M82 - $B82) / $B82, "")</f>
        <v>-4.3137254901960839E-2</v>
      </c>
      <c r="O82" s="18">
        <f>IF(ISNUMBER(M82), $B91 * N82, "")</f>
        <v>-4313.7254901960841</v>
      </c>
      <c r="Q82" s="242"/>
      <c r="R82" s="243"/>
      <c r="S82" s="244"/>
    </row>
    <row r="83" spans="1:19" ht="17.25" thickBot="1">
      <c r="A83" s="162" t="s">
        <v>296</v>
      </c>
      <c r="B83" s="126">
        <v>370</v>
      </c>
      <c r="C83" s="77">
        <v>-2.8871391100000001E-2</v>
      </c>
      <c r="D83" s="15">
        <v>356</v>
      </c>
      <c r="E83" s="32">
        <f t="shared" si="38"/>
        <v>-3.783783783783784E-2</v>
      </c>
      <c r="F83" s="18">
        <f>IF(ISNUMBER(D83), $B91 * E83, "")</f>
        <v>-3783.7837837837842</v>
      </c>
      <c r="G83" s="31">
        <v>357</v>
      </c>
      <c r="H83" s="32">
        <f t="shared" si="39"/>
        <v>-3.5135135135135137E-2</v>
      </c>
      <c r="I83" s="101">
        <f>IF(ISNUMBER(G83), $B91 * H83, "")</f>
        <v>-3513.5135135135138</v>
      </c>
      <c r="J83" s="15">
        <v>361</v>
      </c>
      <c r="K83" s="32">
        <f t="shared" si="40"/>
        <v>-2.4324324324324326E-2</v>
      </c>
      <c r="L83" s="18">
        <f>IF(ISNUMBER(J83), $B91 * K83, "")</f>
        <v>-2432.4324324324325</v>
      </c>
      <c r="M83" s="31">
        <v>363</v>
      </c>
      <c r="N83" s="32">
        <f t="shared" si="41"/>
        <v>-1.891891891891892E-2</v>
      </c>
      <c r="O83" s="18">
        <f>IF(ISNUMBER(M83), $B91 * N83, "")</f>
        <v>-1891.8918918918921</v>
      </c>
      <c r="Q83" s="235"/>
      <c r="R83" s="235"/>
      <c r="S83" s="235"/>
    </row>
    <row r="84" spans="1:19" ht="17.25" thickBot="1">
      <c r="A84" s="162" t="s">
        <v>128</v>
      </c>
      <c r="B84" s="126">
        <v>324</v>
      </c>
      <c r="C84" s="77">
        <v>-5.2631578900000003E-2</v>
      </c>
      <c r="D84" s="15">
        <v>283</v>
      </c>
      <c r="E84" s="32">
        <f t="shared" si="38"/>
        <v>-0.12654320987654322</v>
      </c>
      <c r="F84" s="18">
        <f>IF(ISNUMBER(D84), $B91 * E84, "")</f>
        <v>-12654.320987654322</v>
      </c>
      <c r="G84" s="31">
        <v>292</v>
      </c>
      <c r="H84" s="32">
        <f t="shared" si="39"/>
        <v>-9.8765432098765427E-2</v>
      </c>
      <c r="I84" s="101">
        <f>IF(ISNUMBER(G84), $B91 * H84, "")</f>
        <v>-9876.5432098765432</v>
      </c>
      <c r="J84" s="15">
        <v>296</v>
      </c>
      <c r="K84" s="32">
        <f t="shared" si="40"/>
        <v>-8.6419753086419748E-2</v>
      </c>
      <c r="L84" s="18">
        <f>IF(ISNUMBER(J84), $B91 * K84, "")</f>
        <v>-8641.9753086419751</v>
      </c>
      <c r="M84" s="31">
        <v>298</v>
      </c>
      <c r="N84" s="32">
        <f t="shared" si="41"/>
        <v>-8.0246913580246909E-2</v>
      </c>
      <c r="O84" s="18">
        <f>IF(ISNUMBER(M84), $B91 * N84, "")</f>
        <v>-8024.691358024691</v>
      </c>
      <c r="Q84" s="245"/>
      <c r="R84" s="245"/>
      <c r="S84" s="245"/>
    </row>
    <row r="85" spans="1:19" ht="17.25" thickBot="1">
      <c r="A85" s="163" t="s">
        <v>270</v>
      </c>
      <c r="B85" s="128">
        <v>328</v>
      </c>
      <c r="C85" s="78">
        <v>-6.2857142899999996E-2</v>
      </c>
      <c r="D85" s="20">
        <v>295</v>
      </c>
      <c r="E85" s="21">
        <f t="shared" si="38"/>
        <v>-0.10060975609756098</v>
      </c>
      <c r="F85" s="22">
        <f>IF(ISNUMBER(D85), $B91 * E85, "")</f>
        <v>-10060.975609756098</v>
      </c>
      <c r="G85" s="30">
        <v>298</v>
      </c>
      <c r="H85" s="21">
        <f t="shared" si="39"/>
        <v>-9.1463414634146339E-2</v>
      </c>
      <c r="I85" s="105">
        <f>IF(ISNUMBER(G85), $B91 * H85, "")</f>
        <v>-9146.3414634146338</v>
      </c>
      <c r="J85" s="20">
        <v>300</v>
      </c>
      <c r="K85" s="21">
        <f t="shared" si="40"/>
        <v>-8.5365853658536592E-2</v>
      </c>
      <c r="L85" s="22">
        <f>IF(ISNUMBER(J85), $B91 * K85, "")</f>
        <v>-8536.5853658536598</v>
      </c>
      <c r="M85" s="30">
        <v>301</v>
      </c>
      <c r="N85" s="21">
        <f t="shared" si="41"/>
        <v>-8.2317073170731711E-2</v>
      </c>
      <c r="O85" s="22">
        <f>IF(ISNUMBER(M85), $B91 * N85, "")</f>
        <v>-8231.707317073171</v>
      </c>
      <c r="Q85" s="245"/>
      <c r="R85" s="245"/>
      <c r="S85" s="245"/>
    </row>
    <row r="86" spans="1:19" ht="17.25" thickBot="1">
      <c r="A86" s="162" t="s">
        <v>170</v>
      </c>
      <c r="B86" s="129">
        <v>265</v>
      </c>
      <c r="C86" s="80">
        <v>-7.0175438600000001E-2</v>
      </c>
      <c r="D86" s="106">
        <v>230</v>
      </c>
      <c r="E86" s="107">
        <f>IF(ISNUMBER(D86), (D86 - $B86) / $B86, "")</f>
        <v>-0.13207547169811321</v>
      </c>
      <c r="F86" s="108">
        <f>IF(ISNUMBER(D86), $B91 * E86, "")</f>
        <v>-13207.54716981132</v>
      </c>
      <c r="G86" s="109">
        <v>232</v>
      </c>
      <c r="H86" s="107">
        <f>IF(ISNUMBER(G86), (G86 - $B86) / $B86, "")</f>
        <v>-0.12452830188679245</v>
      </c>
      <c r="I86" s="110">
        <f>IF(ISNUMBER(G86), $B91 * H86, "")</f>
        <v>-12452.830188679245</v>
      </c>
      <c r="J86" s="106">
        <v>235</v>
      </c>
      <c r="K86" s="107">
        <f>IF(ISNUMBER(J86), (J86 - $B86) / $B86, "")</f>
        <v>-0.11320754716981132</v>
      </c>
      <c r="L86" s="108">
        <f>IF(ISNUMBER(J86), $B91 * K86, "")</f>
        <v>-11320.754716981133</v>
      </c>
      <c r="M86" s="109">
        <v>237</v>
      </c>
      <c r="N86" s="107">
        <f>IF(ISNUMBER(M86), (M86 - $B86) / $B86, "")</f>
        <v>-0.10566037735849057</v>
      </c>
      <c r="O86" s="108">
        <f>IF(ISNUMBER(M86), $B91 * N86, "")</f>
        <v>-10566.037735849057</v>
      </c>
      <c r="Q86" s="235"/>
      <c r="R86" s="235"/>
      <c r="S86" s="235"/>
    </row>
    <row r="87" spans="1:19" ht="17.25" thickBot="1">
      <c r="A87" s="162" t="s">
        <v>182</v>
      </c>
      <c r="B87" s="126">
        <v>259</v>
      </c>
      <c r="C87" s="77">
        <v>-7.1684587800000005E-2</v>
      </c>
      <c r="D87" s="15">
        <v>220</v>
      </c>
      <c r="E87" s="32">
        <f t="shared" ref="E87:E90" si="42">IF(ISNUMBER(D87), (D87 - $B87) / $B87, "")</f>
        <v>-0.15057915057915058</v>
      </c>
      <c r="F87" s="18">
        <f>IF(ISNUMBER(D87), $B91 * E87, "")</f>
        <v>-15057.915057915059</v>
      </c>
      <c r="G87" s="31">
        <v>221</v>
      </c>
      <c r="H87" s="32">
        <f t="shared" ref="H87:H90" si="43">IF(ISNUMBER(G87), (G87 - $B87) / $B87, "")</f>
        <v>-0.14671814671814673</v>
      </c>
      <c r="I87" s="101">
        <f>IF(ISNUMBER(G87), $B91 * H87, "")</f>
        <v>-14671.814671814673</v>
      </c>
      <c r="J87" s="15">
        <v>225</v>
      </c>
      <c r="K87" s="32">
        <f t="shared" ref="K87:K90" si="44">IF(ISNUMBER(J87), (J87 - $B87) / $B87, "")</f>
        <v>-0.13127413127413126</v>
      </c>
      <c r="L87" s="18">
        <f>IF(ISNUMBER(J87), $B91 * K87, "")</f>
        <v>-13127.413127413127</v>
      </c>
      <c r="M87" s="31">
        <v>226</v>
      </c>
      <c r="N87" s="32">
        <f t="shared" ref="N87:N90" si="45">IF(ISNUMBER(M87), (M87 - $B87) / $B87, "")</f>
        <v>-0.12741312741312741</v>
      </c>
      <c r="O87" s="18">
        <f>IF(ISNUMBER(M87), $B91 * N87, "")</f>
        <v>-12741.31274131274</v>
      </c>
      <c r="Q87" s="235"/>
      <c r="R87" s="235"/>
      <c r="S87" s="235"/>
    </row>
    <row r="88" spans="1:19" ht="17.25" thickBot="1">
      <c r="A88" s="162" t="s">
        <v>262</v>
      </c>
      <c r="B88" s="126">
        <v>536</v>
      </c>
      <c r="C88" s="77">
        <v>-7.74526678E-2</v>
      </c>
      <c r="D88" s="15">
        <v>462</v>
      </c>
      <c r="E88" s="32">
        <f t="shared" si="42"/>
        <v>-0.13805970149253732</v>
      </c>
      <c r="F88" s="18">
        <f>IF(ISNUMBER(D88), $B91 * E88, "")</f>
        <v>-13805.970149253732</v>
      </c>
      <c r="G88" s="31">
        <v>452</v>
      </c>
      <c r="H88" s="32">
        <f t="shared" si="43"/>
        <v>-0.15671641791044777</v>
      </c>
      <c r="I88" s="101">
        <f>IF(ISNUMBER(G88), $B91 * H88, "")</f>
        <v>-15671.641791044776</v>
      </c>
      <c r="J88" s="15">
        <v>458</v>
      </c>
      <c r="K88" s="32">
        <f t="shared" si="44"/>
        <v>-0.1455223880597015</v>
      </c>
      <c r="L88" s="18">
        <f>IF(ISNUMBER(J88), $B91 * K88, "")</f>
        <v>-14552.23880597015</v>
      </c>
      <c r="M88" s="31">
        <v>458</v>
      </c>
      <c r="N88" s="32">
        <f t="shared" si="45"/>
        <v>-0.1455223880597015</v>
      </c>
      <c r="O88" s="18">
        <f>IF(ISNUMBER(M88), $B91 * N88, "")</f>
        <v>-14552.23880597015</v>
      </c>
      <c r="Q88" s="235"/>
      <c r="R88" s="235"/>
      <c r="S88" s="235"/>
    </row>
    <row r="89" spans="1:19">
      <c r="A89" s="162" t="s">
        <v>230</v>
      </c>
      <c r="B89" s="126">
        <v>104</v>
      </c>
      <c r="C89" s="77">
        <v>-8.7719298200000004E-2</v>
      </c>
      <c r="D89" s="15">
        <v>87.4</v>
      </c>
      <c r="E89" s="32">
        <f t="shared" si="42"/>
        <v>-0.15961538461538455</v>
      </c>
      <c r="F89" s="18">
        <f>IF(ISNUMBER(D89), $B91 * E89, "")</f>
        <v>-15961.538461538456</v>
      </c>
      <c r="G89" s="31">
        <v>87.5</v>
      </c>
      <c r="H89" s="32">
        <f t="shared" si="43"/>
        <v>-0.15865384615384615</v>
      </c>
      <c r="I89" s="101">
        <f>IF(ISNUMBER(G89), $B91 * H89, "")</f>
        <v>-15865.384615384615</v>
      </c>
      <c r="J89" s="15">
        <v>88.1</v>
      </c>
      <c r="K89" s="32">
        <f t="shared" si="44"/>
        <v>-0.15288461538461545</v>
      </c>
      <c r="L89" s="18">
        <f>IF(ISNUMBER(J89), $B91 * K89, "")</f>
        <v>-15288.461538461544</v>
      </c>
      <c r="M89" s="31">
        <v>90.1</v>
      </c>
      <c r="N89" s="32">
        <f t="shared" si="45"/>
        <v>-0.13365384615384621</v>
      </c>
      <c r="O89" s="18">
        <f>IF(ISNUMBER(M89), $B91 * N89, "")</f>
        <v>-13365.384615384621</v>
      </c>
      <c r="Q89" s="224"/>
      <c r="R89" s="225"/>
      <c r="S89" s="226"/>
    </row>
    <row r="90" spans="1:19" ht="17.25" thickBot="1">
      <c r="A90" s="130" t="s">
        <v>258</v>
      </c>
      <c r="B90" s="131">
        <v>418</v>
      </c>
      <c r="C90" s="79">
        <v>-9.1304347800000005E-2</v>
      </c>
      <c r="D90" s="24">
        <v>376</v>
      </c>
      <c r="E90" s="25">
        <f t="shared" si="42"/>
        <v>-0.10047846889952153</v>
      </c>
      <c r="F90" s="104">
        <f>IF(ISNUMBER(D90), $B91 * E90, "")</f>
        <v>-10047.846889952152</v>
      </c>
      <c r="G90" s="102">
        <v>379</v>
      </c>
      <c r="H90" s="25">
        <f t="shared" si="43"/>
        <v>-9.3301435406698566E-2</v>
      </c>
      <c r="I90" s="103">
        <f>IF(ISNUMBER(G90), $B91 * H90, "")</f>
        <v>-9330.1435406698565</v>
      </c>
      <c r="J90" s="24">
        <v>383</v>
      </c>
      <c r="K90" s="25">
        <f t="shared" si="44"/>
        <v>-8.3732057416267949E-2</v>
      </c>
      <c r="L90" s="104">
        <f>IF(ISNUMBER(J90), $B91 * K90, "")</f>
        <v>-8373.2057416267944</v>
      </c>
      <c r="M90" s="102">
        <v>380</v>
      </c>
      <c r="N90" s="25">
        <f t="shared" si="45"/>
        <v>-9.0909090909090912E-2</v>
      </c>
      <c r="O90" s="104">
        <f>IF(ISNUMBER(M90), $B91 * N90, "")</f>
        <v>-9090.9090909090919</v>
      </c>
      <c r="Q90" s="227"/>
      <c r="R90" s="228"/>
      <c r="S90" s="229"/>
    </row>
    <row r="91" spans="1:19" ht="17.25" thickBot="1">
      <c r="A91" s="132" t="s">
        <v>300</v>
      </c>
      <c r="B91" s="288">
        <f>$B$37</f>
        <v>100000</v>
      </c>
      <c r="C91" s="289"/>
      <c r="D91" s="26" t="s">
        <v>301</v>
      </c>
      <c r="E91" s="27">
        <f>IF(COUNT(E71:E90), SUM(E71:E90) / COUNT(E71:E90), 0)</f>
        <v>-0.11572092634599562</v>
      </c>
      <c r="F91" s="28">
        <f>SUM(F71:F90)</f>
        <v>-231441.85269199123</v>
      </c>
      <c r="G91" s="26" t="s">
        <v>301</v>
      </c>
      <c r="H91" s="27">
        <f>IF(COUNT(H71:H90), SUM(H71:H90) / COUNT(H71:H90), 0)</f>
        <v>-0.11216329892426787</v>
      </c>
      <c r="I91" s="28">
        <f>SUM(I71:I90)</f>
        <v>-224326.59784853572</v>
      </c>
      <c r="J91" s="26" t="s">
        <v>301</v>
      </c>
      <c r="K91" s="27">
        <f>IF(COUNT(K71:K90), SUM(K71:K90) / COUNT(K71:K90), 0)</f>
        <v>-9.5348006714508965E-2</v>
      </c>
      <c r="L91" s="28">
        <f>SUM(L71:L90)</f>
        <v>-190696.01342901797</v>
      </c>
      <c r="M91" s="26" t="s">
        <v>301</v>
      </c>
      <c r="N91" s="27">
        <f>IF(COUNT(N71:N90), SUM(N71:N90) / COUNT(N71:N90), 0)</f>
        <v>-9.1172786264253777E-2</v>
      </c>
      <c r="O91" s="28">
        <f>SUM(O71:O90)</f>
        <v>-182345.57252850762</v>
      </c>
      <c r="Q91" s="230"/>
      <c r="R91" s="231"/>
      <c r="S91" s="232"/>
    </row>
    <row r="93" spans="1:19" ht="17.25" thickBot="1"/>
    <row r="94" spans="1:19" ht="17.25" thickBot="1">
      <c r="A94" s="246" t="s">
        <v>46</v>
      </c>
      <c r="B94" s="247"/>
      <c r="C94" s="247"/>
      <c r="D94" s="247"/>
      <c r="E94" s="247"/>
      <c r="F94" s="247"/>
      <c r="G94" s="247"/>
      <c r="H94" s="247"/>
      <c r="I94" s="247"/>
      <c r="J94" s="247"/>
      <c r="K94" s="247"/>
      <c r="L94" s="247"/>
      <c r="M94" s="247"/>
      <c r="N94" s="247"/>
      <c r="O94" s="248"/>
      <c r="Q94" s="245"/>
      <c r="R94" s="245"/>
      <c r="S94" s="245"/>
    </row>
    <row r="95" spans="1:19" ht="17.25" thickBot="1">
      <c r="A95" s="204" t="s">
        <v>297</v>
      </c>
      <c r="B95" s="246" t="s">
        <v>49</v>
      </c>
      <c r="C95" s="248"/>
      <c r="D95" s="246" t="s">
        <v>58</v>
      </c>
      <c r="E95" s="247"/>
      <c r="F95" s="248"/>
      <c r="G95" s="249">
        <f>_xlfn.IFNA(VLOOKUP(B95, 현재가테이블!$B$2:$D$200, 2, FALSE), "-")</f>
        <v>45335000</v>
      </c>
      <c r="H95" s="250"/>
      <c r="I95" s="251"/>
      <c r="J95" s="246" t="s">
        <v>59</v>
      </c>
      <c r="K95" s="247"/>
      <c r="L95" s="248"/>
      <c r="M95" s="252">
        <f>_xlfn.IFNA(VLOOKUP(B95, 현재가테이블!$B$2:$D$200, 3, FALSE), "-")</f>
        <v>-2.27209037E-2</v>
      </c>
      <c r="N95" s="253"/>
      <c r="O95" s="254"/>
      <c r="Q95" s="245"/>
      <c r="R95" s="245"/>
      <c r="S95" s="245"/>
    </row>
    <row r="96" spans="1:19" ht="17.25" thickBot="1">
      <c r="A96" s="290" t="s">
        <v>55</v>
      </c>
      <c r="B96" s="286" t="str">
        <f>TEXT($G$1, "[$-ko-KR]yyyy-mm-dd(ddd) ") &amp; "오전 00:00"</f>
        <v>2021-06-12(토) 오전 00:00</v>
      </c>
      <c r="C96" s="287"/>
      <c r="D96" s="259" t="str">
        <f>TEXT($G$1, "[$-ko-KR]yyyy-mm-dd(ddd) ") &amp; "오후 14:00"</f>
        <v>2021-06-12(토) 오후 14:00</v>
      </c>
      <c r="E96" s="260"/>
      <c r="F96" s="261"/>
      <c r="G96" s="259" t="str">
        <f>TEXT($G$1, "[$-ko-KR]yyyy-mm-dd(ddd) ") &amp; "오후 19:00"</f>
        <v>2021-06-12(토) 오후 19:00</v>
      </c>
      <c r="H96" s="260"/>
      <c r="I96" s="261"/>
      <c r="J96" s="259" t="str">
        <f>TEXT($G$1, "[$-ko-KR]yyyy-mm-dd(ddd) ") &amp; "오후 21:00"</f>
        <v>2021-06-12(토) 오후 21:00</v>
      </c>
      <c r="K96" s="260"/>
      <c r="L96" s="261"/>
      <c r="M96" s="259" t="str">
        <f>TEXT($G$1+1, "[$-ko-KR]yyyy-mm-dd(ddd) ") &amp; "오전 00:00"</f>
        <v>2021-06-13(일) 오전 00:00</v>
      </c>
      <c r="N96" s="260"/>
      <c r="O96" s="261"/>
      <c r="Q96" s="245"/>
      <c r="R96" s="245"/>
      <c r="S96" s="245"/>
    </row>
    <row r="97" spans="1:19" ht="17.25" thickBot="1">
      <c r="A97" s="291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205" t="s">
        <v>58</v>
      </c>
      <c r="H97" s="206" t="s">
        <v>298</v>
      </c>
      <c r="I97" s="207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5"/>
      <c r="R97" s="235"/>
      <c r="S97" s="235"/>
    </row>
    <row r="98" spans="1:19" ht="17.25" thickBot="1">
      <c r="A98" s="161" t="s">
        <v>266</v>
      </c>
      <c r="B98" s="124">
        <v>70.8</v>
      </c>
      <c r="C98" s="76">
        <v>0.2421052632</v>
      </c>
      <c r="D98" s="13">
        <v>55.8</v>
      </c>
      <c r="E98" s="14">
        <f>IF(ISNUMBER(D98), (D98 - $B98) / $B98, "")</f>
        <v>-0.21186440677966104</v>
      </c>
      <c r="F98" s="16">
        <f>IF(ISNUMBER(D98), $B118 * E98, "")</f>
        <v>-21186.440677966104</v>
      </c>
      <c r="G98" s="29">
        <v>55.5</v>
      </c>
      <c r="H98" s="14">
        <f>IF(ISNUMBER(G98), (G98 - $B98) / $B98, "")</f>
        <v>-0.21610169491525422</v>
      </c>
      <c r="I98" s="100">
        <f>IF(ISNUMBER(G98), $B118 * H98, "")</f>
        <v>-21610.169491525423</v>
      </c>
      <c r="J98" s="13">
        <v>56.3</v>
      </c>
      <c r="K98" s="14">
        <f>IF(ISNUMBER(J98), (J98 - $B98) / $B98, "")</f>
        <v>-0.20480225988700565</v>
      </c>
      <c r="L98" s="16">
        <f>IF(ISNUMBER(J98), $B118 * K98, "")</f>
        <v>-20480.225988700564</v>
      </c>
      <c r="M98" s="29">
        <v>56.6</v>
      </c>
      <c r="N98" s="14">
        <f>IF(ISNUMBER(M98), (M98 - $B98) / $B98, "")</f>
        <v>-0.20056497175141239</v>
      </c>
      <c r="O98" s="16">
        <f>IF(ISNUMBER(M98), $B118 * N98, "")</f>
        <v>-20056.497175141238</v>
      </c>
      <c r="Q98" s="245"/>
      <c r="R98" s="245"/>
      <c r="S98" s="245"/>
    </row>
    <row r="99" spans="1:19" ht="17.25" thickBot="1">
      <c r="A99" s="162" t="s">
        <v>88</v>
      </c>
      <c r="B99" s="126">
        <v>372</v>
      </c>
      <c r="C99" s="77">
        <v>0.15170278640000001</v>
      </c>
      <c r="D99" s="15">
        <v>346</v>
      </c>
      <c r="E99" s="32">
        <f t="shared" ref="E99:E102" si="46">IF(ISNUMBER(D99), (D99 - $B99) / $B99, "")</f>
        <v>-6.9892473118279563E-2</v>
      </c>
      <c r="F99" s="18">
        <f>IF(ISNUMBER(D99), $B118 * E99, "")</f>
        <v>-6989.2473118279568</v>
      </c>
      <c r="G99" s="31">
        <v>334</v>
      </c>
      <c r="H99" s="32">
        <f t="shared" ref="H99:H102" si="47">IF(ISNUMBER(G99), (G99 - $B99) / $B99, "")</f>
        <v>-0.10215053763440861</v>
      </c>
      <c r="I99" s="101">
        <f>IF(ISNUMBER(G99), $B118 * H99, "")</f>
        <v>-10215.053763440861</v>
      </c>
      <c r="J99" s="15">
        <v>335</v>
      </c>
      <c r="K99" s="32">
        <f t="shared" ref="K99:K102" si="48">IF(ISNUMBER(J99), (J99 - $B99) / $B99, "")</f>
        <v>-9.9462365591397844E-2</v>
      </c>
      <c r="L99" s="18">
        <f>IF(ISNUMBER(J99), $B118 * K99, "")</f>
        <v>-9946.2365591397847</v>
      </c>
      <c r="M99" s="31">
        <v>333</v>
      </c>
      <c r="N99" s="32">
        <f t="shared" ref="N99:N102" si="49">IF(ISNUMBER(M99), (M99 - $B99) / $B99, "")</f>
        <v>-0.10483870967741936</v>
      </c>
      <c r="O99" s="18">
        <f>IF(ISNUMBER(M99), $B118 * N99, "")</f>
        <v>-10483.870967741936</v>
      </c>
      <c r="Q99" s="245"/>
      <c r="R99" s="245"/>
      <c r="S99" s="245"/>
    </row>
    <row r="100" spans="1:19" ht="17.25" thickBot="1">
      <c r="A100" s="162" t="s">
        <v>158</v>
      </c>
      <c r="B100" s="126">
        <v>5095</v>
      </c>
      <c r="C100" s="77">
        <v>0.1040086674</v>
      </c>
      <c r="D100" s="15">
        <v>4455</v>
      </c>
      <c r="E100" s="32">
        <f t="shared" si="46"/>
        <v>-0.12561334641805691</v>
      </c>
      <c r="F100" s="18">
        <f>IF(ISNUMBER(D100), $B118 * E100, "")</f>
        <v>-12561.334641805692</v>
      </c>
      <c r="G100" s="31">
        <v>4495</v>
      </c>
      <c r="H100" s="32">
        <f t="shared" si="47"/>
        <v>-0.11776251226692837</v>
      </c>
      <c r="I100" s="101">
        <f>IF(ISNUMBER(G100), $B118 * H100, "")</f>
        <v>-11776.251226692837</v>
      </c>
      <c r="J100" s="15">
        <v>4530</v>
      </c>
      <c r="K100" s="32">
        <f t="shared" si="48"/>
        <v>-0.11089303238469088</v>
      </c>
      <c r="L100" s="18">
        <f>IF(ISNUMBER(J100), $B118 * K100, "")</f>
        <v>-11089.303238469089</v>
      </c>
      <c r="M100" s="31">
        <v>4480</v>
      </c>
      <c r="N100" s="32">
        <f t="shared" si="49"/>
        <v>-0.12070657507360157</v>
      </c>
      <c r="O100" s="18">
        <f>IF(ISNUMBER(M100), $B118 * N100, "")</f>
        <v>-12070.657507360156</v>
      </c>
      <c r="Q100" s="235"/>
      <c r="R100" s="235"/>
      <c r="S100" s="235"/>
    </row>
    <row r="101" spans="1:19" ht="17.25" thickBot="1">
      <c r="A101" s="162" t="s">
        <v>160</v>
      </c>
      <c r="B101" s="126">
        <v>1640</v>
      </c>
      <c r="C101" s="77">
        <v>8.2508250800000002E-2</v>
      </c>
      <c r="D101" s="15">
        <v>1370</v>
      </c>
      <c r="E101" s="32">
        <f t="shared" si="46"/>
        <v>-0.16463414634146342</v>
      </c>
      <c r="F101" s="18">
        <f>IF(ISNUMBER(D101), $B118 * E101, "")</f>
        <v>-16463.414634146342</v>
      </c>
      <c r="G101" s="31">
        <v>1395</v>
      </c>
      <c r="H101" s="32">
        <f t="shared" si="47"/>
        <v>-0.14939024390243902</v>
      </c>
      <c r="I101" s="101">
        <f>IF(ISNUMBER(G101), $B118 * H101, "")</f>
        <v>-14939.024390243902</v>
      </c>
      <c r="J101" s="15">
        <v>1440</v>
      </c>
      <c r="K101" s="32">
        <f t="shared" si="48"/>
        <v>-0.12195121951219512</v>
      </c>
      <c r="L101" s="18">
        <f>IF(ISNUMBER(J101), $B118 * K101, "")</f>
        <v>-12195.121951219511</v>
      </c>
      <c r="M101" s="31">
        <v>1440</v>
      </c>
      <c r="N101" s="32">
        <f t="shared" si="49"/>
        <v>-0.12195121951219512</v>
      </c>
      <c r="O101" s="18">
        <f>IF(ISNUMBER(M101), $B118 * N101, "")</f>
        <v>-12195.121951219511</v>
      </c>
      <c r="Q101" s="235"/>
      <c r="R101" s="235"/>
      <c r="S101" s="235"/>
    </row>
    <row r="102" spans="1:19" ht="17.25" thickBot="1">
      <c r="A102" s="163" t="s">
        <v>206</v>
      </c>
      <c r="B102" s="128">
        <v>15770</v>
      </c>
      <c r="C102" s="78">
        <v>7.4250681200000002E-2</v>
      </c>
      <c r="D102" s="20">
        <v>13480</v>
      </c>
      <c r="E102" s="21">
        <f t="shared" si="46"/>
        <v>-0.14521242866201647</v>
      </c>
      <c r="F102" s="22">
        <f>IF(ISNUMBER(D102), $B118 * E102, "")</f>
        <v>-14521.242866201648</v>
      </c>
      <c r="G102" s="30">
        <v>13610</v>
      </c>
      <c r="H102" s="21">
        <f t="shared" si="47"/>
        <v>-0.13696892834495877</v>
      </c>
      <c r="I102" s="105">
        <f>IF(ISNUMBER(G102), $B118 * H102, "")</f>
        <v>-13696.892834495877</v>
      </c>
      <c r="J102" s="20">
        <v>13620</v>
      </c>
      <c r="K102" s="21">
        <f t="shared" si="48"/>
        <v>-0.13633481293595434</v>
      </c>
      <c r="L102" s="22">
        <f>IF(ISNUMBER(J102), $B118 * K102, "")</f>
        <v>-13633.481293595434</v>
      </c>
      <c r="M102" s="30">
        <v>13780</v>
      </c>
      <c r="N102" s="21">
        <f t="shared" si="49"/>
        <v>-0.12618896639188332</v>
      </c>
      <c r="O102" s="22">
        <f>IF(ISNUMBER(M102), $B118 * N102, "")</f>
        <v>-12618.896639188331</v>
      </c>
      <c r="Q102" s="235"/>
      <c r="R102" s="235"/>
      <c r="S102" s="235"/>
    </row>
    <row r="103" spans="1:19" ht="17.25" thickBot="1">
      <c r="A103" s="162" t="s">
        <v>116</v>
      </c>
      <c r="B103" s="129">
        <v>374</v>
      </c>
      <c r="C103" s="80">
        <v>6.25E-2</v>
      </c>
      <c r="D103" s="106">
        <v>306</v>
      </c>
      <c r="E103" s="107">
        <f>IF(ISNUMBER(D103), (D103 - $B103) / $B103, "")</f>
        <v>-0.18181818181818182</v>
      </c>
      <c r="F103" s="108">
        <f>IF(ISNUMBER(D103), $B118 * E103, "")</f>
        <v>-18181.818181818184</v>
      </c>
      <c r="G103" s="109">
        <v>308</v>
      </c>
      <c r="H103" s="107">
        <f>IF(ISNUMBER(G103), (G103 - $B103) / $B103, "")</f>
        <v>-0.17647058823529413</v>
      </c>
      <c r="I103" s="110">
        <f>IF(ISNUMBER(G103), $B118 * H103, "")</f>
        <v>-17647.058823529413</v>
      </c>
      <c r="J103" s="106">
        <v>313</v>
      </c>
      <c r="K103" s="107">
        <f>IF(ISNUMBER(J103), (J103 - $B103) / $B103, "")</f>
        <v>-0.16310160427807488</v>
      </c>
      <c r="L103" s="108">
        <f>IF(ISNUMBER(J103), $B118 * K103, "")</f>
        <v>-16310.160427807488</v>
      </c>
      <c r="M103" s="109">
        <v>313</v>
      </c>
      <c r="N103" s="107">
        <f>IF(ISNUMBER(M103), (M103 - $B103) / $B103, "")</f>
        <v>-0.16310160427807488</v>
      </c>
      <c r="O103" s="108">
        <f>IF(ISNUMBER(M103), $B118 * N103, "")</f>
        <v>-16310.160427807488</v>
      </c>
      <c r="Q103" s="235"/>
      <c r="R103" s="235"/>
      <c r="S103" s="235"/>
    </row>
    <row r="104" spans="1:19" ht="17.25" thickBot="1">
      <c r="A104" s="162" t="s">
        <v>61</v>
      </c>
      <c r="B104" s="126">
        <v>850</v>
      </c>
      <c r="C104" s="77">
        <v>4.2944785300000003E-2</v>
      </c>
      <c r="D104" s="15">
        <v>748</v>
      </c>
      <c r="E104" s="32">
        <f t="shared" ref="E104:E107" si="50">IF(ISNUMBER(D104), (D104 - $B104) / $B104, "")</f>
        <v>-0.12</v>
      </c>
      <c r="F104" s="18">
        <f>IF(ISNUMBER(D104), $B118 * E104, "")</f>
        <v>-12000</v>
      </c>
      <c r="G104" s="31">
        <v>756</v>
      </c>
      <c r="H104" s="32">
        <f t="shared" ref="H104:H107" si="51">IF(ISNUMBER(G104), (G104 - $B104) / $B104, "")</f>
        <v>-0.11058823529411765</v>
      </c>
      <c r="I104" s="101">
        <f>IF(ISNUMBER(G104), $B118 * H104, "")</f>
        <v>-11058.823529411766</v>
      </c>
      <c r="J104" s="15">
        <v>774</v>
      </c>
      <c r="K104" s="32">
        <f t="shared" ref="K104:K107" si="52">IF(ISNUMBER(J104), (J104 - $B104) / $B104, "")</f>
        <v>-8.9411764705882357E-2</v>
      </c>
      <c r="L104" s="18">
        <f>IF(ISNUMBER(J104), $B118 * K104, "")</f>
        <v>-8941.176470588236</v>
      </c>
      <c r="M104" s="31">
        <v>778</v>
      </c>
      <c r="N104" s="32">
        <f t="shared" ref="N104:N107" si="53">IF(ISNUMBER(M104), (M104 - $B104) / $B104, "")</f>
        <v>-8.4705882352941173E-2</v>
      </c>
      <c r="O104" s="18">
        <f>IF(ISNUMBER(M104), $B118 * N104, "")</f>
        <v>-8470.5882352941171</v>
      </c>
      <c r="Q104" s="235"/>
      <c r="R104" s="235"/>
      <c r="S104" s="235"/>
    </row>
    <row r="105" spans="1:19" ht="17.25" thickBot="1">
      <c r="A105" s="162" t="s">
        <v>80</v>
      </c>
      <c r="B105" s="126">
        <v>805</v>
      </c>
      <c r="C105" s="77">
        <v>3.4704370200000001E-2</v>
      </c>
      <c r="D105" s="15">
        <v>702</v>
      </c>
      <c r="E105" s="32">
        <f t="shared" si="50"/>
        <v>-0.12795031055900621</v>
      </c>
      <c r="F105" s="18">
        <f>IF(ISNUMBER(D105), $B118 * E105, "")</f>
        <v>-12795.031055900621</v>
      </c>
      <c r="G105" s="31">
        <v>704</v>
      </c>
      <c r="H105" s="32">
        <f t="shared" si="51"/>
        <v>-0.12546583850931678</v>
      </c>
      <c r="I105" s="101">
        <f>IF(ISNUMBER(G105), $B118 * H105, "")</f>
        <v>-12546.583850931678</v>
      </c>
      <c r="J105" s="15">
        <v>726</v>
      </c>
      <c r="K105" s="32">
        <f t="shared" si="52"/>
        <v>-9.8136645962732916E-2</v>
      </c>
      <c r="L105" s="18">
        <f>IF(ISNUMBER(J105), $B118 * K105, "")</f>
        <v>-9813.664596273291</v>
      </c>
      <c r="M105" s="31">
        <v>731</v>
      </c>
      <c r="N105" s="32">
        <f t="shared" si="53"/>
        <v>-9.1925465838509315E-2</v>
      </c>
      <c r="O105" s="18">
        <f>IF(ISNUMBER(M105), $B118 * N105, "")</f>
        <v>-9192.5465838509317</v>
      </c>
      <c r="Q105" s="235"/>
      <c r="R105" s="235"/>
      <c r="S105" s="235"/>
    </row>
    <row r="106" spans="1:19" ht="17.25" thickBot="1">
      <c r="A106" s="162" t="s">
        <v>136</v>
      </c>
      <c r="B106" s="126">
        <v>129</v>
      </c>
      <c r="C106" s="77">
        <v>1.5748031499999999E-2</v>
      </c>
      <c r="D106" s="15">
        <v>112</v>
      </c>
      <c r="E106" s="32">
        <f t="shared" si="50"/>
        <v>-0.13178294573643412</v>
      </c>
      <c r="F106" s="18">
        <f>IF(ISNUMBER(D106), $B118 * E106, "")</f>
        <v>-13178.294573643412</v>
      </c>
      <c r="G106" s="31">
        <v>110</v>
      </c>
      <c r="H106" s="32">
        <f t="shared" si="51"/>
        <v>-0.14728682170542637</v>
      </c>
      <c r="I106" s="101">
        <f>IF(ISNUMBER(G106), $B118 * H106, "")</f>
        <v>-14728.682170542637</v>
      </c>
      <c r="J106" s="15">
        <v>115</v>
      </c>
      <c r="K106" s="32">
        <f t="shared" si="52"/>
        <v>-0.10852713178294573</v>
      </c>
      <c r="L106" s="18">
        <f>IF(ISNUMBER(J106), $B118 * K106, "")</f>
        <v>-10852.713178294574</v>
      </c>
      <c r="M106" s="31">
        <v>115</v>
      </c>
      <c r="N106" s="32">
        <f t="shared" si="53"/>
        <v>-0.10852713178294573</v>
      </c>
      <c r="O106" s="18">
        <f>IF(ISNUMBER(M106), $B118 * N106, "")</f>
        <v>-10852.713178294574</v>
      </c>
      <c r="Q106" s="33"/>
      <c r="R106" s="33"/>
    </row>
    <row r="107" spans="1:19" ht="17.25" thickBot="1">
      <c r="A107" s="130" t="s">
        <v>90</v>
      </c>
      <c r="B107" s="131">
        <v>195600</v>
      </c>
      <c r="C107" s="79">
        <v>1.50492994E-2</v>
      </c>
      <c r="D107" s="24">
        <v>186300</v>
      </c>
      <c r="E107" s="25">
        <f t="shared" si="50"/>
        <v>-4.7546012269938653E-2</v>
      </c>
      <c r="F107" s="104">
        <f>IF(ISNUMBER(D107), $B118 * E107, "")</f>
        <v>-4754.6012269938656</v>
      </c>
      <c r="G107" s="102">
        <v>185300</v>
      </c>
      <c r="H107" s="25">
        <f t="shared" si="51"/>
        <v>-5.2658486707566461E-2</v>
      </c>
      <c r="I107" s="103">
        <f>IF(ISNUMBER(G107), $B118 * H107, "")</f>
        <v>-5265.8486707566462</v>
      </c>
      <c r="J107" s="24">
        <v>189300</v>
      </c>
      <c r="K107" s="25">
        <f t="shared" si="52"/>
        <v>-3.2208588957055216E-2</v>
      </c>
      <c r="L107" s="104">
        <f>IF(ISNUMBER(J107), $B118 * K107, "")</f>
        <v>-3220.8588957055217</v>
      </c>
      <c r="M107" s="102">
        <v>188350</v>
      </c>
      <c r="N107" s="25">
        <f t="shared" si="53"/>
        <v>-3.7065439672801639E-2</v>
      </c>
      <c r="O107" s="104">
        <f>IF(ISNUMBER(M107), $B118 * N107, "")</f>
        <v>-3706.543967280164</v>
      </c>
      <c r="Q107" s="236"/>
      <c r="R107" s="237"/>
      <c r="S107" s="238"/>
    </row>
    <row r="108" spans="1:19">
      <c r="A108" s="161" t="s">
        <v>164</v>
      </c>
      <c r="B108" s="124">
        <v>16660</v>
      </c>
      <c r="C108" s="76">
        <v>1.39987827E-2</v>
      </c>
      <c r="D108" s="13">
        <v>15710</v>
      </c>
      <c r="E108" s="14">
        <f>IF(ISNUMBER(D108), (D108 - $B108) / $B108, "")</f>
        <v>-5.7022809123649459E-2</v>
      </c>
      <c r="F108" s="16">
        <f>IF(ISNUMBER(D108), $B118 * E108, "")</f>
        <v>-5702.2809123649458</v>
      </c>
      <c r="G108" s="29">
        <v>16550</v>
      </c>
      <c r="H108" s="14">
        <f>IF(ISNUMBER(G108), (G108 - $B108) / $B108, "")</f>
        <v>-6.6026410564225691E-3</v>
      </c>
      <c r="I108" s="100">
        <f>IF(ISNUMBER(G108), $B118 * H108, "")</f>
        <v>-660.26410564225694</v>
      </c>
      <c r="J108" s="13">
        <v>16880</v>
      </c>
      <c r="K108" s="14">
        <f>IF(ISNUMBER(J108), (J108 - $B108) / $B108, "")</f>
        <v>1.3205282112845138E-2</v>
      </c>
      <c r="L108" s="16">
        <f>IF(ISNUMBER(J108), $B118 * K108, "")</f>
        <v>1320.5282112845139</v>
      </c>
      <c r="M108" s="29">
        <v>17420</v>
      </c>
      <c r="N108" s="14">
        <f>IF(ISNUMBER(M108), (M108 - $B108) / $B108, "")</f>
        <v>4.561824729891957E-2</v>
      </c>
      <c r="O108" s="16">
        <f>IF(ISNUMBER(M108), $B118 * N108, "")</f>
        <v>4561.8247298919568</v>
      </c>
      <c r="Q108" s="239"/>
      <c r="R108" s="240"/>
      <c r="S108" s="241"/>
    </row>
    <row r="109" spans="1:19" ht="17.25" thickBot="1">
      <c r="A109" s="162" t="s">
        <v>166</v>
      </c>
      <c r="B109" s="126">
        <v>1170</v>
      </c>
      <c r="C109" s="77">
        <v>1.2987013E-2</v>
      </c>
      <c r="D109" s="15">
        <v>1015</v>
      </c>
      <c r="E109" s="32">
        <f t="shared" ref="E109:E112" si="54">IF(ISNUMBER(D109), (D109 - $B109) / $B109, "")</f>
        <v>-0.13247863247863248</v>
      </c>
      <c r="F109" s="18">
        <f>IF(ISNUMBER(D109), $B118 * E109, "")</f>
        <v>-13247.863247863248</v>
      </c>
      <c r="G109" s="31">
        <v>1035</v>
      </c>
      <c r="H109" s="32">
        <f t="shared" ref="H109:H112" si="55">IF(ISNUMBER(G109), (G109 - $B109) / $B109, "")</f>
        <v>-0.11538461538461539</v>
      </c>
      <c r="I109" s="101">
        <f>IF(ISNUMBER(G109), $B118 * H109, "")</f>
        <v>-11538.461538461539</v>
      </c>
      <c r="J109" s="15">
        <v>1050</v>
      </c>
      <c r="K109" s="32">
        <f t="shared" ref="K109:K112" si="56">IF(ISNUMBER(J109), (J109 - $B109) / $B109, "")</f>
        <v>-0.10256410256410256</v>
      </c>
      <c r="L109" s="18">
        <f>IF(ISNUMBER(J109), $B118 * K109, "")</f>
        <v>-10256.410256410256</v>
      </c>
      <c r="M109" s="31">
        <v>1060</v>
      </c>
      <c r="N109" s="32">
        <f t="shared" ref="N109:N112" si="57">IF(ISNUMBER(M109), (M109 - $B109) / $B109, "")</f>
        <v>-9.4017094017094016E-2</v>
      </c>
      <c r="O109" s="18">
        <f>IF(ISNUMBER(M109), $B118 * N109, "")</f>
        <v>-9401.7094017094023</v>
      </c>
      <c r="Q109" s="242"/>
      <c r="R109" s="243"/>
      <c r="S109" s="244"/>
    </row>
    <row r="110" spans="1:19" ht="17.25" thickBot="1">
      <c r="A110" s="162" t="s">
        <v>49</v>
      </c>
      <c r="B110" s="126">
        <v>43170000</v>
      </c>
      <c r="C110" s="77">
        <v>7.7971799000000003E-3</v>
      </c>
      <c r="D110" s="15">
        <v>41164000</v>
      </c>
      <c r="E110" s="32">
        <f t="shared" si="54"/>
        <v>-4.6467454250637016E-2</v>
      </c>
      <c r="F110" s="18">
        <f>IF(ISNUMBER(D110), $B118 * E110, "")</f>
        <v>-4646.745425063702</v>
      </c>
      <c r="G110" s="31">
        <v>41199000</v>
      </c>
      <c r="H110" s="32">
        <f t="shared" si="55"/>
        <v>-4.5656706045865185E-2</v>
      </c>
      <c r="I110" s="101">
        <f>IF(ISNUMBER(G110), $B118 * H110, "")</f>
        <v>-4565.6706045865185</v>
      </c>
      <c r="J110" s="15">
        <v>41639000</v>
      </c>
      <c r="K110" s="32">
        <f t="shared" si="56"/>
        <v>-3.5464442900162152E-2</v>
      </c>
      <c r="L110" s="18">
        <f>IF(ISNUMBER(J110), $B118 * K110, "")</f>
        <v>-3546.4442900162153</v>
      </c>
      <c r="M110" s="31">
        <v>41418000</v>
      </c>
      <c r="N110" s="32">
        <f t="shared" si="57"/>
        <v>-4.0583738707435722E-2</v>
      </c>
      <c r="O110" s="18">
        <f>IF(ISNUMBER(M110), $B118 * N110, "")</f>
        <v>-4058.3738707435723</v>
      </c>
      <c r="Q110" s="235"/>
      <c r="R110" s="235"/>
      <c r="S110" s="235"/>
    </row>
    <row r="111" spans="1:19" ht="17.25" thickBot="1">
      <c r="A111" s="162" t="s">
        <v>120</v>
      </c>
      <c r="B111" s="126">
        <v>139</v>
      </c>
      <c r="C111" s="77">
        <v>7.2463768E-3</v>
      </c>
      <c r="D111" s="15">
        <v>131</v>
      </c>
      <c r="E111" s="32">
        <f t="shared" si="54"/>
        <v>-5.7553956834532377E-2</v>
      </c>
      <c r="F111" s="18">
        <f>IF(ISNUMBER(D111), $B118 * E111, "")</f>
        <v>-5755.3956834532373</v>
      </c>
      <c r="G111" s="31">
        <v>130</v>
      </c>
      <c r="H111" s="32">
        <f t="shared" si="55"/>
        <v>-6.4748201438848921E-2</v>
      </c>
      <c r="I111" s="101">
        <f>IF(ISNUMBER(G111), $B118 * H111, "")</f>
        <v>-6474.8201438848919</v>
      </c>
      <c r="J111" s="15">
        <v>131</v>
      </c>
      <c r="K111" s="32">
        <f t="shared" si="56"/>
        <v>-5.7553956834532377E-2</v>
      </c>
      <c r="L111" s="18">
        <f>IF(ISNUMBER(J111), $B118 * K111, "")</f>
        <v>-5755.3956834532373</v>
      </c>
      <c r="M111" s="31">
        <v>131</v>
      </c>
      <c r="N111" s="32">
        <f t="shared" si="57"/>
        <v>-5.7553956834532377E-2</v>
      </c>
      <c r="O111" s="18">
        <f>IF(ISNUMBER(M111), $B118 * N111, "")</f>
        <v>-5755.3956834532373</v>
      </c>
      <c r="Q111" s="245"/>
      <c r="R111" s="245"/>
      <c r="S111" s="245"/>
    </row>
    <row r="112" spans="1:19" ht="17.25" thickBot="1">
      <c r="A112" s="163" t="s">
        <v>86</v>
      </c>
      <c r="B112" s="128">
        <v>5950</v>
      </c>
      <c r="C112" s="78">
        <v>8.4104290000000005E-4</v>
      </c>
      <c r="D112" s="20">
        <v>5460</v>
      </c>
      <c r="E112" s="21">
        <f t="shared" si="54"/>
        <v>-8.2352941176470587E-2</v>
      </c>
      <c r="F112" s="22">
        <f>IF(ISNUMBER(D112), $B118 * E112, "")</f>
        <v>-8235.2941176470595</v>
      </c>
      <c r="G112" s="30">
        <v>5500</v>
      </c>
      <c r="H112" s="21">
        <f t="shared" si="55"/>
        <v>-7.5630252100840331E-2</v>
      </c>
      <c r="I112" s="105">
        <f>IF(ISNUMBER(G112), $B118 * H112, "")</f>
        <v>-7563.0252100840335</v>
      </c>
      <c r="J112" s="20">
        <v>5625</v>
      </c>
      <c r="K112" s="21">
        <f t="shared" si="56"/>
        <v>-5.4621848739495799E-2</v>
      </c>
      <c r="L112" s="22">
        <f>IF(ISNUMBER(J112), $B118 * K112, "")</f>
        <v>-5462.1848739495799</v>
      </c>
      <c r="M112" s="30">
        <v>5620</v>
      </c>
      <c r="N112" s="21">
        <f t="shared" si="57"/>
        <v>-5.5462184873949577E-2</v>
      </c>
      <c r="O112" s="22">
        <f>IF(ISNUMBER(M112), $B118 * N112, "")</f>
        <v>-5546.2184873949573</v>
      </c>
      <c r="Q112" s="245"/>
      <c r="R112" s="245"/>
      <c r="S112" s="245"/>
    </row>
    <row r="113" spans="1:19" ht="17.25" thickBot="1">
      <c r="A113" s="162" t="s">
        <v>54</v>
      </c>
      <c r="B113" s="129">
        <v>240</v>
      </c>
      <c r="C113" s="80">
        <v>0</v>
      </c>
      <c r="D113" s="106">
        <v>210</v>
      </c>
      <c r="E113" s="107">
        <f>IF(ISNUMBER(D113), (D113 - $B113) / $B113, "")</f>
        <v>-0.125</v>
      </c>
      <c r="F113" s="108">
        <f>IF(ISNUMBER(D113), $B118 * E113, "")</f>
        <v>-12500</v>
      </c>
      <c r="G113" s="109">
        <v>213</v>
      </c>
      <c r="H113" s="107">
        <f>IF(ISNUMBER(G113), (G113 - $B113) / $B113, "")</f>
        <v>-0.1125</v>
      </c>
      <c r="I113" s="110">
        <f>IF(ISNUMBER(G113), $B118 * H113, "")</f>
        <v>-11250</v>
      </c>
      <c r="J113" s="106">
        <v>219</v>
      </c>
      <c r="K113" s="107">
        <f>IF(ISNUMBER(J113), (J113 - $B113) / $B113, "")</f>
        <v>-8.7499999999999994E-2</v>
      </c>
      <c r="L113" s="108">
        <f>IF(ISNUMBER(J113), $B118 * K113, "")</f>
        <v>-8750</v>
      </c>
      <c r="M113" s="109">
        <v>216</v>
      </c>
      <c r="N113" s="107">
        <f>IF(ISNUMBER(M113), (M113 - $B113) / $B113, "")</f>
        <v>-0.1</v>
      </c>
      <c r="O113" s="108">
        <f>IF(ISNUMBER(M113), $B118 * N113, "")</f>
        <v>-10000</v>
      </c>
      <c r="Q113" s="235"/>
      <c r="R113" s="235"/>
      <c r="S113" s="235"/>
    </row>
    <row r="114" spans="1:19" ht="17.25" thickBot="1">
      <c r="A114" s="162" t="s">
        <v>126</v>
      </c>
      <c r="B114" s="126">
        <v>27.2</v>
      </c>
      <c r="C114" s="77">
        <v>0</v>
      </c>
      <c r="D114" s="15">
        <v>23.5</v>
      </c>
      <c r="E114" s="32">
        <f t="shared" ref="E114:E117" si="58">IF(ISNUMBER(D114), (D114 - $B114) / $B114, "")</f>
        <v>-0.13602941176470587</v>
      </c>
      <c r="F114" s="18">
        <f>IF(ISNUMBER(D114), $B118 * E114, "")</f>
        <v>-13602.941176470587</v>
      </c>
      <c r="G114" s="31">
        <v>23.9</v>
      </c>
      <c r="H114" s="32">
        <f t="shared" ref="H114:H117" si="59">IF(ISNUMBER(G114), (G114 - $B114) / $B114, "")</f>
        <v>-0.12132352941176473</v>
      </c>
      <c r="I114" s="101">
        <f>IF(ISNUMBER(G114), $B118 * H114, "")</f>
        <v>-12132.352941176474</v>
      </c>
      <c r="J114" s="15">
        <v>24.3</v>
      </c>
      <c r="K114" s="32">
        <f t="shared" ref="K114:K117" si="60">IF(ISNUMBER(J114), (J114 - $B114) / $B114, "")</f>
        <v>-0.10661764705882348</v>
      </c>
      <c r="L114" s="18">
        <f>IF(ISNUMBER(J114), $B118 * K114, "")</f>
        <v>-10661.764705882348</v>
      </c>
      <c r="M114" s="31">
        <v>24.2</v>
      </c>
      <c r="N114" s="32">
        <f t="shared" ref="N114:N117" si="61">IF(ISNUMBER(M114), (M114 - $B114) / $B114, "")</f>
        <v>-0.11029411764705882</v>
      </c>
      <c r="O114" s="18">
        <f>IF(ISNUMBER(M114), $B118 * N114, "")</f>
        <v>-11029.411764705883</v>
      </c>
      <c r="Q114" s="235"/>
      <c r="R114" s="235"/>
      <c r="S114" s="235"/>
    </row>
    <row r="115" spans="1:19" ht="17.25" thickBot="1">
      <c r="A115" s="162" t="s">
        <v>102</v>
      </c>
      <c r="B115" s="126">
        <v>67810</v>
      </c>
      <c r="C115" s="77">
        <v>-3.6732294999999998E-3</v>
      </c>
      <c r="D115" s="15">
        <v>62770</v>
      </c>
      <c r="E115" s="32">
        <f t="shared" si="58"/>
        <v>-7.4325320749152046E-2</v>
      </c>
      <c r="F115" s="18">
        <f>IF(ISNUMBER(D115), $B118 * E115, "")</f>
        <v>-7432.5320749152042</v>
      </c>
      <c r="G115" s="31">
        <v>62970</v>
      </c>
      <c r="H115" s="32">
        <f t="shared" si="59"/>
        <v>-7.1375903259106324E-2</v>
      </c>
      <c r="I115" s="101">
        <f>IF(ISNUMBER(G115), $B118 * H115, "")</f>
        <v>-7137.5903259106326</v>
      </c>
      <c r="J115" s="15">
        <v>64660</v>
      </c>
      <c r="K115" s="32">
        <f t="shared" si="60"/>
        <v>-4.6453325468220029E-2</v>
      </c>
      <c r="L115" s="18">
        <f>IF(ISNUMBER(J115), $B118 * K115, "")</f>
        <v>-4645.3325468220028</v>
      </c>
      <c r="M115" s="31">
        <v>64440</v>
      </c>
      <c r="N115" s="32">
        <f t="shared" si="61"/>
        <v>-4.9697684707270311E-2</v>
      </c>
      <c r="O115" s="18">
        <f>IF(ISNUMBER(M115), $B118 * N115, "")</f>
        <v>-4969.7684707270309</v>
      </c>
      <c r="Q115" s="235"/>
      <c r="R115" s="235"/>
      <c r="S115" s="235"/>
    </row>
    <row r="116" spans="1:19">
      <c r="A116" s="162" t="s">
        <v>104</v>
      </c>
      <c r="B116" s="126">
        <v>1130</v>
      </c>
      <c r="C116" s="77">
        <v>-4.4052863000000001E-3</v>
      </c>
      <c r="D116" s="15">
        <v>1010</v>
      </c>
      <c r="E116" s="32">
        <f t="shared" si="58"/>
        <v>-0.10619469026548672</v>
      </c>
      <c r="F116" s="18">
        <f>IF(ISNUMBER(D116), $B118 * E116, "")</f>
        <v>-10619.469026548672</v>
      </c>
      <c r="G116" s="31">
        <v>1025</v>
      </c>
      <c r="H116" s="32">
        <f t="shared" si="59"/>
        <v>-9.2920353982300891E-2</v>
      </c>
      <c r="I116" s="101">
        <f>IF(ISNUMBER(G116), $B118 * H116, "")</f>
        <v>-9292.0353982300894</v>
      </c>
      <c r="J116" s="15">
        <v>1040</v>
      </c>
      <c r="K116" s="32">
        <f t="shared" si="60"/>
        <v>-7.9646017699115043E-2</v>
      </c>
      <c r="L116" s="18">
        <f>IF(ISNUMBER(J116), $B118 * K116, "")</f>
        <v>-7964.6017699115046</v>
      </c>
      <c r="M116" s="31">
        <v>1040</v>
      </c>
      <c r="N116" s="32">
        <f t="shared" si="61"/>
        <v>-7.9646017699115043E-2</v>
      </c>
      <c r="O116" s="18">
        <f>IF(ISNUMBER(M116), $B118 * N116, "")</f>
        <v>-7964.6017699115046</v>
      </c>
      <c r="Q116" s="224"/>
      <c r="R116" s="225"/>
      <c r="S116" s="226"/>
    </row>
    <row r="117" spans="1:19" ht="17.25" thickBot="1">
      <c r="A117" s="130" t="s">
        <v>130</v>
      </c>
      <c r="B117" s="131">
        <v>195500</v>
      </c>
      <c r="C117" s="79">
        <v>-4.5824847000000002E-3</v>
      </c>
      <c r="D117" s="24">
        <v>182000</v>
      </c>
      <c r="E117" s="25">
        <f t="shared" si="58"/>
        <v>-6.9053708439897693E-2</v>
      </c>
      <c r="F117" s="104">
        <f>IF(ISNUMBER(D117), $B118 * E117, "")</f>
        <v>-6905.3708439897691</v>
      </c>
      <c r="G117" s="102">
        <v>183550</v>
      </c>
      <c r="H117" s="25">
        <f t="shared" si="59"/>
        <v>-6.1125319693094628E-2</v>
      </c>
      <c r="I117" s="103">
        <f>IF(ISNUMBER(G117), $B118 * H117, "")</f>
        <v>-6112.5319693094625</v>
      </c>
      <c r="J117" s="24">
        <v>187000</v>
      </c>
      <c r="K117" s="25">
        <f t="shared" si="60"/>
        <v>-4.3478260869565216E-2</v>
      </c>
      <c r="L117" s="104">
        <f>IF(ISNUMBER(J117), $B118 * K117, "")</f>
        <v>-4347.826086956522</v>
      </c>
      <c r="M117" s="102">
        <v>188500</v>
      </c>
      <c r="N117" s="25">
        <f t="shared" si="61"/>
        <v>-3.5805626598465472E-2</v>
      </c>
      <c r="O117" s="104">
        <f>IF(ISNUMBER(M117), $B118 * N117, "")</f>
        <v>-3580.5626598465474</v>
      </c>
      <c r="Q117" s="227"/>
      <c r="R117" s="228"/>
      <c r="S117" s="229"/>
    </row>
    <row r="118" spans="1:19" ht="17.25" thickBot="1">
      <c r="A118" s="132" t="s">
        <v>300</v>
      </c>
      <c r="B118" s="288">
        <f>$B$37</f>
        <v>100000</v>
      </c>
      <c r="C118" s="289"/>
      <c r="D118" s="26" t="s">
        <v>301</v>
      </c>
      <c r="E118" s="27">
        <f>IF(COUNT(E98:E117), SUM(E98:E117) / COUNT(E98:E117), 0)</f>
        <v>-0.11063965883931012</v>
      </c>
      <c r="F118" s="28">
        <f>SUM(F98:F117)</f>
        <v>-221279.31767862025</v>
      </c>
      <c r="G118" s="26" t="s">
        <v>301</v>
      </c>
      <c r="H118" s="27">
        <f>IF(COUNT(H98:H117), SUM(H98:H117) / COUNT(H98:H117), 0)</f>
        <v>-0.10510557049442848</v>
      </c>
      <c r="I118" s="28">
        <f>SUM(I98:I117)</f>
        <v>-210211.14098885693</v>
      </c>
      <c r="J118" s="26" t="s">
        <v>301</v>
      </c>
      <c r="K118" s="27">
        <f>IF(COUNT(K98:K117), SUM(K98:K117) / COUNT(K98:K117), 0)</f>
        <v>-8.8276187300955308E-2</v>
      </c>
      <c r="L118" s="28">
        <f>SUM(L98:L117)</f>
        <v>-176552.37460191065</v>
      </c>
      <c r="M118" s="26" t="s">
        <v>301</v>
      </c>
      <c r="N118" s="27">
        <f>IF(COUNT(N98:N117), SUM(N98:N117) / COUNT(N98:N117), 0)</f>
        <v>-8.6850907005889322E-2</v>
      </c>
      <c r="O118" s="28">
        <f>SUM(O98:O117)</f>
        <v>-173701.81401177862</v>
      </c>
      <c r="Q118" s="230"/>
      <c r="R118" s="231"/>
      <c r="S118" s="232"/>
    </row>
    <row r="120" spans="1:19" ht="17.25" thickBot="1"/>
    <row r="121" spans="1:19" ht="17.25" thickBot="1">
      <c r="A121" s="246" t="s">
        <v>288</v>
      </c>
      <c r="B121" s="247"/>
      <c r="C121" s="247"/>
      <c r="D121" s="247"/>
      <c r="E121" s="247"/>
      <c r="F121" s="247"/>
      <c r="G121" s="247"/>
      <c r="H121" s="247"/>
      <c r="I121" s="247"/>
      <c r="J121" s="247"/>
      <c r="K121" s="247"/>
      <c r="L121" s="247"/>
      <c r="M121" s="247"/>
      <c r="N121" s="247"/>
      <c r="O121" s="248"/>
      <c r="Q121" s="245"/>
      <c r="R121" s="245"/>
      <c r="S121" s="245"/>
    </row>
    <row r="122" spans="1:19" ht="17.25" thickBot="1">
      <c r="A122" s="204" t="s">
        <v>297</v>
      </c>
      <c r="B122" s="246" t="s">
        <v>49</v>
      </c>
      <c r="C122" s="248"/>
      <c r="D122" s="246" t="s">
        <v>58</v>
      </c>
      <c r="E122" s="247"/>
      <c r="F122" s="248"/>
      <c r="G122" s="249">
        <f>_xlfn.IFNA(VLOOKUP(B122, 현재가테이블!$B$2:$D$200, 2, FALSE), "-")</f>
        <v>45335000</v>
      </c>
      <c r="H122" s="250"/>
      <c r="I122" s="251"/>
      <c r="J122" s="246" t="s">
        <v>59</v>
      </c>
      <c r="K122" s="247"/>
      <c r="L122" s="248"/>
      <c r="M122" s="252">
        <f>_xlfn.IFNA(VLOOKUP(B122, 현재가테이블!$B$2:$D$200, 3, FALSE), "-")</f>
        <v>-2.27209037E-2</v>
      </c>
      <c r="N122" s="253"/>
      <c r="O122" s="254"/>
      <c r="Q122" s="245"/>
      <c r="R122" s="245"/>
      <c r="S122" s="245"/>
    </row>
    <row r="123" spans="1:19" ht="17.25" thickBot="1">
      <c r="A123" s="290" t="s">
        <v>55</v>
      </c>
      <c r="B123" s="286" t="str">
        <f>TEXT($G$1, "[$-ko-KR]yyyy-mm-dd(ddd) ") &amp; "오전 00:00"</f>
        <v>2021-06-12(토) 오전 00:00</v>
      </c>
      <c r="C123" s="287"/>
      <c r="D123" s="259" t="str">
        <f>TEXT($G$1, "[$-ko-KR]yyyy-mm-dd(ddd) ") &amp; "오후 14:00"</f>
        <v>2021-06-12(토) 오후 14:00</v>
      </c>
      <c r="E123" s="260"/>
      <c r="F123" s="261"/>
      <c r="G123" s="259" t="str">
        <f>TEXT($G$1, "[$-ko-KR]yyyy-mm-dd(ddd) ") &amp; "오후 19:00"</f>
        <v>2021-06-12(토) 오후 19:00</v>
      </c>
      <c r="H123" s="260"/>
      <c r="I123" s="261"/>
      <c r="J123" s="259" t="str">
        <f>TEXT($G$1, "[$-ko-KR]yyyy-mm-dd(ddd) ") &amp; "오후 21:00"</f>
        <v>2021-06-12(토) 오후 21:00</v>
      </c>
      <c r="K123" s="260"/>
      <c r="L123" s="261"/>
      <c r="M123" s="259" t="str">
        <f>TEXT($G$1+1, "[$-ko-KR]yyyy-mm-dd(ddd) ") &amp; "오전 00:00"</f>
        <v>2021-06-13(일) 오전 00:00</v>
      </c>
      <c r="N123" s="260"/>
      <c r="O123" s="261"/>
      <c r="Q123" s="245"/>
      <c r="R123" s="245"/>
      <c r="S123" s="245"/>
    </row>
    <row r="124" spans="1:19" ht="17.25" thickBot="1">
      <c r="A124" s="291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205" t="s">
        <v>58</v>
      </c>
      <c r="H124" s="206" t="s">
        <v>298</v>
      </c>
      <c r="I124" s="207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5"/>
      <c r="R124" s="235"/>
      <c r="S124" s="235"/>
    </row>
    <row r="125" spans="1:19" ht="17.25" thickBot="1">
      <c r="A125" s="161" t="s">
        <v>168</v>
      </c>
      <c r="B125" s="124">
        <v>90.5</v>
      </c>
      <c r="C125" s="76">
        <v>-5.0367261300000001E-2</v>
      </c>
      <c r="D125" s="13">
        <v>78.8</v>
      </c>
      <c r="E125" s="14">
        <f>IF(ISNUMBER(D125), (D125 - $B125) / $B125, "")</f>
        <v>-0.12928176795580112</v>
      </c>
      <c r="F125" s="16">
        <f>IF(ISNUMBER(D125), $B145 * E125, "")</f>
        <v>-12928.176795580113</v>
      </c>
      <c r="G125" s="29">
        <v>80</v>
      </c>
      <c r="H125" s="14">
        <f>IF(ISNUMBER(G125), (G125 - $B125) / $B125, "")</f>
        <v>-0.11602209944751381</v>
      </c>
      <c r="I125" s="100">
        <f>IF(ISNUMBER(G125), $B145 * H125, "")</f>
        <v>-11602.209944751381</v>
      </c>
      <c r="J125" s="13">
        <v>80.900000000000006</v>
      </c>
      <c r="K125" s="14">
        <f>IF(ISNUMBER(J125), (J125 - $B125) / $B125, "")</f>
        <v>-0.10607734806629827</v>
      </c>
      <c r="L125" s="16">
        <f>IF(ISNUMBER(J125), $B145 * K125, "")</f>
        <v>-10607.734806629827</v>
      </c>
      <c r="M125" s="29">
        <v>80.8</v>
      </c>
      <c r="N125" s="14">
        <f>IF(ISNUMBER(M125), (M125 - $B125) / $B125, "")</f>
        <v>-0.10718232044198898</v>
      </c>
      <c r="O125" s="16">
        <f>IF(ISNUMBER(M125), $B145 * N125, "")</f>
        <v>-10718.232044198898</v>
      </c>
      <c r="Q125" s="245"/>
      <c r="R125" s="245"/>
      <c r="S125" s="245"/>
    </row>
    <row r="126" spans="1:19" ht="17.25" thickBot="1">
      <c r="A126" s="162" t="s">
        <v>152</v>
      </c>
      <c r="B126" s="126">
        <v>18.3</v>
      </c>
      <c r="C126" s="77">
        <v>-5.18134715E-2</v>
      </c>
      <c r="D126" s="15">
        <v>16.5</v>
      </c>
      <c r="E126" s="32">
        <f t="shared" ref="E126:E129" si="62">IF(ISNUMBER(D126), (D126 - $B126) / $B126, "")</f>
        <v>-9.8360655737704958E-2</v>
      </c>
      <c r="F126" s="18">
        <f>IF(ISNUMBER(D126), $B145 * E126, "")</f>
        <v>-9836.0655737704965</v>
      </c>
      <c r="G126" s="31">
        <v>16.5</v>
      </c>
      <c r="H126" s="32">
        <f t="shared" ref="H126:H129" si="63">IF(ISNUMBER(G126), (G126 - $B126) / $B126, "")</f>
        <v>-9.8360655737704958E-2</v>
      </c>
      <c r="I126" s="101">
        <f>IF(ISNUMBER(G126), $B145 * H126, "")</f>
        <v>-9836.0655737704965</v>
      </c>
      <c r="J126" s="15">
        <v>17.399999999999999</v>
      </c>
      <c r="K126" s="32">
        <f t="shared" ref="K126:K129" si="64">IF(ISNUMBER(J126), (J126 - $B126) / $B126, "")</f>
        <v>-4.9180327868852576E-2</v>
      </c>
      <c r="L126" s="18">
        <f>IF(ISNUMBER(J126), $B145 * K126, "")</f>
        <v>-4918.0327868852573</v>
      </c>
      <c r="M126" s="31">
        <v>17.2</v>
      </c>
      <c r="N126" s="32">
        <f t="shared" ref="N126:N129" si="65">IF(ISNUMBER(M126), (M126 - $B126) / $B126, "")</f>
        <v>-6.0109289617486412E-2</v>
      </c>
      <c r="O126" s="18">
        <f>IF(ISNUMBER(M126), $B145 * N126, "")</f>
        <v>-6010.9289617486411</v>
      </c>
      <c r="Q126" s="245"/>
      <c r="R126" s="245"/>
      <c r="S126" s="245"/>
    </row>
    <row r="127" spans="1:19" ht="17.25" thickBot="1">
      <c r="A127" s="162" t="s">
        <v>220</v>
      </c>
      <c r="B127" s="126">
        <v>10.9</v>
      </c>
      <c r="C127" s="77">
        <v>-9.1666666699999996E-2</v>
      </c>
      <c r="D127" s="15">
        <v>9.75</v>
      </c>
      <c r="E127" s="32">
        <f t="shared" si="62"/>
        <v>-0.10550458715596334</v>
      </c>
      <c r="F127" s="18">
        <f>IF(ISNUMBER(D127), $B145 * E127, "")</f>
        <v>-10550.458715596335</v>
      </c>
      <c r="G127" s="31">
        <v>9.89</v>
      </c>
      <c r="H127" s="32">
        <f t="shared" si="63"/>
        <v>-9.2660550458715574E-2</v>
      </c>
      <c r="I127" s="101">
        <f>IF(ISNUMBER(G127), $B145 * H127, "")</f>
        <v>-9266.055045871557</v>
      </c>
      <c r="J127" s="15">
        <v>9.94</v>
      </c>
      <c r="K127" s="32">
        <f t="shared" si="64"/>
        <v>-8.8073394495412918E-2</v>
      </c>
      <c r="L127" s="18">
        <f>IF(ISNUMBER(J127), $B145 * K127, "")</f>
        <v>-8807.3394495412922</v>
      </c>
      <c r="M127" s="31">
        <v>10</v>
      </c>
      <c r="N127" s="32">
        <f t="shared" si="65"/>
        <v>-8.2568807339449574E-2</v>
      </c>
      <c r="O127" s="18">
        <f>IF(ISNUMBER(M127), $B145 * N127, "")</f>
        <v>-8256.8807339449577</v>
      </c>
      <c r="Q127" s="235"/>
      <c r="R127" s="235"/>
      <c r="S127" s="235"/>
    </row>
    <row r="128" spans="1:19" ht="17.25" thickBot="1">
      <c r="A128" s="162" t="s">
        <v>260</v>
      </c>
      <c r="B128" s="126">
        <v>60.9</v>
      </c>
      <c r="C128" s="77">
        <v>-9.7777777799999993E-2</v>
      </c>
      <c r="D128" s="15">
        <v>65.7</v>
      </c>
      <c r="E128" s="32">
        <f t="shared" si="62"/>
        <v>7.8817733990147854E-2</v>
      </c>
      <c r="F128" s="18">
        <f>IF(ISNUMBER(D128), $B145 * E128, "")</f>
        <v>7881.7733990147854</v>
      </c>
      <c r="G128" s="31">
        <v>57.5</v>
      </c>
      <c r="H128" s="32">
        <f t="shared" si="63"/>
        <v>-5.5829228243021327E-2</v>
      </c>
      <c r="I128" s="101">
        <f>IF(ISNUMBER(G128), $B145 * H128, "")</f>
        <v>-5582.9228243021325</v>
      </c>
      <c r="J128" s="15">
        <v>57.1</v>
      </c>
      <c r="K128" s="32">
        <f t="shared" si="64"/>
        <v>-6.239737274220028E-2</v>
      </c>
      <c r="L128" s="18">
        <f>IF(ISNUMBER(J128), $B145 * K128, "")</f>
        <v>-6239.7372742200278</v>
      </c>
      <c r="M128" s="31">
        <v>56.4</v>
      </c>
      <c r="N128" s="32">
        <f t="shared" si="65"/>
        <v>-7.3891625615763554E-2</v>
      </c>
      <c r="O128" s="18">
        <f>IF(ISNUMBER(M128), $B145 * N128, "")</f>
        <v>-7389.1625615763551</v>
      </c>
      <c r="Q128" s="235"/>
      <c r="R128" s="235"/>
      <c r="S128" s="235"/>
    </row>
    <row r="129" spans="1:19" ht="17.25" thickBot="1">
      <c r="A129" s="163" t="s">
        <v>154</v>
      </c>
      <c r="B129" s="128">
        <v>10.1</v>
      </c>
      <c r="C129" s="78">
        <v>-9.8214285700000001E-2</v>
      </c>
      <c r="D129" s="20">
        <v>8.5500000000000007</v>
      </c>
      <c r="E129" s="21">
        <f t="shared" si="62"/>
        <v>-0.15346534653465335</v>
      </c>
      <c r="F129" s="22">
        <f>IF(ISNUMBER(D129), $B145 * E129, "")</f>
        <v>-15346.534653465334</v>
      </c>
      <c r="G129" s="30">
        <v>8.49</v>
      </c>
      <c r="H129" s="21">
        <f t="shared" si="63"/>
        <v>-0.15940594059405935</v>
      </c>
      <c r="I129" s="105">
        <f>IF(ISNUMBER(G129), $B145 * H129, "")</f>
        <v>-15940.594059405936</v>
      </c>
      <c r="J129" s="20">
        <v>8.5</v>
      </c>
      <c r="K129" s="21">
        <f t="shared" si="64"/>
        <v>-0.15841584158415839</v>
      </c>
      <c r="L129" s="22">
        <f>IF(ISNUMBER(J129), $B145 * K129, "")</f>
        <v>-15841.584158415839</v>
      </c>
      <c r="M129" s="30">
        <v>8.5</v>
      </c>
      <c r="N129" s="21">
        <f t="shared" si="65"/>
        <v>-0.15841584158415839</v>
      </c>
      <c r="O129" s="22">
        <f>IF(ISNUMBER(M129), $B145 * N129, "")</f>
        <v>-15841.584158415839</v>
      </c>
      <c r="Q129" s="235"/>
      <c r="R129" s="235"/>
      <c r="S129" s="235"/>
    </row>
    <row r="130" spans="1:19" ht="17.25" thickBot="1">
      <c r="A130" s="162" t="s">
        <v>196</v>
      </c>
      <c r="B130" s="129">
        <v>10.3</v>
      </c>
      <c r="C130" s="80">
        <v>-0.1043478261</v>
      </c>
      <c r="D130" s="106">
        <v>8.18</v>
      </c>
      <c r="E130" s="107">
        <f>IF(ISNUMBER(D130), (D130 - $B130) / $B130, "")</f>
        <v>-0.20582524271844668</v>
      </c>
      <c r="F130" s="108">
        <f>IF(ISNUMBER(D130), $B145 * E130, "")</f>
        <v>-20582.524271844668</v>
      </c>
      <c r="G130" s="109">
        <v>8.24</v>
      </c>
      <c r="H130" s="107">
        <f>IF(ISNUMBER(G130), (G130 - $B130) / $B130, "")</f>
        <v>-0.20000000000000004</v>
      </c>
      <c r="I130" s="110">
        <f>IF(ISNUMBER(G130), $B145 * H130, "")</f>
        <v>-20000.000000000004</v>
      </c>
      <c r="J130" s="106">
        <v>8.3000000000000007</v>
      </c>
      <c r="K130" s="107">
        <f>IF(ISNUMBER(J130), (J130 - $B130) / $B130, "")</f>
        <v>-0.1941747572815534</v>
      </c>
      <c r="L130" s="108">
        <f>IF(ISNUMBER(J130), $B145 * K130, "")</f>
        <v>-19417.475728155339</v>
      </c>
      <c r="M130" s="109">
        <v>8.3699999999999992</v>
      </c>
      <c r="N130" s="107">
        <f>IF(ISNUMBER(M130), (M130 - $B130) / $B130, "")</f>
        <v>-0.18737864077669916</v>
      </c>
      <c r="O130" s="108">
        <f>IF(ISNUMBER(M130), $B145 * N130, "")</f>
        <v>-18737.864077669918</v>
      </c>
      <c r="Q130" s="235"/>
      <c r="R130" s="235"/>
      <c r="S130" s="235"/>
    </row>
    <row r="131" spans="1:19" ht="17.25" thickBot="1">
      <c r="A131" s="162" t="s">
        <v>212</v>
      </c>
      <c r="B131" s="126">
        <v>62.8</v>
      </c>
      <c r="C131" s="77">
        <v>-0.1104815864</v>
      </c>
      <c r="D131" s="15">
        <v>55.2</v>
      </c>
      <c r="E131" s="32">
        <f t="shared" ref="E131:E134" si="66">IF(ISNUMBER(D131), (D131 - $B131) / $B131, "")</f>
        <v>-0.12101910828025469</v>
      </c>
      <c r="F131" s="18">
        <f>IF(ISNUMBER(D131), $B145 * E131, "")</f>
        <v>-12101.91082802547</v>
      </c>
      <c r="G131" s="31">
        <v>51.4</v>
      </c>
      <c r="H131" s="32">
        <f t="shared" ref="H131:H134" si="67">IF(ISNUMBER(G131), (G131 - $B131) / $B131, "")</f>
        <v>-0.18152866242038215</v>
      </c>
      <c r="I131" s="101">
        <f>IF(ISNUMBER(G131), $B145 * H131, "")</f>
        <v>-18152.866242038217</v>
      </c>
      <c r="J131" s="15">
        <v>52.7</v>
      </c>
      <c r="K131" s="32">
        <f t="shared" ref="K131:K134" si="68">IF(ISNUMBER(J131), (J131 - $B131) / $B131, "")</f>
        <v>-0.16082802547770692</v>
      </c>
      <c r="L131" s="18">
        <f>IF(ISNUMBER(J131), $B145 * K131, "")</f>
        <v>-16082.802547770692</v>
      </c>
      <c r="M131" s="31">
        <v>53.3</v>
      </c>
      <c r="N131" s="32">
        <f t="shared" ref="N131:N134" si="69">IF(ISNUMBER(M131), (M131 - $B131) / $B131, "")</f>
        <v>-0.15127388535031847</v>
      </c>
      <c r="O131" s="18">
        <f>IF(ISNUMBER(M131), $B145 * N131, "")</f>
        <v>-15127.388535031847</v>
      </c>
      <c r="Q131" s="235"/>
      <c r="R131" s="235"/>
      <c r="S131" s="235"/>
    </row>
    <row r="132" spans="1:19" ht="17.25" thickBot="1">
      <c r="A132" s="162" t="s">
        <v>228</v>
      </c>
      <c r="B132" s="126">
        <v>9.1199999999999992</v>
      </c>
      <c r="C132" s="77">
        <v>-0.11456310679999999</v>
      </c>
      <c r="D132" s="15">
        <v>7.51</v>
      </c>
      <c r="E132" s="32">
        <f t="shared" si="66"/>
        <v>-0.17653508771929821</v>
      </c>
      <c r="F132" s="18">
        <f>IF(ISNUMBER(D132), $B145 * E132, "")</f>
        <v>-17653.508771929821</v>
      </c>
      <c r="G132" s="31">
        <v>7.54</v>
      </c>
      <c r="H132" s="32">
        <f t="shared" si="67"/>
        <v>-0.17324561403508765</v>
      </c>
      <c r="I132" s="101">
        <f>IF(ISNUMBER(G132), $B145 * H132, "")</f>
        <v>-17324.561403508764</v>
      </c>
      <c r="J132" s="15">
        <v>7.69</v>
      </c>
      <c r="K132" s="32">
        <f t="shared" si="68"/>
        <v>-0.15679824561403496</v>
      </c>
      <c r="L132" s="18">
        <f>IF(ISNUMBER(J132), $B145 * K132, "")</f>
        <v>-15679.824561403497</v>
      </c>
      <c r="M132" s="31">
        <v>7.77</v>
      </c>
      <c r="N132" s="32">
        <f t="shared" si="69"/>
        <v>-0.14802631578947364</v>
      </c>
      <c r="O132" s="18">
        <f>IF(ISNUMBER(M132), $B145 * N132, "")</f>
        <v>-14802.631578947365</v>
      </c>
      <c r="Q132" s="235"/>
      <c r="R132" s="235"/>
      <c r="S132" s="235"/>
    </row>
    <row r="133" spans="1:19" ht="17.25" thickBot="1">
      <c r="A133" s="162" t="s">
        <v>186</v>
      </c>
      <c r="B133" s="126">
        <v>15.4</v>
      </c>
      <c r="C133" s="77">
        <v>-0.12</v>
      </c>
      <c r="D133" s="15">
        <v>13.1</v>
      </c>
      <c r="E133" s="32">
        <f t="shared" si="66"/>
        <v>-0.1493506493506494</v>
      </c>
      <c r="F133" s="18">
        <f>IF(ISNUMBER(D133), $B145 * E133, "")</f>
        <v>-14935.06493506494</v>
      </c>
      <c r="G133" s="31">
        <v>13</v>
      </c>
      <c r="H133" s="32">
        <f t="shared" si="67"/>
        <v>-0.15584415584415587</v>
      </c>
      <c r="I133" s="101">
        <f>IF(ISNUMBER(G133), $B145 * H133, "")</f>
        <v>-15584.415584415587</v>
      </c>
      <c r="J133" s="15">
        <v>13.1</v>
      </c>
      <c r="K133" s="32">
        <f t="shared" si="68"/>
        <v>-0.1493506493506494</v>
      </c>
      <c r="L133" s="18">
        <f>IF(ISNUMBER(J133), $B145 * K133, "")</f>
        <v>-14935.06493506494</v>
      </c>
      <c r="M133" s="31">
        <v>13.3</v>
      </c>
      <c r="N133" s="32">
        <f t="shared" si="69"/>
        <v>-0.13636363636363633</v>
      </c>
      <c r="O133" s="18">
        <f>IF(ISNUMBER(M133), $B145 * N133, "")</f>
        <v>-13636.363636363632</v>
      </c>
      <c r="Q133" s="33"/>
      <c r="R133" s="33"/>
    </row>
    <row r="134" spans="1:19" ht="17.25" thickBot="1">
      <c r="A134" s="130" t="s">
        <v>198</v>
      </c>
      <c r="B134" s="131">
        <v>13.5</v>
      </c>
      <c r="C134" s="79">
        <v>-0.1233766234</v>
      </c>
      <c r="D134" s="24">
        <v>10.9</v>
      </c>
      <c r="E134" s="25">
        <f t="shared" si="66"/>
        <v>-0.19259259259259257</v>
      </c>
      <c r="F134" s="104">
        <f>IF(ISNUMBER(D134), $B145 * E134, "")</f>
        <v>-19259.259259259255</v>
      </c>
      <c r="G134" s="102">
        <v>10.7</v>
      </c>
      <c r="H134" s="25">
        <f t="shared" si="67"/>
        <v>-0.20740740740740746</v>
      </c>
      <c r="I134" s="103">
        <f>IF(ISNUMBER(G134), $B145 * H134, "")</f>
        <v>-20740.740740740745</v>
      </c>
      <c r="J134" s="24">
        <v>11</v>
      </c>
      <c r="K134" s="25">
        <f t="shared" si="68"/>
        <v>-0.18518518518518517</v>
      </c>
      <c r="L134" s="104">
        <f>IF(ISNUMBER(J134), $B145 * K134, "")</f>
        <v>-18518.518518518518</v>
      </c>
      <c r="M134" s="102">
        <v>11</v>
      </c>
      <c r="N134" s="25">
        <f t="shared" si="69"/>
        <v>-0.18518518518518517</v>
      </c>
      <c r="O134" s="104">
        <f>IF(ISNUMBER(M134), $B145 * N134, "")</f>
        <v>-18518.518518518518</v>
      </c>
      <c r="Q134" s="236"/>
      <c r="R134" s="237"/>
      <c r="S134" s="238"/>
    </row>
    <row r="135" spans="1:19">
      <c r="A135" s="161" t="s">
        <v>214</v>
      </c>
      <c r="B135" s="124">
        <v>11.3</v>
      </c>
      <c r="C135" s="76">
        <v>-0.13740458019999999</v>
      </c>
      <c r="D135" s="13">
        <v>9.06</v>
      </c>
      <c r="E135" s="14">
        <f>IF(ISNUMBER(D135), (D135 - $B135) / $B135, "")</f>
        <v>-0.19823008849557522</v>
      </c>
      <c r="F135" s="16">
        <f>IF(ISNUMBER(D135), $B145 * E135, "")</f>
        <v>-19823.008849557522</v>
      </c>
      <c r="G135" s="29">
        <v>9.07</v>
      </c>
      <c r="H135" s="14">
        <f>IF(ISNUMBER(G135), (G135 - $B135) / $B135, "")</f>
        <v>-0.19734513274336285</v>
      </c>
      <c r="I135" s="100">
        <f>IF(ISNUMBER(G135), $B145 * H135, "")</f>
        <v>-19734.513274336285</v>
      </c>
      <c r="J135" s="13">
        <v>9.1</v>
      </c>
      <c r="K135" s="14">
        <f>IF(ISNUMBER(J135), (J135 - $B135) / $B135, "")</f>
        <v>-0.19469026548672574</v>
      </c>
      <c r="L135" s="16">
        <f>IF(ISNUMBER(J135), $B145 * K135, "")</f>
        <v>-19469.026548672573</v>
      </c>
      <c r="M135" s="29">
        <v>9.1199999999999992</v>
      </c>
      <c r="N135" s="14">
        <f>IF(ISNUMBER(M135), (M135 - $B135) / $B135, "")</f>
        <v>-0.19292035398230101</v>
      </c>
      <c r="O135" s="16">
        <f>IF(ISNUMBER(M135), $B145 * N135, "")</f>
        <v>-19292.035398230102</v>
      </c>
      <c r="Q135" s="239"/>
      <c r="R135" s="240"/>
      <c r="S135" s="241"/>
    </row>
    <row r="136" spans="1:19" ht="17.25" thickBot="1">
      <c r="A136" s="162" t="s">
        <v>222</v>
      </c>
      <c r="B136" s="126">
        <v>9.9600000000000009</v>
      </c>
      <c r="C136" s="77">
        <v>-0.14137931030000001</v>
      </c>
      <c r="D136" s="15">
        <v>7.99</v>
      </c>
      <c r="E136" s="32">
        <f t="shared" ref="E136:E139" si="70">IF(ISNUMBER(D136), (D136 - $B136) / $B136, "")</f>
        <v>-0.19779116465863458</v>
      </c>
      <c r="F136" s="18">
        <f>IF(ISNUMBER(D136), $B145 * E136, "")</f>
        <v>-19779.116465863459</v>
      </c>
      <c r="G136" s="31">
        <v>8.0500000000000007</v>
      </c>
      <c r="H136" s="32">
        <f t="shared" ref="H136:H139" si="71">IF(ISNUMBER(G136), (G136 - $B136) / $B136, "")</f>
        <v>-0.19176706827309237</v>
      </c>
      <c r="I136" s="101">
        <f>IF(ISNUMBER(G136), $B145 * H136, "")</f>
        <v>-19176.706827309237</v>
      </c>
      <c r="J136" s="15">
        <v>8.17</v>
      </c>
      <c r="K136" s="32">
        <f t="shared" ref="K136:K139" si="72">IF(ISNUMBER(J136), (J136 - $B136) / $B136, "")</f>
        <v>-0.1797188755020081</v>
      </c>
      <c r="L136" s="18">
        <f>IF(ISNUMBER(J136), $B145 * K136, "")</f>
        <v>-17971.887550200809</v>
      </c>
      <c r="M136" s="31">
        <v>8.2100000000000009</v>
      </c>
      <c r="N136" s="32">
        <f t="shared" ref="N136:N139" si="73">IF(ISNUMBER(M136), (M136 - $B136) / $B136, "")</f>
        <v>-0.17570281124497991</v>
      </c>
      <c r="O136" s="18">
        <f>IF(ISNUMBER(M136), $B145 * N136, "")</f>
        <v>-17570.281124497989</v>
      </c>
      <c r="Q136" s="242"/>
      <c r="R136" s="243"/>
      <c r="S136" s="244"/>
    </row>
    <row r="137" spans="1:19" ht="17.25" thickBot="1">
      <c r="A137" s="162" t="s">
        <v>268</v>
      </c>
      <c r="B137" s="126">
        <v>40.799999999999997</v>
      </c>
      <c r="C137" s="77">
        <v>-0.187250996</v>
      </c>
      <c r="D137" s="15">
        <v>33.1</v>
      </c>
      <c r="E137" s="32">
        <f t="shared" si="70"/>
        <v>-0.18872549019607834</v>
      </c>
      <c r="F137" s="18">
        <f>IF(ISNUMBER(D137), $B145 * E137, "")</f>
        <v>-18872.549019607835</v>
      </c>
      <c r="G137" s="31">
        <v>32.299999999999997</v>
      </c>
      <c r="H137" s="32">
        <f t="shared" si="71"/>
        <v>-0.20833333333333334</v>
      </c>
      <c r="I137" s="101">
        <f>IF(ISNUMBER(G137), $B145 * H137, "")</f>
        <v>-20833.333333333336</v>
      </c>
      <c r="J137" s="15">
        <v>32</v>
      </c>
      <c r="K137" s="32">
        <f t="shared" si="72"/>
        <v>-0.21568627450980388</v>
      </c>
      <c r="L137" s="18">
        <f>IF(ISNUMBER(J137), $B145 * K137, "")</f>
        <v>-21568.627450980388</v>
      </c>
      <c r="M137" s="31">
        <v>31.9</v>
      </c>
      <c r="N137" s="32">
        <f t="shared" si="73"/>
        <v>-0.21813725490196076</v>
      </c>
      <c r="O137" s="18">
        <f>IF(ISNUMBER(M137), $B145 * N137, "")</f>
        <v>-21813.725490196077</v>
      </c>
      <c r="Q137" s="235"/>
      <c r="R137" s="235"/>
      <c r="S137" s="235"/>
    </row>
    <row r="138" spans="1:19" ht="17.25" thickBot="1">
      <c r="A138" s="162" t="s">
        <v>282</v>
      </c>
      <c r="B138" s="126">
        <v>72.5</v>
      </c>
      <c r="C138" s="77">
        <v>-0.36403508769999998</v>
      </c>
      <c r="D138" s="15">
        <v>56.9</v>
      </c>
      <c r="E138" s="32">
        <f t="shared" si="70"/>
        <v>-0.21517241379310348</v>
      </c>
      <c r="F138" s="18">
        <f>IF(ISNUMBER(D138), $B145 * E138, "")</f>
        <v>-21517.241379310348</v>
      </c>
      <c r="G138" s="31">
        <v>56.1</v>
      </c>
      <c r="H138" s="32">
        <f t="shared" si="71"/>
        <v>-0.22620689655172413</v>
      </c>
      <c r="I138" s="101">
        <f>IF(ISNUMBER(G138), $B145 * H138, "")</f>
        <v>-22620.689655172413</v>
      </c>
      <c r="J138" s="15">
        <v>55</v>
      </c>
      <c r="K138" s="32">
        <f t="shared" si="72"/>
        <v>-0.2413793103448276</v>
      </c>
      <c r="L138" s="18">
        <f>IF(ISNUMBER(J138), $B145 * K138, "")</f>
        <v>-24137.931034482761</v>
      </c>
      <c r="M138" s="31">
        <v>55.9</v>
      </c>
      <c r="N138" s="32">
        <f t="shared" si="73"/>
        <v>-0.22896551724137934</v>
      </c>
      <c r="O138" s="18">
        <f>IF(ISNUMBER(M138), $B145 * N138, "")</f>
        <v>-22896.551724137935</v>
      </c>
      <c r="Q138" s="245"/>
      <c r="R138" s="245"/>
      <c r="S138" s="245"/>
    </row>
    <row r="139" spans="1:19" ht="17.25" thickBot="1">
      <c r="A139" s="163" t="s">
        <v>250</v>
      </c>
      <c r="B139" s="128">
        <v>73.400000000000006</v>
      </c>
      <c r="C139" s="78">
        <v>-0.40325203250000002</v>
      </c>
      <c r="D139" s="20">
        <v>55.4</v>
      </c>
      <c r="E139" s="21">
        <f t="shared" si="70"/>
        <v>-0.24523160762942786</v>
      </c>
      <c r="F139" s="22">
        <f>IF(ISNUMBER(D139), $B145 * E139, "")</f>
        <v>-24523.160762942785</v>
      </c>
      <c r="G139" s="30">
        <v>56.6</v>
      </c>
      <c r="H139" s="21">
        <f t="shared" si="71"/>
        <v>-0.22888283378746599</v>
      </c>
      <c r="I139" s="105">
        <f>IF(ISNUMBER(G139), $B145 * H139, "")</f>
        <v>-22888.283378746601</v>
      </c>
      <c r="J139" s="20">
        <v>55.6</v>
      </c>
      <c r="K139" s="21">
        <f t="shared" si="72"/>
        <v>-0.24250681198910085</v>
      </c>
      <c r="L139" s="22">
        <f>IF(ISNUMBER(J139), $B145 * K139, "")</f>
        <v>-24250.681198910086</v>
      </c>
      <c r="M139" s="30">
        <v>58.8</v>
      </c>
      <c r="N139" s="21">
        <f t="shared" si="73"/>
        <v>-0.19891008174386932</v>
      </c>
      <c r="O139" s="22">
        <f>IF(ISNUMBER(M139), $B145 * N139, "")</f>
        <v>-19891.00817438693</v>
      </c>
      <c r="Q139" s="245"/>
      <c r="R139" s="245"/>
      <c r="S139" s="245"/>
    </row>
    <row r="140" spans="1:19" ht="17.25" thickBot="1">
      <c r="A140" s="162" t="s">
        <v>236</v>
      </c>
      <c r="B140" s="129">
        <v>31.1</v>
      </c>
      <c r="C140" s="80">
        <v>-0.43454545449999998</v>
      </c>
      <c r="D140" s="106">
        <v>23</v>
      </c>
      <c r="E140" s="107">
        <f>IF(ISNUMBER(D140), (D140 - $B140) / $B140, "")</f>
        <v>-0.26045016077170419</v>
      </c>
      <c r="F140" s="108">
        <f>IF(ISNUMBER(D140), $B145 * E140, "")</f>
        <v>-26045.016077170418</v>
      </c>
      <c r="G140" s="109">
        <v>22.6</v>
      </c>
      <c r="H140" s="107">
        <f>IF(ISNUMBER(G140), (G140 - $B140) / $B140, "")</f>
        <v>-0.27331189710610931</v>
      </c>
      <c r="I140" s="110">
        <f>IF(ISNUMBER(G140), $B145 * H140, "")</f>
        <v>-27331.189710610932</v>
      </c>
      <c r="J140" s="106">
        <v>22.1</v>
      </c>
      <c r="K140" s="107">
        <f>IF(ISNUMBER(J140), (J140 - $B140) / $B140, "")</f>
        <v>-0.28938906752411575</v>
      </c>
      <c r="L140" s="108">
        <f>IF(ISNUMBER(J140), $B145 * K140, "")</f>
        <v>-28938.906752411574</v>
      </c>
      <c r="M140" s="109">
        <v>21.8</v>
      </c>
      <c r="N140" s="107">
        <f>IF(ISNUMBER(M140), (M140 - $B140) / $B140, "")</f>
        <v>-0.29903536977491962</v>
      </c>
      <c r="O140" s="108">
        <f>IF(ISNUMBER(M140), $B145 * N140, "")</f>
        <v>-29903.536977491964</v>
      </c>
      <c r="Q140" s="235"/>
      <c r="R140" s="235"/>
      <c r="S140" s="235"/>
    </row>
    <row r="141" spans="1:19" ht="17.25" thickBot="1">
      <c r="A141" s="162" t="s">
        <v>122</v>
      </c>
      <c r="B141" s="126">
        <v>40.200000000000003</v>
      </c>
      <c r="C141" s="77">
        <v>-0.43776223780000001</v>
      </c>
      <c r="D141" s="15">
        <v>28</v>
      </c>
      <c r="E141" s="32">
        <f t="shared" ref="E141:E144" si="74">IF(ISNUMBER(D141), (D141 - $B141) / $B141, "")</f>
        <v>-0.30348258706467668</v>
      </c>
      <c r="F141" s="18">
        <f>IF(ISNUMBER(D141), $B145 * E141, "")</f>
        <v>-30348.258706467666</v>
      </c>
      <c r="G141" s="31">
        <v>27.6</v>
      </c>
      <c r="H141" s="32">
        <f t="shared" ref="H141:H144" si="75">IF(ISNUMBER(G141), (G141 - $B141) / $B141, "")</f>
        <v>-0.31343283582089554</v>
      </c>
      <c r="I141" s="101">
        <f>IF(ISNUMBER(G141), $B145 * H141, "")</f>
        <v>-31343.283582089553</v>
      </c>
      <c r="J141" s="15">
        <v>27</v>
      </c>
      <c r="K141" s="32">
        <f t="shared" ref="K141:K144" si="76">IF(ISNUMBER(J141), (J141 - $B141) / $B141, "")</f>
        <v>-0.32835820895522394</v>
      </c>
      <c r="L141" s="18">
        <f>IF(ISNUMBER(J141), $B145 * K141, "")</f>
        <v>-32835.820895522396</v>
      </c>
      <c r="M141" s="31">
        <v>27</v>
      </c>
      <c r="N141" s="32">
        <f t="shared" ref="N141:N144" si="77">IF(ISNUMBER(M141), (M141 - $B141) / $B141, "")</f>
        <v>-0.32835820895522394</v>
      </c>
      <c r="O141" s="18">
        <f>IF(ISNUMBER(M141), $B145 * N141, "")</f>
        <v>-32835.820895522396</v>
      </c>
      <c r="Q141" s="235"/>
      <c r="R141" s="235"/>
      <c r="S141" s="235"/>
    </row>
    <row r="142" spans="1:19" ht="17.25" thickBot="1">
      <c r="A142" s="162" t="s">
        <v>218</v>
      </c>
      <c r="B142" s="126">
        <v>8.82</v>
      </c>
      <c r="C142" s="77">
        <v>-0.43821656050000002</v>
      </c>
      <c r="D142" s="15">
        <v>5.97</v>
      </c>
      <c r="E142" s="32">
        <f t="shared" si="74"/>
        <v>-0.3231292517006803</v>
      </c>
      <c r="F142" s="18">
        <f>IF(ISNUMBER(D142), $B145 * E142, "")</f>
        <v>-32312.925170068029</v>
      </c>
      <c r="G142" s="31">
        <v>5.85</v>
      </c>
      <c r="H142" s="32">
        <f t="shared" si="75"/>
        <v>-0.33673469387755106</v>
      </c>
      <c r="I142" s="101">
        <f>IF(ISNUMBER(G142), $B145 * H142, "")</f>
        <v>-33673.469387755104</v>
      </c>
      <c r="J142" s="15">
        <v>5.72</v>
      </c>
      <c r="K142" s="32">
        <f t="shared" si="76"/>
        <v>-0.35147392290249441</v>
      </c>
      <c r="L142" s="18">
        <f>IF(ISNUMBER(J142), $B145 * K142, "")</f>
        <v>-35147.392290249438</v>
      </c>
      <c r="M142" s="31">
        <v>5.68</v>
      </c>
      <c r="N142" s="32">
        <f t="shared" si="77"/>
        <v>-0.35600907029478462</v>
      </c>
      <c r="O142" s="18">
        <f>IF(ISNUMBER(M142), $B145 * N142, "")</f>
        <v>-35600.907029478461</v>
      </c>
      <c r="Q142" s="235"/>
      <c r="R142" s="235"/>
      <c r="S142" s="235"/>
    </row>
    <row r="143" spans="1:19">
      <c r="A143" s="162" t="s">
        <v>172</v>
      </c>
      <c r="B143" s="126">
        <v>8.24</v>
      </c>
      <c r="C143" s="77">
        <v>-0.43945578229999999</v>
      </c>
      <c r="D143" s="15">
        <v>5.59</v>
      </c>
      <c r="E143" s="32">
        <f t="shared" si="74"/>
        <v>-0.32160194174757284</v>
      </c>
      <c r="F143" s="18">
        <f>IF(ISNUMBER(D143), $B145 * E143, "")</f>
        <v>-32160.194174757286</v>
      </c>
      <c r="G143" s="31">
        <v>5.48</v>
      </c>
      <c r="H143" s="32">
        <f t="shared" si="75"/>
        <v>-0.33495145631067957</v>
      </c>
      <c r="I143" s="101">
        <f>IF(ISNUMBER(G143), $B145 * H143, "")</f>
        <v>-33495.145631067957</v>
      </c>
      <c r="J143" s="15">
        <v>5.44</v>
      </c>
      <c r="K143" s="32">
        <f t="shared" si="76"/>
        <v>-0.33980582524271841</v>
      </c>
      <c r="L143" s="18">
        <f>IF(ISNUMBER(J143), $B145 * K143, "")</f>
        <v>-33980.582524271842</v>
      </c>
      <c r="M143" s="31">
        <v>5.4</v>
      </c>
      <c r="N143" s="32">
        <f t="shared" si="77"/>
        <v>-0.34466019417475724</v>
      </c>
      <c r="O143" s="18">
        <f>IF(ISNUMBER(M143), $B145 * N143, "")</f>
        <v>-34466.019417475727</v>
      </c>
      <c r="Q143" s="224"/>
      <c r="R143" s="225"/>
      <c r="S143" s="226"/>
    </row>
    <row r="144" spans="1:19" ht="17.25" thickBot="1">
      <c r="A144" s="130" t="s">
        <v>254</v>
      </c>
      <c r="B144" s="131">
        <v>37</v>
      </c>
      <c r="C144" s="79">
        <v>-0.45266272190000001</v>
      </c>
      <c r="D144" s="24">
        <v>23.9</v>
      </c>
      <c r="E144" s="25">
        <f t="shared" si="74"/>
        <v>-0.3540540540540541</v>
      </c>
      <c r="F144" s="104">
        <f>IF(ISNUMBER(D144), $B145 * E144, "")</f>
        <v>-35405.405405405407</v>
      </c>
      <c r="G144" s="102">
        <v>22.8</v>
      </c>
      <c r="H144" s="25">
        <f t="shared" si="75"/>
        <v>-0.38378378378378375</v>
      </c>
      <c r="I144" s="103">
        <f>IF(ISNUMBER(G144), $B145 * H144, "")</f>
        <v>-38378.378378378373</v>
      </c>
      <c r="J144" s="24">
        <v>22.8</v>
      </c>
      <c r="K144" s="25">
        <f t="shared" si="76"/>
        <v>-0.38378378378378375</v>
      </c>
      <c r="L144" s="104">
        <f>IF(ISNUMBER(J144), $B145 * K144, "")</f>
        <v>-38378.378378378373</v>
      </c>
      <c r="M144" s="102">
        <v>22.5</v>
      </c>
      <c r="N144" s="25">
        <f t="shared" si="77"/>
        <v>-0.39189189189189189</v>
      </c>
      <c r="O144" s="104">
        <f>IF(ISNUMBER(M144), $B145 * N144, "")</f>
        <v>-39189.189189189186</v>
      </c>
      <c r="Q144" s="227"/>
      <c r="R144" s="228"/>
      <c r="S144" s="229"/>
    </row>
    <row r="145" spans="1:19" ht="17.25" thickBot="1">
      <c r="A145" s="132" t="s">
        <v>300</v>
      </c>
      <c r="B145" s="288">
        <f>$B$37</f>
        <v>100000</v>
      </c>
      <c r="C145" s="289"/>
      <c r="D145" s="26" t="s">
        <v>301</v>
      </c>
      <c r="E145" s="27">
        <f>IF(COUNT(E125:E144), SUM(E125:E144) / COUNT(E125:E144), 0)</f>
        <v>-0.19304930320833619</v>
      </c>
      <c r="F145" s="28">
        <f>SUM(F125:F144)</f>
        <v>-386098.60641667241</v>
      </c>
      <c r="G145" s="26" t="s">
        <v>301</v>
      </c>
      <c r="H145" s="27">
        <f>IF(COUNT(H125:H144), SUM(H125:H144) / COUNT(H125:H144), 0)</f>
        <v>-0.20675271228880229</v>
      </c>
      <c r="I145" s="28">
        <f>SUM(I125:I144)</f>
        <v>-413505.42457760463</v>
      </c>
      <c r="J145" s="26" t="s">
        <v>301</v>
      </c>
      <c r="K145" s="27">
        <f>IF(COUNT(K125:K144), SUM(K125:K144) / COUNT(K125:K144), 0)</f>
        <v>-0.20386367469534275</v>
      </c>
      <c r="L145" s="28">
        <f>SUM(L125:L144)</f>
        <v>-407727.34939068556</v>
      </c>
      <c r="M145" s="26" t="s">
        <v>301</v>
      </c>
      <c r="N145" s="27">
        <f>IF(COUNT(N125:N144), SUM(N125:N144) / COUNT(N125:N144), 0)</f>
        <v>-0.20124931511351135</v>
      </c>
      <c r="O145" s="28">
        <f>SUM(O125:O144)</f>
        <v>-402498.63022702275</v>
      </c>
      <c r="Q145" s="230"/>
      <c r="R145" s="231"/>
      <c r="S145" s="232"/>
    </row>
    <row r="147" spans="1:19" ht="17.25" thickBot="1"/>
    <row r="148" spans="1:19" ht="17.25" thickBot="1">
      <c r="A148" s="246" t="s">
        <v>289</v>
      </c>
      <c r="B148" s="247"/>
      <c r="C148" s="247"/>
      <c r="D148" s="247"/>
      <c r="E148" s="247"/>
      <c r="F148" s="247"/>
      <c r="G148" s="247"/>
      <c r="H148" s="247"/>
      <c r="I148" s="247"/>
      <c r="J148" s="247"/>
      <c r="K148" s="247"/>
      <c r="L148" s="247"/>
      <c r="M148" s="247"/>
      <c r="N148" s="247"/>
      <c r="O148" s="248"/>
      <c r="Q148" s="245"/>
      <c r="R148" s="245"/>
      <c r="S148" s="245"/>
    </row>
    <row r="149" spans="1:19" ht="17.25" thickBot="1">
      <c r="A149" s="204" t="s">
        <v>297</v>
      </c>
      <c r="B149" s="246" t="s">
        <v>49</v>
      </c>
      <c r="C149" s="248"/>
      <c r="D149" s="246" t="s">
        <v>58</v>
      </c>
      <c r="E149" s="247"/>
      <c r="F149" s="248"/>
      <c r="G149" s="249">
        <f>_xlfn.IFNA(VLOOKUP(B149, 현재가테이블!$B$2:$D$200, 2, FALSE), "-")</f>
        <v>45335000</v>
      </c>
      <c r="H149" s="250"/>
      <c r="I149" s="251"/>
      <c r="J149" s="246" t="s">
        <v>59</v>
      </c>
      <c r="K149" s="247"/>
      <c r="L149" s="248"/>
      <c r="M149" s="252">
        <f>_xlfn.IFNA(VLOOKUP(B149, 현재가테이블!$B$2:$D$200, 3, FALSE), "-")</f>
        <v>-2.27209037E-2</v>
      </c>
      <c r="N149" s="253"/>
      <c r="O149" s="254"/>
      <c r="Q149" s="245"/>
      <c r="R149" s="245"/>
      <c r="S149" s="245"/>
    </row>
    <row r="150" spans="1:19" ht="17.25" thickBot="1">
      <c r="A150" s="290" t="s">
        <v>55</v>
      </c>
      <c r="B150" s="286" t="str">
        <f>TEXT($G$1, "[$-ko-KR]yyyy-mm-dd(ddd) ") &amp; "오전 00:00"</f>
        <v>2021-06-12(토) 오전 00:00</v>
      </c>
      <c r="C150" s="287"/>
      <c r="D150" s="259" t="str">
        <f>TEXT($G$1, "[$-ko-KR]yyyy-mm-dd(ddd) ") &amp; "오후 14:00"</f>
        <v>2021-06-12(토) 오후 14:00</v>
      </c>
      <c r="E150" s="260"/>
      <c r="F150" s="261"/>
      <c r="G150" s="259" t="str">
        <f>TEXT($G$1, "[$-ko-KR]yyyy-mm-dd(ddd) ") &amp; "오후 19:00"</f>
        <v>2021-06-12(토) 오후 19:00</v>
      </c>
      <c r="H150" s="260"/>
      <c r="I150" s="261"/>
      <c r="J150" s="259" t="str">
        <f>TEXT($G$1, "[$-ko-KR]yyyy-mm-dd(ddd) ") &amp; "오후 21:00"</f>
        <v>2021-06-12(토) 오후 21:00</v>
      </c>
      <c r="K150" s="260"/>
      <c r="L150" s="261"/>
      <c r="M150" s="259" t="str">
        <f>TEXT($G$1+1, "[$-ko-KR]yyyy-mm-dd(ddd) ") &amp; "오전 00:00"</f>
        <v>2021-06-13(일) 오전 00:00</v>
      </c>
      <c r="N150" s="260"/>
      <c r="O150" s="261"/>
      <c r="Q150" s="245"/>
      <c r="R150" s="245"/>
      <c r="S150" s="245"/>
    </row>
    <row r="151" spans="1:19" ht="17.25" thickBot="1">
      <c r="A151" s="291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205" t="s">
        <v>58</v>
      </c>
      <c r="H151" s="206" t="s">
        <v>298</v>
      </c>
      <c r="I151" s="207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5"/>
      <c r="R151" s="235"/>
      <c r="S151" s="235"/>
    </row>
    <row r="152" spans="1:19" ht="17.25" thickBot="1">
      <c r="A152" s="161" t="s">
        <v>258</v>
      </c>
      <c r="B152" s="124">
        <v>418</v>
      </c>
      <c r="C152" s="76">
        <v>-9.1304347800000005E-2</v>
      </c>
      <c r="D152" s="13">
        <v>376</v>
      </c>
      <c r="E152" s="14">
        <f>IF(ISNUMBER(D152), (D152 - $B152) / $B152, "")</f>
        <v>-0.10047846889952153</v>
      </c>
      <c r="F152" s="16">
        <f>IF(ISNUMBER(D152), $B172 * E152, "")</f>
        <v>-10047.846889952152</v>
      </c>
      <c r="G152" s="29">
        <v>379</v>
      </c>
      <c r="H152" s="14">
        <f>IF(ISNUMBER(G152), (G152 - $B152) / $B152, "")</f>
        <v>-9.3301435406698566E-2</v>
      </c>
      <c r="I152" s="100">
        <f>IF(ISNUMBER(G152), $B172 * H152, "")</f>
        <v>-9330.1435406698565</v>
      </c>
      <c r="J152" s="13">
        <v>383</v>
      </c>
      <c r="K152" s="14">
        <f>IF(ISNUMBER(J152), (J152 - $B152) / $B152, "")</f>
        <v>-8.3732057416267949E-2</v>
      </c>
      <c r="L152" s="16">
        <f>IF(ISNUMBER(J152), $B172 * K152, "")</f>
        <v>-8373.2057416267944</v>
      </c>
      <c r="M152" s="29">
        <v>380</v>
      </c>
      <c r="N152" s="14">
        <f>IF(ISNUMBER(M152), (M152 - $B152) / $B152, "")</f>
        <v>-9.0909090909090912E-2</v>
      </c>
      <c r="O152" s="16">
        <f>IF(ISNUMBER(M152), $B172 * N152, "")</f>
        <v>-9090.9090909090919</v>
      </c>
      <c r="Q152" s="245"/>
      <c r="R152" s="245"/>
      <c r="S152" s="245"/>
    </row>
    <row r="153" spans="1:19" ht="17.25" thickBot="1">
      <c r="A153" s="162" t="s">
        <v>280</v>
      </c>
      <c r="B153" s="126">
        <v>912</v>
      </c>
      <c r="C153" s="77">
        <v>-9.2537313400000001E-2</v>
      </c>
      <c r="D153" s="15">
        <v>912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943</v>
      </c>
      <c r="H153" s="32">
        <f t="shared" ref="H153:H156" si="79">IF(ISNUMBER(G153), (G153 - $B153) / $B153, "")</f>
        <v>3.399122807017544E-2</v>
      </c>
      <c r="I153" s="101">
        <f>IF(ISNUMBER(G153), $B172 * H153, "")</f>
        <v>3399.1228070175439</v>
      </c>
      <c r="J153" s="15">
        <v>915</v>
      </c>
      <c r="K153" s="32">
        <f t="shared" ref="K153:K156" si="80">IF(ISNUMBER(J153), (J153 - $B153) / $B153, "")</f>
        <v>3.2894736842105261E-3</v>
      </c>
      <c r="L153" s="18">
        <f>IF(ISNUMBER(J153), $B172 * K153, "")</f>
        <v>328.9473684210526</v>
      </c>
      <c r="M153" s="31">
        <v>903</v>
      </c>
      <c r="N153" s="32">
        <f t="shared" ref="N153:N156" si="81">IF(ISNUMBER(M153), (M153 - $B153) / $B153, "")</f>
        <v>-9.8684210526315784E-3</v>
      </c>
      <c r="O153" s="18">
        <f>IF(ISNUMBER(M153), $B172 * N153, "")</f>
        <v>-986.8421052631578</v>
      </c>
      <c r="Q153" s="245"/>
      <c r="R153" s="245"/>
      <c r="S153" s="245"/>
    </row>
    <row r="154" spans="1:19" ht="17.25" thickBot="1">
      <c r="A154" s="162" t="s">
        <v>202</v>
      </c>
      <c r="B154" s="126">
        <v>105</v>
      </c>
      <c r="C154" s="77">
        <v>-9.4827586199999994E-2</v>
      </c>
      <c r="D154" s="15">
        <v>87</v>
      </c>
      <c r="E154" s="32">
        <f t="shared" si="78"/>
        <v>-0.17142857142857143</v>
      </c>
      <c r="F154" s="18">
        <f>IF(ISNUMBER(D154), $B172 * E154, "")</f>
        <v>-17142.857142857141</v>
      </c>
      <c r="G154" s="31">
        <v>87.4</v>
      </c>
      <c r="H154" s="32">
        <f t="shared" si="79"/>
        <v>-0.16761904761904756</v>
      </c>
      <c r="I154" s="101">
        <f>IF(ISNUMBER(G154), $B172 * H154, "")</f>
        <v>-16761.904761904756</v>
      </c>
      <c r="J154" s="15">
        <v>88.2</v>
      </c>
      <c r="K154" s="32">
        <f t="shared" si="80"/>
        <v>-0.15999999999999998</v>
      </c>
      <c r="L154" s="18">
        <f>IF(ISNUMBER(J154), $B172 * K154, "")</f>
        <v>-15999.999999999998</v>
      </c>
      <c r="M154" s="31">
        <v>88.6</v>
      </c>
      <c r="N154" s="32">
        <f t="shared" si="81"/>
        <v>-0.15619047619047624</v>
      </c>
      <c r="O154" s="18">
        <f>IF(ISNUMBER(M154), $B172 * N154, "")</f>
        <v>-15619.047619047624</v>
      </c>
      <c r="Q154" s="235"/>
      <c r="R154" s="235"/>
      <c r="S154" s="235"/>
    </row>
    <row r="155" spans="1:19" ht="17.25" thickBot="1">
      <c r="A155" s="162" t="s">
        <v>284</v>
      </c>
      <c r="B155" s="126">
        <v>217</v>
      </c>
      <c r="C155" s="77">
        <v>-9.5833333300000004E-2</v>
      </c>
      <c r="D155" s="15">
        <v>188</v>
      </c>
      <c r="E155" s="32">
        <f t="shared" si="78"/>
        <v>-0.13364055299539171</v>
      </c>
      <c r="F155" s="18">
        <f>IF(ISNUMBER(D155), $B172 * E155, "")</f>
        <v>-13364.055299539172</v>
      </c>
      <c r="G155" s="31">
        <v>186</v>
      </c>
      <c r="H155" s="32">
        <f t="shared" si="79"/>
        <v>-0.14285714285714285</v>
      </c>
      <c r="I155" s="101">
        <f>IF(ISNUMBER(G155), $B172 * H155, "")</f>
        <v>-14285.714285714284</v>
      </c>
      <c r="J155" s="15">
        <v>190</v>
      </c>
      <c r="K155" s="32">
        <f t="shared" si="80"/>
        <v>-0.12442396313364056</v>
      </c>
      <c r="L155" s="18">
        <f>IF(ISNUMBER(J155), $B172 * K155, "")</f>
        <v>-12442.396313364055</v>
      </c>
      <c r="M155" s="31">
        <v>197</v>
      </c>
      <c r="N155" s="32">
        <f t="shared" si="81"/>
        <v>-9.2165898617511524E-2</v>
      </c>
      <c r="O155" s="18">
        <f>IF(ISNUMBER(M155), $B172 * N155, "")</f>
        <v>-9216.5898617511521</v>
      </c>
      <c r="Q155" s="235"/>
      <c r="R155" s="235"/>
      <c r="S155" s="235"/>
    </row>
    <row r="156" spans="1:19" ht="17.25" thickBot="1">
      <c r="A156" s="163" t="s">
        <v>232</v>
      </c>
      <c r="B156" s="128">
        <v>102</v>
      </c>
      <c r="C156" s="78">
        <v>-9.7345132700000003E-2</v>
      </c>
      <c r="D156" s="20">
        <v>82.3</v>
      </c>
      <c r="E156" s="21">
        <f t="shared" si="78"/>
        <v>-0.19313725490196082</v>
      </c>
      <c r="F156" s="22">
        <f>IF(ISNUMBER(D156), $B172 * E156, "")</f>
        <v>-19313.725490196081</v>
      </c>
      <c r="G156" s="30">
        <v>81.2</v>
      </c>
      <c r="H156" s="21">
        <f t="shared" si="79"/>
        <v>-0.20392156862745095</v>
      </c>
      <c r="I156" s="105">
        <f>IF(ISNUMBER(G156), $B172 * H156, "")</f>
        <v>-20392.156862745094</v>
      </c>
      <c r="J156" s="20">
        <v>83.3</v>
      </c>
      <c r="K156" s="21">
        <f t="shared" si="80"/>
        <v>-0.18333333333333335</v>
      </c>
      <c r="L156" s="22">
        <f>IF(ISNUMBER(J156), $B172 * K156, "")</f>
        <v>-18333.333333333336</v>
      </c>
      <c r="M156" s="30">
        <v>85.7</v>
      </c>
      <c r="N156" s="21">
        <f t="shared" si="81"/>
        <v>-0.15980392156862741</v>
      </c>
      <c r="O156" s="22">
        <f>IF(ISNUMBER(M156), $B172 * N156, "")</f>
        <v>-15980.392156862741</v>
      </c>
      <c r="Q156" s="235"/>
      <c r="R156" s="235"/>
      <c r="S156" s="235"/>
    </row>
    <row r="157" spans="1:19" ht="17.25" thickBot="1">
      <c r="A157" s="162" t="s">
        <v>82</v>
      </c>
      <c r="B157" s="129">
        <v>936</v>
      </c>
      <c r="C157" s="80">
        <v>-0.10857142860000001</v>
      </c>
      <c r="D157" s="106">
        <v>817</v>
      </c>
      <c r="E157" s="107">
        <f>IF(ISNUMBER(D157), (D157 - $B157) / $B157, "")</f>
        <v>-0.12713675213675213</v>
      </c>
      <c r="F157" s="108">
        <f>IF(ISNUMBER(D157), $B172 * E157, "")</f>
        <v>-12713.675213675213</v>
      </c>
      <c r="G157" s="109">
        <v>810</v>
      </c>
      <c r="H157" s="107">
        <f>IF(ISNUMBER(G157), (G157 - $B157) / $B157, "")</f>
        <v>-0.13461538461538461</v>
      </c>
      <c r="I157" s="110">
        <f>IF(ISNUMBER(G157), $B172 * H157, "")</f>
        <v>-13461.538461538461</v>
      </c>
      <c r="J157" s="106">
        <v>823</v>
      </c>
      <c r="K157" s="107">
        <f>IF(ISNUMBER(J157), (J157 - $B157) / $B157, "")</f>
        <v>-0.12072649572649573</v>
      </c>
      <c r="L157" s="108">
        <f>IF(ISNUMBER(J157), $B172 * K157, "")</f>
        <v>-12072.649572649572</v>
      </c>
      <c r="M157" s="109">
        <v>810</v>
      </c>
      <c r="N157" s="107">
        <f>IF(ISNUMBER(M157), (M157 - $B157) / $B157, "")</f>
        <v>-0.13461538461538461</v>
      </c>
      <c r="O157" s="108">
        <f>IF(ISNUMBER(M157), $B172 * N157, "")</f>
        <v>-13461.538461538461</v>
      </c>
      <c r="Q157" s="235"/>
      <c r="R157" s="235"/>
      <c r="S157" s="235"/>
    </row>
    <row r="158" spans="1:19" ht="17.25" thickBot="1">
      <c r="A158" s="162" t="s">
        <v>142</v>
      </c>
      <c r="B158" s="126">
        <v>553</v>
      </c>
      <c r="C158" s="77">
        <v>-0.11093247589999999</v>
      </c>
      <c r="D158" s="15">
        <v>496</v>
      </c>
      <c r="E158" s="32">
        <f t="shared" ref="E158:E161" si="82">IF(ISNUMBER(D158), (D158 - $B158) / $B158, "")</f>
        <v>-0.10307414104882459</v>
      </c>
      <c r="F158" s="18">
        <f>IF(ISNUMBER(D158), $B172 * E158, "")</f>
        <v>-10307.414104882459</v>
      </c>
      <c r="G158" s="31">
        <v>471</v>
      </c>
      <c r="H158" s="32">
        <f t="shared" ref="H158:H161" si="83">IF(ISNUMBER(G158), (G158 - $B158) / $B158, "")</f>
        <v>-0.14828209764918626</v>
      </c>
      <c r="I158" s="101">
        <f>IF(ISNUMBER(G158), $B172 * H158, "")</f>
        <v>-14828.209764918625</v>
      </c>
      <c r="J158" s="15">
        <v>496</v>
      </c>
      <c r="K158" s="32">
        <f t="shared" ref="K158:K161" si="84">IF(ISNUMBER(J158), (J158 - $B158) / $B158, "")</f>
        <v>-0.10307414104882459</v>
      </c>
      <c r="L158" s="18">
        <f>IF(ISNUMBER(J158), $B172 * K158, "")</f>
        <v>-10307.414104882459</v>
      </c>
      <c r="M158" s="31">
        <v>525</v>
      </c>
      <c r="N158" s="32">
        <f t="shared" ref="N158:N161" si="85">IF(ISNUMBER(M158), (M158 - $B158) / $B158, "")</f>
        <v>-5.0632911392405063E-2</v>
      </c>
      <c r="O158" s="18">
        <f>IF(ISNUMBER(M158), $B172 * N158, "")</f>
        <v>-5063.2911392405058</v>
      </c>
      <c r="Q158" s="235"/>
      <c r="R158" s="235"/>
      <c r="S158" s="235"/>
    </row>
    <row r="159" spans="1:19" ht="17.25" thickBot="1">
      <c r="A159" s="162" t="s">
        <v>216</v>
      </c>
      <c r="B159" s="126">
        <v>256</v>
      </c>
      <c r="C159" s="77">
        <v>-0.1202749141</v>
      </c>
      <c r="D159" s="15">
        <v>244</v>
      </c>
      <c r="E159" s="32">
        <f t="shared" si="82"/>
        <v>-4.6875E-2</v>
      </c>
      <c r="F159" s="18">
        <f>IF(ISNUMBER(D159), $B172 * E159, "")</f>
        <v>-4687.5</v>
      </c>
      <c r="G159" s="31">
        <v>229</v>
      </c>
      <c r="H159" s="32">
        <f t="shared" si="83"/>
        <v>-0.10546875</v>
      </c>
      <c r="I159" s="101">
        <f>IF(ISNUMBER(G159), $B172 * H159, "")</f>
        <v>-10546.875</v>
      </c>
      <c r="J159" s="15">
        <v>232</v>
      </c>
      <c r="K159" s="32">
        <f t="shared" si="84"/>
        <v>-9.375E-2</v>
      </c>
      <c r="L159" s="18">
        <f>IF(ISNUMBER(J159), $B172 * K159, "")</f>
        <v>-9375</v>
      </c>
      <c r="M159" s="31">
        <v>231</v>
      </c>
      <c r="N159" s="32">
        <f t="shared" si="85"/>
        <v>-9.765625E-2</v>
      </c>
      <c r="O159" s="18">
        <f>IF(ISNUMBER(M159), $B172 * N159, "")</f>
        <v>-9765.625</v>
      </c>
      <c r="Q159" s="235"/>
      <c r="R159" s="235"/>
      <c r="S159" s="235"/>
    </row>
    <row r="160" spans="1:19" ht="17.25" thickBot="1">
      <c r="A160" s="162" t="s">
        <v>226</v>
      </c>
      <c r="B160" s="126">
        <v>250</v>
      </c>
      <c r="C160" s="77">
        <v>-0.1319444444</v>
      </c>
      <c r="D160" s="15">
        <v>197</v>
      </c>
      <c r="E160" s="32">
        <f t="shared" si="82"/>
        <v>-0.21199999999999999</v>
      </c>
      <c r="F160" s="18">
        <f>IF(ISNUMBER(D160), $B172 * E160, "")</f>
        <v>-21200</v>
      </c>
      <c r="G160" s="31">
        <v>197</v>
      </c>
      <c r="H160" s="32">
        <f t="shared" si="83"/>
        <v>-0.21199999999999999</v>
      </c>
      <c r="I160" s="101">
        <f>IF(ISNUMBER(G160), $B172 * H160, "")</f>
        <v>-21200</v>
      </c>
      <c r="J160" s="15">
        <v>198</v>
      </c>
      <c r="K160" s="32">
        <f t="shared" si="84"/>
        <v>-0.20799999999999999</v>
      </c>
      <c r="L160" s="18">
        <f>IF(ISNUMBER(J160), $B172 * K160, "")</f>
        <v>-20800</v>
      </c>
      <c r="M160" s="31">
        <v>200</v>
      </c>
      <c r="N160" s="32">
        <f t="shared" si="85"/>
        <v>-0.2</v>
      </c>
      <c r="O160" s="18">
        <f>IF(ISNUMBER(M160), $B172 * N160, "")</f>
        <v>-20000</v>
      </c>
      <c r="Q160" s="33"/>
      <c r="R160" s="33"/>
    </row>
    <row r="161" spans="1:19" ht="17.25" thickBot="1">
      <c r="A161" s="130" t="s">
        <v>240</v>
      </c>
      <c r="B161" s="131">
        <v>104</v>
      </c>
      <c r="C161" s="79">
        <v>-0.1333333333</v>
      </c>
      <c r="D161" s="24">
        <v>82.3</v>
      </c>
      <c r="E161" s="25">
        <f t="shared" si="82"/>
        <v>-0.20865384615384619</v>
      </c>
      <c r="F161" s="104">
        <f>IF(ISNUMBER(D161), $B172 * E161, "")</f>
        <v>-20865.384615384621</v>
      </c>
      <c r="G161" s="102">
        <v>82</v>
      </c>
      <c r="H161" s="25">
        <f t="shared" si="83"/>
        <v>-0.21153846153846154</v>
      </c>
      <c r="I161" s="103">
        <f>IF(ISNUMBER(G161), $B172 * H161, "")</f>
        <v>-21153.846153846152</v>
      </c>
      <c r="J161" s="24">
        <v>83</v>
      </c>
      <c r="K161" s="25">
        <f t="shared" si="84"/>
        <v>-0.20192307692307693</v>
      </c>
      <c r="L161" s="104">
        <f>IF(ISNUMBER(J161), $B172 * K161, "")</f>
        <v>-20192.307692307691</v>
      </c>
      <c r="M161" s="102">
        <v>84.6</v>
      </c>
      <c r="N161" s="25">
        <f t="shared" si="85"/>
        <v>-0.1865384615384616</v>
      </c>
      <c r="O161" s="104">
        <f>IF(ISNUMBER(M161), $B172 * N161, "")</f>
        <v>-18653.84615384616</v>
      </c>
      <c r="Q161" s="236"/>
      <c r="R161" s="237"/>
      <c r="S161" s="238"/>
    </row>
    <row r="162" spans="1:19">
      <c r="A162" s="161" t="s">
        <v>200</v>
      </c>
      <c r="B162" s="124">
        <v>173</v>
      </c>
      <c r="C162" s="76">
        <v>-0.1393034826</v>
      </c>
      <c r="D162" s="13">
        <v>147</v>
      </c>
      <c r="E162" s="14">
        <f>IF(ISNUMBER(D162), (D162 - $B162) / $B162, "")</f>
        <v>-0.15028901734104047</v>
      </c>
      <c r="F162" s="16">
        <f>IF(ISNUMBER(D162), $B172 * E162, "")</f>
        <v>-15028.901734104047</v>
      </c>
      <c r="G162" s="29">
        <v>150</v>
      </c>
      <c r="H162" s="14">
        <f>IF(ISNUMBER(G162), (G162 - $B162) / $B162, "")</f>
        <v>-0.13294797687861271</v>
      </c>
      <c r="I162" s="100">
        <f>IF(ISNUMBER(G162), $B172 * H162, "")</f>
        <v>-13294.79768786127</v>
      </c>
      <c r="J162" s="13">
        <v>149</v>
      </c>
      <c r="K162" s="14">
        <f>IF(ISNUMBER(J162), (J162 - $B162) / $B162, "")</f>
        <v>-0.13872832369942195</v>
      </c>
      <c r="L162" s="16">
        <f>IF(ISNUMBER(J162), $B172 * K162, "")</f>
        <v>-13872.832369942194</v>
      </c>
      <c r="M162" s="29">
        <v>151</v>
      </c>
      <c r="N162" s="14">
        <f>IF(ISNUMBER(M162), (M162 - $B162) / $B162, "")</f>
        <v>-0.12716763005780346</v>
      </c>
      <c r="O162" s="16">
        <f>IF(ISNUMBER(M162), $B172 * N162, "")</f>
        <v>-12716.763005780345</v>
      </c>
      <c r="Q162" s="239"/>
      <c r="R162" s="240"/>
      <c r="S162" s="241"/>
    </row>
    <row r="163" spans="1:19" ht="17.25" thickBot="1">
      <c r="A163" s="162" t="s">
        <v>246</v>
      </c>
      <c r="B163" s="126">
        <v>255</v>
      </c>
      <c r="C163" s="77">
        <v>-0.1414141414</v>
      </c>
      <c r="D163" s="15">
        <v>231</v>
      </c>
      <c r="E163" s="32">
        <f t="shared" ref="E163:E166" si="86">IF(ISNUMBER(D163), (D163 - $B163) / $B163, "")</f>
        <v>-9.4117647058823528E-2</v>
      </c>
      <c r="F163" s="18">
        <f>IF(ISNUMBER(D163), $B172 * E163, "")</f>
        <v>-9411.7647058823532</v>
      </c>
      <c r="G163" s="31">
        <v>230</v>
      </c>
      <c r="H163" s="32">
        <f t="shared" ref="H163:H166" si="87">IF(ISNUMBER(G163), (G163 - $B163) / $B163, "")</f>
        <v>-9.8039215686274508E-2</v>
      </c>
      <c r="I163" s="101">
        <f>IF(ISNUMBER(G163), $B172 * H163, "")</f>
        <v>-9803.9215686274511</v>
      </c>
      <c r="J163" s="15">
        <v>232</v>
      </c>
      <c r="K163" s="32">
        <f t="shared" ref="K163:K166" si="88">IF(ISNUMBER(J163), (J163 - $B163) / $B163, "")</f>
        <v>-9.0196078431372548E-2</v>
      </c>
      <c r="L163" s="18">
        <f>IF(ISNUMBER(J163), $B172 * K163, "")</f>
        <v>-9019.6078431372553</v>
      </c>
      <c r="M163" s="31">
        <v>236</v>
      </c>
      <c r="N163" s="32">
        <f t="shared" ref="N163:N166" si="89">IF(ISNUMBER(M163), (M163 - $B163) / $B163, "")</f>
        <v>-7.4509803921568626E-2</v>
      </c>
      <c r="O163" s="18">
        <f>IF(ISNUMBER(M163), $B172 * N163, "")</f>
        <v>-7450.9803921568628</v>
      </c>
      <c r="Q163" s="242"/>
      <c r="R163" s="243"/>
      <c r="S163" s="244"/>
    </row>
    <row r="164" spans="1:19" ht="17.25" thickBot="1">
      <c r="A164" s="162" t="s">
        <v>210</v>
      </c>
      <c r="B164" s="126">
        <v>105</v>
      </c>
      <c r="C164" s="77">
        <v>-0.14634146340000001</v>
      </c>
      <c r="D164" s="15">
        <v>83.3</v>
      </c>
      <c r="E164" s="32">
        <f t="shared" si="86"/>
        <v>-0.20666666666666669</v>
      </c>
      <c r="F164" s="18">
        <f>IF(ISNUMBER(D164), $B172 * E164, "")</f>
        <v>-20666.666666666668</v>
      </c>
      <c r="G164" s="31">
        <v>83.3</v>
      </c>
      <c r="H164" s="32">
        <f t="shared" si="87"/>
        <v>-0.20666666666666669</v>
      </c>
      <c r="I164" s="101">
        <f>IF(ISNUMBER(G164), $B172 * H164, "")</f>
        <v>-20666.666666666668</v>
      </c>
      <c r="J164" s="15">
        <v>83.6</v>
      </c>
      <c r="K164" s="32">
        <f t="shared" si="88"/>
        <v>-0.20380952380952386</v>
      </c>
      <c r="L164" s="18">
        <f>IF(ISNUMBER(J164), $B172 * K164, "")</f>
        <v>-20380.952380952385</v>
      </c>
      <c r="M164" s="31">
        <v>85.2</v>
      </c>
      <c r="N164" s="32">
        <f t="shared" si="89"/>
        <v>-0.18857142857142856</v>
      </c>
      <c r="O164" s="18">
        <f>IF(ISNUMBER(M164), $B172 * N164, "")</f>
        <v>-18857.142857142855</v>
      </c>
      <c r="Q164" s="235"/>
      <c r="R164" s="235"/>
      <c r="S164" s="235"/>
    </row>
    <row r="165" spans="1:19" ht="17.25" thickBot="1">
      <c r="A165" s="162" t="s">
        <v>112</v>
      </c>
      <c r="B165" s="126">
        <v>152</v>
      </c>
      <c r="C165" s="77">
        <v>-0.15083798879999999</v>
      </c>
      <c r="D165" s="15">
        <v>131</v>
      </c>
      <c r="E165" s="32">
        <f t="shared" si="86"/>
        <v>-0.13815789473684212</v>
      </c>
      <c r="F165" s="18">
        <f>IF(ISNUMBER(D165), $B172 * E165, "")</f>
        <v>-13815.789473684212</v>
      </c>
      <c r="G165" s="31">
        <v>129</v>
      </c>
      <c r="H165" s="32">
        <f t="shared" si="87"/>
        <v>-0.15131578947368421</v>
      </c>
      <c r="I165" s="101">
        <f>IF(ISNUMBER(G165), $B172 * H165, "")</f>
        <v>-15131.578947368422</v>
      </c>
      <c r="J165" s="15">
        <v>127</v>
      </c>
      <c r="K165" s="32">
        <f t="shared" si="88"/>
        <v>-0.16447368421052633</v>
      </c>
      <c r="L165" s="18">
        <f>IF(ISNUMBER(J165), $B172 * K165, "")</f>
        <v>-16447.368421052633</v>
      </c>
      <c r="M165" s="31">
        <v>132</v>
      </c>
      <c r="N165" s="32">
        <f t="shared" si="89"/>
        <v>-0.13157894736842105</v>
      </c>
      <c r="O165" s="18">
        <f>IF(ISNUMBER(M165), $B172 * N165, "")</f>
        <v>-13157.894736842105</v>
      </c>
      <c r="Q165" s="245"/>
      <c r="R165" s="245"/>
      <c r="S165" s="245"/>
    </row>
    <row r="166" spans="1:19" ht="17.25" thickBot="1">
      <c r="A166" s="163" t="s">
        <v>174</v>
      </c>
      <c r="B166" s="128">
        <v>142</v>
      </c>
      <c r="C166" s="78">
        <v>-0.15976331360000001</v>
      </c>
      <c r="D166" s="20">
        <v>123</v>
      </c>
      <c r="E166" s="21">
        <f t="shared" si="86"/>
        <v>-0.13380281690140844</v>
      </c>
      <c r="F166" s="22">
        <f>IF(ISNUMBER(D166), $B172 * E166, "")</f>
        <v>-13380.281690140844</v>
      </c>
      <c r="G166" s="30">
        <v>111</v>
      </c>
      <c r="H166" s="21">
        <f t="shared" si="87"/>
        <v>-0.21830985915492956</v>
      </c>
      <c r="I166" s="105">
        <f>IF(ISNUMBER(G166), $B172 * H166, "")</f>
        <v>-21830.985915492958</v>
      </c>
      <c r="J166" s="20">
        <v>113</v>
      </c>
      <c r="K166" s="21">
        <f t="shared" si="88"/>
        <v>-0.20422535211267606</v>
      </c>
      <c r="L166" s="22">
        <f>IF(ISNUMBER(J166), $B172 * K166, "")</f>
        <v>-20422.535211267605</v>
      </c>
      <c r="M166" s="30">
        <v>115</v>
      </c>
      <c r="N166" s="21">
        <f t="shared" si="89"/>
        <v>-0.19014084507042253</v>
      </c>
      <c r="O166" s="22">
        <f>IF(ISNUMBER(M166), $B172 * N166, "")</f>
        <v>-19014.084507042255</v>
      </c>
      <c r="Q166" s="245"/>
      <c r="R166" s="245"/>
      <c r="S166" s="245"/>
    </row>
    <row r="167" spans="1:19" ht="17.25" thickBot="1">
      <c r="A167" s="162" t="s">
        <v>238</v>
      </c>
      <c r="B167" s="129">
        <v>111</v>
      </c>
      <c r="C167" s="80">
        <v>-0.35838150289999998</v>
      </c>
      <c r="D167" s="106">
        <v>91.3</v>
      </c>
      <c r="E167" s="107">
        <f>IF(ISNUMBER(D167), (D167 - $B167) / $B167, "")</f>
        <v>-0.1774774774774775</v>
      </c>
      <c r="F167" s="108">
        <f>IF(ISNUMBER(D167), $B172 * E167, "")</f>
        <v>-17747.747747747751</v>
      </c>
      <c r="G167" s="109">
        <v>92.9</v>
      </c>
      <c r="H167" s="107">
        <f>IF(ISNUMBER(G167), (G167 - $B167) / $B167, "")</f>
        <v>-0.16306306306306301</v>
      </c>
      <c r="I167" s="110">
        <f>IF(ISNUMBER(G167), $B172 * H167, "")</f>
        <v>-16306.3063063063</v>
      </c>
      <c r="J167" s="106">
        <v>89.8</v>
      </c>
      <c r="K167" s="107">
        <f>IF(ISNUMBER(J167), (J167 - $B167) / $B167, "")</f>
        <v>-0.19099099099099101</v>
      </c>
      <c r="L167" s="108">
        <f>IF(ISNUMBER(J167), $B172 * K167, "")</f>
        <v>-19099.099099099101</v>
      </c>
      <c r="M167" s="109">
        <v>88</v>
      </c>
      <c r="N167" s="107">
        <f>IF(ISNUMBER(M167), (M167 - $B167) / $B167, "")</f>
        <v>-0.2072072072072072</v>
      </c>
      <c r="O167" s="108">
        <f>IF(ISNUMBER(M167), $B172 * N167, "")</f>
        <v>-20720.720720720721</v>
      </c>
      <c r="Q167" s="235"/>
      <c r="R167" s="235"/>
      <c r="S167" s="235"/>
    </row>
    <row r="168" spans="1:19" ht="17.25" thickBot="1">
      <c r="A168" s="162" t="s">
        <v>162</v>
      </c>
      <c r="B168" s="126">
        <v>730</v>
      </c>
      <c r="C168" s="77">
        <v>-0.37606837609999999</v>
      </c>
      <c r="D168" s="15">
        <v>547</v>
      </c>
      <c r="E168" s="32">
        <f t="shared" ref="E168:E171" si="90">IF(ISNUMBER(D168), (D168 - $B168) / $B168, "")</f>
        <v>-0.25068493150684934</v>
      </c>
      <c r="F168" s="18">
        <f>IF(ISNUMBER(D168), $B172 * E168, "")</f>
        <v>-25068.493150684935</v>
      </c>
      <c r="G168" s="31">
        <v>538</v>
      </c>
      <c r="H168" s="32">
        <f t="shared" ref="H168:H171" si="91">IF(ISNUMBER(G168), (G168 - $B168) / $B168, "")</f>
        <v>-0.26301369863013696</v>
      </c>
      <c r="I168" s="101">
        <f>IF(ISNUMBER(G168), $B172 * H168, "")</f>
        <v>-26301.369863013697</v>
      </c>
      <c r="J168" s="15">
        <v>532</v>
      </c>
      <c r="K168" s="32">
        <f t="shared" ref="K168:K171" si="92">IF(ISNUMBER(J168), (J168 - $B168) / $B168, "")</f>
        <v>-0.27123287671232876</v>
      </c>
      <c r="L168" s="18">
        <f>IF(ISNUMBER(J168), $B172 * K168, "")</f>
        <v>-27123.287671232876</v>
      </c>
      <c r="M168" s="31">
        <v>535</v>
      </c>
      <c r="N168" s="32">
        <f t="shared" ref="N168:N171" si="93">IF(ISNUMBER(M168), (M168 - $B168) / $B168, "")</f>
        <v>-0.26712328767123289</v>
      </c>
      <c r="O168" s="18">
        <f>IF(ISNUMBER(M168), $B172 * N168, "")</f>
        <v>-26712.32876712329</v>
      </c>
      <c r="Q168" s="235"/>
      <c r="R168" s="235"/>
      <c r="S168" s="235"/>
    </row>
    <row r="169" spans="1:19" ht="17.25" thickBot="1">
      <c r="A169" s="162" t="s">
        <v>234</v>
      </c>
      <c r="B169" s="126">
        <v>450</v>
      </c>
      <c r="C169" s="77">
        <v>-0.40789473679999999</v>
      </c>
      <c r="D169" s="15">
        <v>325</v>
      </c>
      <c r="E169" s="32">
        <f t="shared" si="90"/>
        <v>-0.27777777777777779</v>
      </c>
      <c r="F169" s="18">
        <f>IF(ISNUMBER(D169), $B172 * E169, "")</f>
        <v>-27777.777777777777</v>
      </c>
      <c r="G169" s="31">
        <v>320</v>
      </c>
      <c r="H169" s="32">
        <f t="shared" si="91"/>
        <v>-0.28888888888888886</v>
      </c>
      <c r="I169" s="101">
        <f>IF(ISNUMBER(G169), $B172 * H169, "")</f>
        <v>-28888.888888888887</v>
      </c>
      <c r="J169" s="15">
        <v>316</v>
      </c>
      <c r="K169" s="32">
        <f t="shared" si="92"/>
        <v>-0.29777777777777775</v>
      </c>
      <c r="L169" s="18">
        <f>IF(ISNUMBER(J169), $B172 * K169, "")</f>
        <v>-29777.777777777774</v>
      </c>
      <c r="M169" s="31">
        <v>313</v>
      </c>
      <c r="N169" s="32">
        <f t="shared" si="93"/>
        <v>-0.30444444444444446</v>
      </c>
      <c r="O169" s="18">
        <f>IF(ISNUMBER(M169), $B172 * N169, "")</f>
        <v>-30444.444444444445</v>
      </c>
      <c r="Q169" s="235"/>
      <c r="R169" s="235"/>
      <c r="S169" s="235"/>
    </row>
    <row r="170" spans="1:19">
      <c r="A170" s="162" t="s">
        <v>208</v>
      </c>
      <c r="B170" s="126">
        <v>162</v>
      </c>
      <c r="C170" s="77">
        <v>-0.43157894740000002</v>
      </c>
      <c r="D170" s="15">
        <v>105</v>
      </c>
      <c r="E170" s="32">
        <f t="shared" si="90"/>
        <v>-0.35185185185185186</v>
      </c>
      <c r="F170" s="18">
        <f>IF(ISNUMBER(D170), $B172 * E170, "")</f>
        <v>-35185.185185185182</v>
      </c>
      <c r="G170" s="31">
        <v>104</v>
      </c>
      <c r="H170" s="32">
        <f t="shared" si="91"/>
        <v>-0.35802469135802467</v>
      </c>
      <c r="I170" s="101">
        <f>IF(ISNUMBER(G170), $B172 * H170, "")</f>
        <v>-35802.469135802465</v>
      </c>
      <c r="J170" s="15">
        <v>104</v>
      </c>
      <c r="K170" s="32">
        <f t="shared" si="92"/>
        <v>-0.35802469135802467</v>
      </c>
      <c r="L170" s="18">
        <f>IF(ISNUMBER(J170), $B172 * K170, "")</f>
        <v>-35802.469135802465</v>
      </c>
      <c r="M170" s="31">
        <v>103</v>
      </c>
      <c r="N170" s="32">
        <f t="shared" si="93"/>
        <v>-0.36419753086419754</v>
      </c>
      <c r="O170" s="18">
        <f>IF(ISNUMBER(M170), $B172 * N170, "")</f>
        <v>-36419.753086419754</v>
      </c>
      <c r="Q170" s="224"/>
      <c r="R170" s="225"/>
      <c r="S170" s="226"/>
    </row>
    <row r="171" spans="1:19" ht="17.25" thickBot="1">
      <c r="A171" s="130" t="s">
        <v>252</v>
      </c>
      <c r="B171" s="131">
        <v>168</v>
      </c>
      <c r="C171" s="79">
        <v>-0.4362416107</v>
      </c>
      <c r="D171" s="24">
        <v>117</v>
      </c>
      <c r="E171" s="25">
        <f t="shared" si="90"/>
        <v>-0.30357142857142855</v>
      </c>
      <c r="F171" s="104">
        <f>IF(ISNUMBER(D171), $B172 * E171, "")</f>
        <v>-30357.142857142855</v>
      </c>
      <c r="G171" s="102">
        <v>113</v>
      </c>
      <c r="H171" s="25">
        <f t="shared" si="91"/>
        <v>-0.32738095238095238</v>
      </c>
      <c r="I171" s="103">
        <f>IF(ISNUMBER(G171), $B172 * H171, "")</f>
        <v>-32738.095238095237</v>
      </c>
      <c r="J171" s="24">
        <v>115</v>
      </c>
      <c r="K171" s="25">
        <f t="shared" si="92"/>
        <v>-0.31547619047619047</v>
      </c>
      <c r="L171" s="104">
        <f>IF(ISNUMBER(J171), $B172 * K171, "")</f>
        <v>-31547.619047619046</v>
      </c>
      <c r="M171" s="102">
        <v>116</v>
      </c>
      <c r="N171" s="25">
        <f t="shared" si="93"/>
        <v>-0.30952380952380953</v>
      </c>
      <c r="O171" s="104">
        <f>IF(ISNUMBER(M171), $B172 * N171, "")</f>
        <v>-30952.380952380954</v>
      </c>
      <c r="Q171" s="227"/>
      <c r="R171" s="228"/>
      <c r="S171" s="229"/>
    </row>
    <row r="172" spans="1:19" ht="17.25" thickBot="1">
      <c r="A172" s="132" t="s">
        <v>300</v>
      </c>
      <c r="B172" s="288">
        <f>$B$37</f>
        <v>100000</v>
      </c>
      <c r="C172" s="289"/>
      <c r="D172" s="26" t="s">
        <v>301</v>
      </c>
      <c r="E172" s="27">
        <f>IF(COUNT(E152:E171), SUM(E152:E171) / COUNT(E152:E171), 0)</f>
        <v>-0.16904110487275176</v>
      </c>
      <c r="F172" s="28">
        <f>SUM(F152:F171)</f>
        <v>-338082.20974550338</v>
      </c>
      <c r="G172" s="26" t="s">
        <v>301</v>
      </c>
      <c r="H172" s="27">
        <f>IF(COUNT(H152:H171), SUM(H152:H171) / COUNT(H152:H171), 0)</f>
        <v>-0.17966317312122151</v>
      </c>
      <c r="I172" s="28">
        <f>SUM(I152:I171)</f>
        <v>-359326.34624244308</v>
      </c>
      <c r="J172" s="26" t="s">
        <v>301</v>
      </c>
      <c r="K172" s="27">
        <f>IF(COUNT(K152:K171), SUM(K152:K171) / COUNT(K152:K171), 0)</f>
        <v>-0.17553045417381311</v>
      </c>
      <c r="L172" s="28">
        <f>SUM(L152:L171)</f>
        <v>-351060.90834762622</v>
      </c>
      <c r="M172" s="26" t="s">
        <v>301</v>
      </c>
      <c r="N172" s="27">
        <f>IF(COUNT(N152:N171), SUM(N152:N171) / COUNT(N152:N171), 0)</f>
        <v>-0.16714228752925622</v>
      </c>
      <c r="O172" s="28">
        <f>SUM(O152:O171)</f>
        <v>-334284.57505851251</v>
      </c>
      <c r="Q172" s="230"/>
      <c r="R172" s="231"/>
      <c r="S172" s="232"/>
    </row>
    <row r="174" spans="1:19" ht="17.25" thickBot="1"/>
    <row r="175" spans="1:19" ht="17.25" thickBot="1">
      <c r="A175" s="246" t="s">
        <v>285</v>
      </c>
      <c r="B175" s="247"/>
      <c r="C175" s="247"/>
      <c r="D175" s="247"/>
      <c r="E175" s="247"/>
      <c r="F175" s="247"/>
      <c r="G175" s="247"/>
      <c r="H175" s="247"/>
      <c r="I175" s="247"/>
      <c r="J175" s="247"/>
      <c r="K175" s="247"/>
      <c r="L175" s="247"/>
      <c r="M175" s="247"/>
      <c r="N175" s="247"/>
      <c r="O175" s="248"/>
      <c r="Q175" s="245"/>
      <c r="R175" s="245"/>
      <c r="S175" s="245"/>
    </row>
    <row r="176" spans="1:19" ht="17.25" thickBot="1">
      <c r="A176" s="204" t="s">
        <v>297</v>
      </c>
      <c r="B176" s="246" t="s">
        <v>49</v>
      </c>
      <c r="C176" s="248"/>
      <c r="D176" s="246" t="s">
        <v>58</v>
      </c>
      <c r="E176" s="247"/>
      <c r="F176" s="248"/>
      <c r="G176" s="249">
        <f>_xlfn.IFNA(VLOOKUP(B176, 현재가테이블!$B$2:$D$200, 2, FALSE), "-")</f>
        <v>45335000</v>
      </c>
      <c r="H176" s="250"/>
      <c r="I176" s="251"/>
      <c r="J176" s="246" t="s">
        <v>59</v>
      </c>
      <c r="K176" s="247"/>
      <c r="L176" s="248"/>
      <c r="M176" s="252">
        <f>_xlfn.IFNA(VLOOKUP(B176, 현재가테이블!$B$2:$D$200, 3, FALSE), "-")</f>
        <v>-2.27209037E-2</v>
      </c>
      <c r="N176" s="253"/>
      <c r="O176" s="254"/>
      <c r="Q176" s="245"/>
      <c r="R176" s="245"/>
      <c r="S176" s="245"/>
    </row>
    <row r="177" spans="1:19" ht="17.25" thickBot="1">
      <c r="A177" s="290" t="s">
        <v>55</v>
      </c>
      <c r="B177" s="286" t="str">
        <f>TEXT($G$1, "[$-ko-KR]yyyy-mm-dd(ddd) ") &amp; "오전 00:00"</f>
        <v>2021-06-12(토) 오전 00:00</v>
      </c>
      <c r="C177" s="287"/>
      <c r="D177" s="259" t="str">
        <f>TEXT($G$1, "[$-ko-KR]yyyy-mm-dd(ddd) ") &amp; "오후 14:00"</f>
        <v>2021-06-12(토) 오후 14:00</v>
      </c>
      <c r="E177" s="260"/>
      <c r="F177" s="261"/>
      <c r="G177" s="259" t="str">
        <f>TEXT($G$1, "[$-ko-KR]yyyy-mm-dd(ddd) ") &amp; "오후 19:00"</f>
        <v>2021-06-12(토) 오후 19:00</v>
      </c>
      <c r="H177" s="260"/>
      <c r="I177" s="261"/>
      <c r="J177" s="259" t="str">
        <f>TEXT($G$1, "[$-ko-KR]yyyy-mm-dd(ddd) ") &amp; "오후 21:00"</f>
        <v>2021-06-12(토) 오후 21:00</v>
      </c>
      <c r="K177" s="260"/>
      <c r="L177" s="261"/>
      <c r="M177" s="259" t="str">
        <f>TEXT($G$1+1, "[$-ko-KR]yyyy-mm-dd(ddd) ") &amp; "오전 00:00"</f>
        <v>2021-06-13(일) 오전 00:00</v>
      </c>
      <c r="N177" s="260"/>
      <c r="O177" s="261"/>
      <c r="Q177" s="245"/>
      <c r="R177" s="245"/>
      <c r="S177" s="245"/>
    </row>
    <row r="178" spans="1:19" ht="17.25" thickBot="1">
      <c r="A178" s="291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205" t="s">
        <v>58</v>
      </c>
      <c r="H178" s="206" t="s">
        <v>298</v>
      </c>
      <c r="I178" s="207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5"/>
      <c r="R178" s="235"/>
      <c r="S178" s="235"/>
    </row>
    <row r="179" spans="1:19" ht="17.25" thickBot="1">
      <c r="A179" s="161" t="s">
        <v>222</v>
      </c>
      <c r="B179" s="124">
        <v>9.9600000000000009</v>
      </c>
      <c r="C179" s="76">
        <v>-0.14137931030000001</v>
      </c>
      <c r="D179" s="13">
        <v>7.99</v>
      </c>
      <c r="E179" s="14">
        <f>IF(ISNUMBER(D179), (D179 - $B179) / $B179, "")</f>
        <v>-0.19779116465863458</v>
      </c>
      <c r="F179" s="16">
        <f>IF(ISNUMBER(D179), $B199 * E179, "")</f>
        <v>-19779.116465863459</v>
      </c>
      <c r="G179" s="29">
        <v>8.0500000000000007</v>
      </c>
      <c r="H179" s="14">
        <f>IF(ISNUMBER(G179), (G179 - $B179) / $B179, "")</f>
        <v>-0.19176706827309237</v>
      </c>
      <c r="I179" s="100">
        <f>IF(ISNUMBER(G179), $B199 * H179, "")</f>
        <v>-19176.706827309237</v>
      </c>
      <c r="J179" s="13">
        <v>8.17</v>
      </c>
      <c r="K179" s="14">
        <f>IF(ISNUMBER(J179), (J179 - $B179) / $B179, "")</f>
        <v>-0.1797188755020081</v>
      </c>
      <c r="L179" s="16">
        <f>IF(ISNUMBER(J179), $B199 * K179, "")</f>
        <v>-17971.887550200809</v>
      </c>
      <c r="M179" s="29">
        <v>8.2100000000000009</v>
      </c>
      <c r="N179" s="14">
        <f>IF(ISNUMBER(M179), (M179 - $B179) / $B179, "")</f>
        <v>-0.17570281124497991</v>
      </c>
      <c r="O179" s="16">
        <f>IF(ISNUMBER(M179), $B199 * N179, "")</f>
        <v>-17570.281124497989</v>
      </c>
      <c r="Q179" s="245"/>
      <c r="R179" s="245"/>
      <c r="S179" s="245"/>
    </row>
    <row r="180" spans="1:19" ht="17.25" thickBot="1">
      <c r="A180" s="162" t="s">
        <v>246</v>
      </c>
      <c r="B180" s="126">
        <v>255</v>
      </c>
      <c r="C180" s="77">
        <v>-0.1414141414</v>
      </c>
      <c r="D180" s="15">
        <v>231</v>
      </c>
      <c r="E180" s="32">
        <f t="shared" ref="E180:E183" si="94">IF(ISNUMBER(D180), (D180 - $B180) / $B180, "")</f>
        <v>-9.4117647058823528E-2</v>
      </c>
      <c r="F180" s="18">
        <f>IF(ISNUMBER(D180), $B199 * E180, "")</f>
        <v>-9411.7647058823532</v>
      </c>
      <c r="G180" s="31">
        <v>230</v>
      </c>
      <c r="H180" s="32">
        <f t="shared" ref="H180:H183" si="95">IF(ISNUMBER(G180), (G180 - $B180) / $B180, "")</f>
        <v>-9.8039215686274508E-2</v>
      </c>
      <c r="I180" s="101">
        <f>IF(ISNUMBER(G180), $B199 * H180, "")</f>
        <v>-9803.9215686274511</v>
      </c>
      <c r="J180" s="15">
        <v>232</v>
      </c>
      <c r="K180" s="32">
        <f t="shared" ref="K180:K183" si="96">IF(ISNUMBER(J180), (J180 - $B180) / $B180, "")</f>
        <v>-9.0196078431372548E-2</v>
      </c>
      <c r="L180" s="18">
        <f>IF(ISNUMBER(J180), $B199 * K180, "")</f>
        <v>-9019.6078431372553</v>
      </c>
      <c r="M180" s="31">
        <v>236</v>
      </c>
      <c r="N180" s="32">
        <f t="shared" ref="N180:N183" si="97">IF(ISNUMBER(M180), (M180 - $B180) / $B180, "")</f>
        <v>-7.4509803921568626E-2</v>
      </c>
      <c r="O180" s="18">
        <f>IF(ISNUMBER(M180), $B199 * N180, "")</f>
        <v>-7450.9803921568628</v>
      </c>
      <c r="Q180" s="245"/>
      <c r="R180" s="245"/>
      <c r="S180" s="245"/>
    </row>
    <row r="181" spans="1:19" ht="17.25" thickBot="1">
      <c r="A181" s="162" t="s">
        <v>190</v>
      </c>
      <c r="B181" s="126">
        <v>51830</v>
      </c>
      <c r="C181" s="77">
        <v>-0.1455654468</v>
      </c>
      <c r="D181" s="15">
        <v>43660</v>
      </c>
      <c r="E181" s="32">
        <f t="shared" si="94"/>
        <v>-0.15763071580165927</v>
      </c>
      <c r="F181" s="18">
        <f>IF(ISNUMBER(D181), $B199 * E181, "")</f>
        <v>-15763.071580165928</v>
      </c>
      <c r="G181" s="31">
        <v>45290</v>
      </c>
      <c r="H181" s="32">
        <f t="shared" si="95"/>
        <v>-0.12618174802238086</v>
      </c>
      <c r="I181" s="101">
        <f>IF(ISNUMBER(G181), $B199 * H181, "")</f>
        <v>-12618.174802238085</v>
      </c>
      <c r="J181" s="15">
        <v>45600</v>
      </c>
      <c r="K181" s="32">
        <f t="shared" si="96"/>
        <v>-0.12020065599073895</v>
      </c>
      <c r="L181" s="18">
        <f>IF(ISNUMBER(J181), $B199 * K181, "")</f>
        <v>-12020.065599073896</v>
      </c>
      <c r="M181" s="31">
        <v>46880</v>
      </c>
      <c r="N181" s="32">
        <f t="shared" si="97"/>
        <v>-9.5504534053636889E-2</v>
      </c>
      <c r="O181" s="18">
        <f>IF(ISNUMBER(M181), $B199 * N181, "")</f>
        <v>-9550.4534053636889</v>
      </c>
      <c r="Q181" s="235"/>
      <c r="R181" s="235"/>
      <c r="S181" s="235"/>
    </row>
    <row r="182" spans="1:19" ht="17.25" thickBot="1">
      <c r="A182" s="162" t="s">
        <v>210</v>
      </c>
      <c r="B182" s="126">
        <v>105</v>
      </c>
      <c r="C182" s="77">
        <v>-0.14634146340000001</v>
      </c>
      <c r="D182" s="15">
        <v>83.3</v>
      </c>
      <c r="E182" s="32">
        <f t="shared" si="94"/>
        <v>-0.20666666666666669</v>
      </c>
      <c r="F182" s="18">
        <f>IF(ISNUMBER(D182), $B199 * E182, "")</f>
        <v>-20666.666666666668</v>
      </c>
      <c r="G182" s="31">
        <v>83.3</v>
      </c>
      <c r="H182" s="32">
        <f t="shared" si="95"/>
        <v>-0.20666666666666669</v>
      </c>
      <c r="I182" s="101">
        <f>IF(ISNUMBER(G182), $B199 * H182, "")</f>
        <v>-20666.666666666668</v>
      </c>
      <c r="J182" s="15">
        <v>83.6</v>
      </c>
      <c r="K182" s="32">
        <f t="shared" si="96"/>
        <v>-0.20380952380952386</v>
      </c>
      <c r="L182" s="18">
        <f>IF(ISNUMBER(J182), $B199 * K182, "")</f>
        <v>-20380.952380952385</v>
      </c>
      <c r="M182" s="31">
        <v>85.2</v>
      </c>
      <c r="N182" s="32">
        <f t="shared" si="97"/>
        <v>-0.18857142857142856</v>
      </c>
      <c r="O182" s="18">
        <f>IF(ISNUMBER(M182), $B199 * N182, "")</f>
        <v>-18857.142857142855</v>
      </c>
      <c r="Q182" s="235"/>
      <c r="R182" s="235"/>
      <c r="S182" s="235"/>
    </row>
    <row r="183" spans="1:19" ht="17.25" thickBot="1">
      <c r="A183" s="163" t="s">
        <v>112</v>
      </c>
      <c r="B183" s="128">
        <v>152</v>
      </c>
      <c r="C183" s="78">
        <v>-0.15083798879999999</v>
      </c>
      <c r="D183" s="20">
        <v>131</v>
      </c>
      <c r="E183" s="21">
        <f t="shared" si="94"/>
        <v>-0.13815789473684212</v>
      </c>
      <c r="F183" s="22">
        <f>IF(ISNUMBER(D183), $B199 * E183, "")</f>
        <v>-13815.789473684212</v>
      </c>
      <c r="G183" s="30">
        <v>129</v>
      </c>
      <c r="H183" s="21">
        <f t="shared" si="95"/>
        <v>-0.15131578947368421</v>
      </c>
      <c r="I183" s="105">
        <f>IF(ISNUMBER(G183), $B199 * H183, "")</f>
        <v>-15131.578947368422</v>
      </c>
      <c r="J183" s="20">
        <v>127</v>
      </c>
      <c r="K183" s="21">
        <f t="shared" si="96"/>
        <v>-0.16447368421052633</v>
      </c>
      <c r="L183" s="22">
        <f>IF(ISNUMBER(J183), $B199 * K183, "")</f>
        <v>-16447.368421052633</v>
      </c>
      <c r="M183" s="30">
        <v>132</v>
      </c>
      <c r="N183" s="21">
        <f t="shared" si="97"/>
        <v>-0.13157894736842105</v>
      </c>
      <c r="O183" s="22">
        <f>IF(ISNUMBER(M183), $B199 * N183, "")</f>
        <v>-13157.894736842105</v>
      </c>
      <c r="Q183" s="235"/>
      <c r="R183" s="235"/>
      <c r="S183" s="235"/>
    </row>
    <row r="184" spans="1:19" ht="17.25" thickBot="1">
      <c r="A184" s="162" t="s">
        <v>248</v>
      </c>
      <c r="B184" s="129">
        <v>1435</v>
      </c>
      <c r="C184" s="80">
        <v>-0.150887574</v>
      </c>
      <c r="D184" s="106">
        <v>1205</v>
      </c>
      <c r="E184" s="107">
        <f>IF(ISNUMBER(D184), (D184 - $B184) / $B184, "")</f>
        <v>-0.16027874564459929</v>
      </c>
      <c r="F184" s="108">
        <f>IF(ISNUMBER(D184), $B199 * E184, "")</f>
        <v>-16027.874564459929</v>
      </c>
      <c r="G184" s="109">
        <v>1225</v>
      </c>
      <c r="H184" s="107">
        <f>IF(ISNUMBER(G184), (G184 - $B184) / $B184, "")</f>
        <v>-0.14634146341463414</v>
      </c>
      <c r="I184" s="110">
        <f>IF(ISNUMBER(G184), $B199 * H184, "")</f>
        <v>-14634.146341463415</v>
      </c>
      <c r="J184" s="106">
        <v>1230</v>
      </c>
      <c r="K184" s="107">
        <f>IF(ISNUMBER(J184), (J184 - $B184) / $B184, "")</f>
        <v>-0.14285714285714285</v>
      </c>
      <c r="L184" s="108">
        <f>IF(ISNUMBER(J184), $B199 * K184, "")</f>
        <v>-14285.714285714284</v>
      </c>
      <c r="M184" s="109">
        <v>1250</v>
      </c>
      <c r="N184" s="107">
        <f>IF(ISNUMBER(M184), (M184 - $B184) / $B184, "")</f>
        <v>-0.1289198606271777</v>
      </c>
      <c r="O184" s="108">
        <f>IF(ISNUMBER(M184), $B199 * N184, "")</f>
        <v>-12891.98606271777</v>
      </c>
      <c r="Q184" s="235"/>
      <c r="R184" s="235"/>
      <c r="S184" s="235"/>
    </row>
    <row r="185" spans="1:19" ht="17.25" thickBot="1">
      <c r="A185" s="162" t="s">
        <v>174</v>
      </c>
      <c r="B185" s="126">
        <v>142</v>
      </c>
      <c r="C185" s="77">
        <v>-0.15976331360000001</v>
      </c>
      <c r="D185" s="15">
        <v>123</v>
      </c>
      <c r="E185" s="32">
        <f t="shared" ref="E185:E188" si="98">IF(ISNUMBER(D185), (D185 - $B185) / $B185, "")</f>
        <v>-0.13380281690140844</v>
      </c>
      <c r="F185" s="18">
        <f>IF(ISNUMBER(D185), $B199 * E185, "")</f>
        <v>-13380.281690140844</v>
      </c>
      <c r="G185" s="31">
        <v>111</v>
      </c>
      <c r="H185" s="32">
        <f t="shared" ref="H185:H188" si="99">IF(ISNUMBER(G185), (G185 - $B185) / $B185, "")</f>
        <v>-0.21830985915492956</v>
      </c>
      <c r="I185" s="101">
        <f>IF(ISNUMBER(G185), $B199 * H185, "")</f>
        <v>-21830.985915492958</v>
      </c>
      <c r="J185" s="15">
        <v>113</v>
      </c>
      <c r="K185" s="32">
        <f t="shared" ref="K185:K188" si="100">IF(ISNUMBER(J185), (J185 - $B185) / $B185, "")</f>
        <v>-0.20422535211267606</v>
      </c>
      <c r="L185" s="18">
        <f>IF(ISNUMBER(J185), $B199 * K185, "")</f>
        <v>-20422.535211267605</v>
      </c>
      <c r="M185" s="31">
        <v>115</v>
      </c>
      <c r="N185" s="32">
        <f t="shared" ref="N185:N188" si="101">IF(ISNUMBER(M185), (M185 - $B185) / $B185, "")</f>
        <v>-0.19014084507042253</v>
      </c>
      <c r="O185" s="18">
        <f>IF(ISNUMBER(M185), $B199 * N185, "")</f>
        <v>-19014.084507042255</v>
      </c>
      <c r="Q185" s="235"/>
      <c r="R185" s="235"/>
      <c r="S185" s="235"/>
    </row>
    <row r="186" spans="1:19" ht="17.25" thickBot="1">
      <c r="A186" s="162" t="s">
        <v>268</v>
      </c>
      <c r="B186" s="126">
        <v>40.799999999999997</v>
      </c>
      <c r="C186" s="77">
        <v>-0.187250996</v>
      </c>
      <c r="D186" s="15">
        <v>33.1</v>
      </c>
      <c r="E186" s="32">
        <f t="shared" si="98"/>
        <v>-0.18872549019607834</v>
      </c>
      <c r="F186" s="18">
        <f>IF(ISNUMBER(D186), $B199 * E186, "")</f>
        <v>-18872.549019607835</v>
      </c>
      <c r="G186" s="31">
        <v>32.299999999999997</v>
      </c>
      <c r="H186" s="32">
        <f t="shared" si="99"/>
        <v>-0.20833333333333334</v>
      </c>
      <c r="I186" s="101">
        <f>IF(ISNUMBER(G186), $B199 * H186, "")</f>
        <v>-20833.333333333336</v>
      </c>
      <c r="J186" s="15">
        <v>32</v>
      </c>
      <c r="K186" s="32">
        <f t="shared" si="100"/>
        <v>-0.21568627450980388</v>
      </c>
      <c r="L186" s="18">
        <f>IF(ISNUMBER(J186), $B199 * K186, "")</f>
        <v>-21568.627450980388</v>
      </c>
      <c r="M186" s="31">
        <v>31.9</v>
      </c>
      <c r="N186" s="32">
        <f t="shared" si="101"/>
        <v>-0.21813725490196076</v>
      </c>
      <c r="O186" s="18">
        <f>IF(ISNUMBER(M186), $B199 * N186, "")</f>
        <v>-21813.725490196077</v>
      </c>
      <c r="Q186" s="235"/>
      <c r="R186" s="235"/>
      <c r="S186" s="235"/>
    </row>
    <row r="187" spans="1:19" ht="17.25" thickBot="1">
      <c r="A187" s="162" t="s">
        <v>238</v>
      </c>
      <c r="B187" s="126">
        <v>111</v>
      </c>
      <c r="C187" s="77">
        <v>-0.35838150289999998</v>
      </c>
      <c r="D187" s="15">
        <v>91.3</v>
      </c>
      <c r="E187" s="32">
        <f t="shared" si="98"/>
        <v>-0.1774774774774775</v>
      </c>
      <c r="F187" s="18">
        <f>IF(ISNUMBER(D187), $B199 * E187, "")</f>
        <v>-17747.747747747751</v>
      </c>
      <c r="G187" s="31">
        <v>92.9</v>
      </c>
      <c r="H187" s="32">
        <f t="shared" si="99"/>
        <v>-0.16306306306306301</v>
      </c>
      <c r="I187" s="101">
        <f>IF(ISNUMBER(G187), $B199 * H187, "")</f>
        <v>-16306.3063063063</v>
      </c>
      <c r="J187" s="15">
        <v>89.8</v>
      </c>
      <c r="K187" s="32">
        <f t="shared" si="100"/>
        <v>-0.19099099099099101</v>
      </c>
      <c r="L187" s="18">
        <f>IF(ISNUMBER(J187), $B199 * K187, "")</f>
        <v>-19099.099099099101</v>
      </c>
      <c r="M187" s="31">
        <v>88</v>
      </c>
      <c r="N187" s="32">
        <f t="shared" si="101"/>
        <v>-0.2072072072072072</v>
      </c>
      <c r="O187" s="18">
        <f>IF(ISNUMBER(M187), $B199 * N187, "")</f>
        <v>-20720.720720720721</v>
      </c>
      <c r="Q187" s="33"/>
      <c r="R187" s="33"/>
    </row>
    <row r="188" spans="1:19" ht="17.25" thickBot="1">
      <c r="A188" s="130" t="s">
        <v>282</v>
      </c>
      <c r="B188" s="131">
        <v>72.5</v>
      </c>
      <c r="C188" s="79">
        <v>-0.36403508769999998</v>
      </c>
      <c r="D188" s="24">
        <v>56.9</v>
      </c>
      <c r="E188" s="25">
        <f t="shared" si="98"/>
        <v>-0.21517241379310348</v>
      </c>
      <c r="F188" s="104">
        <f>IF(ISNUMBER(D188), $B199 * E188, "")</f>
        <v>-21517.241379310348</v>
      </c>
      <c r="G188" s="102">
        <v>56.1</v>
      </c>
      <c r="H188" s="25">
        <f t="shared" si="99"/>
        <v>-0.22620689655172413</v>
      </c>
      <c r="I188" s="103">
        <f>IF(ISNUMBER(G188), $B199 * H188, "")</f>
        <v>-22620.689655172413</v>
      </c>
      <c r="J188" s="24">
        <v>55</v>
      </c>
      <c r="K188" s="25">
        <f t="shared" si="100"/>
        <v>-0.2413793103448276</v>
      </c>
      <c r="L188" s="104">
        <f>IF(ISNUMBER(J188), $B199 * K188, "")</f>
        <v>-24137.931034482761</v>
      </c>
      <c r="M188" s="102">
        <v>55.9</v>
      </c>
      <c r="N188" s="25">
        <f t="shared" si="101"/>
        <v>-0.22896551724137934</v>
      </c>
      <c r="O188" s="104">
        <f>IF(ISNUMBER(M188), $B199 * N188, "")</f>
        <v>-22896.551724137935</v>
      </c>
      <c r="Q188" s="236"/>
      <c r="R188" s="237"/>
      <c r="S188" s="238"/>
    </row>
    <row r="189" spans="1:19">
      <c r="A189" s="161" t="s">
        <v>162</v>
      </c>
      <c r="B189" s="124">
        <v>730</v>
      </c>
      <c r="C189" s="76">
        <v>-0.37606837609999999</v>
      </c>
      <c r="D189" s="13">
        <v>547</v>
      </c>
      <c r="E189" s="14">
        <f>IF(ISNUMBER(D189), (D189 - $B189) / $B189, "")</f>
        <v>-0.25068493150684934</v>
      </c>
      <c r="F189" s="16">
        <f>IF(ISNUMBER(D189), $B199 * E189, "")</f>
        <v>-25068.493150684935</v>
      </c>
      <c r="G189" s="29">
        <v>538</v>
      </c>
      <c r="H189" s="14">
        <f>IF(ISNUMBER(G189), (G189 - $B189) / $B189, "")</f>
        <v>-0.26301369863013696</v>
      </c>
      <c r="I189" s="100">
        <f>IF(ISNUMBER(G189), $B199 * H189, "")</f>
        <v>-26301.369863013697</v>
      </c>
      <c r="J189" s="13">
        <v>532</v>
      </c>
      <c r="K189" s="14">
        <f>IF(ISNUMBER(J189), (J189 - $B189) / $B189, "")</f>
        <v>-0.27123287671232876</v>
      </c>
      <c r="L189" s="16">
        <f>IF(ISNUMBER(J189), $B199 * K189, "")</f>
        <v>-27123.287671232876</v>
      </c>
      <c r="M189" s="29">
        <v>535</v>
      </c>
      <c r="N189" s="14">
        <f>IF(ISNUMBER(M189), (M189 - $B189) / $B189, "")</f>
        <v>-0.26712328767123289</v>
      </c>
      <c r="O189" s="16">
        <f>IF(ISNUMBER(M189), $B199 * N189, "")</f>
        <v>-26712.32876712329</v>
      </c>
      <c r="Q189" s="239"/>
      <c r="R189" s="240"/>
      <c r="S189" s="241"/>
    </row>
    <row r="190" spans="1:19" ht="17.25" thickBot="1">
      <c r="A190" s="162" t="s">
        <v>250</v>
      </c>
      <c r="B190" s="126">
        <v>73.400000000000006</v>
      </c>
      <c r="C190" s="77">
        <v>-0.40325203250000002</v>
      </c>
      <c r="D190" s="15">
        <v>55.4</v>
      </c>
      <c r="E190" s="32">
        <f t="shared" ref="E190:E193" si="102">IF(ISNUMBER(D190), (D190 - $B190) / $B190, "")</f>
        <v>-0.24523160762942786</v>
      </c>
      <c r="F190" s="18">
        <f>IF(ISNUMBER(D190), $B199 * E190, "")</f>
        <v>-24523.160762942785</v>
      </c>
      <c r="G190" s="31">
        <v>56.6</v>
      </c>
      <c r="H190" s="32">
        <f t="shared" ref="H190:H193" si="103">IF(ISNUMBER(G190), (G190 - $B190) / $B190, "")</f>
        <v>-0.22888283378746599</v>
      </c>
      <c r="I190" s="101">
        <f>IF(ISNUMBER(G190), $B199 * H190, "")</f>
        <v>-22888.283378746601</v>
      </c>
      <c r="J190" s="15">
        <v>55.6</v>
      </c>
      <c r="K190" s="32">
        <f t="shared" ref="K190:K193" si="104">IF(ISNUMBER(J190), (J190 - $B190) / $B190, "")</f>
        <v>-0.24250681198910085</v>
      </c>
      <c r="L190" s="18">
        <f>IF(ISNUMBER(J190), $B199 * K190, "")</f>
        <v>-24250.681198910086</v>
      </c>
      <c r="M190" s="31">
        <v>58.8</v>
      </c>
      <c r="N190" s="32">
        <f t="shared" ref="N190:N193" si="105">IF(ISNUMBER(M190), (M190 - $B190) / $B190, "")</f>
        <v>-0.19891008174386932</v>
      </c>
      <c r="O190" s="18">
        <f>IF(ISNUMBER(M190), $B199 * N190, "")</f>
        <v>-19891.00817438693</v>
      </c>
      <c r="Q190" s="242"/>
      <c r="R190" s="243"/>
      <c r="S190" s="244"/>
    </row>
    <row r="191" spans="1:19" ht="17.25" thickBot="1">
      <c r="A191" s="162" t="s">
        <v>234</v>
      </c>
      <c r="B191" s="126">
        <v>450</v>
      </c>
      <c r="C191" s="77">
        <v>-0.40789473679999999</v>
      </c>
      <c r="D191" s="15">
        <v>325</v>
      </c>
      <c r="E191" s="32">
        <f t="shared" si="102"/>
        <v>-0.27777777777777779</v>
      </c>
      <c r="F191" s="18">
        <f>IF(ISNUMBER(D191), $B199 * E191, "")</f>
        <v>-27777.777777777777</v>
      </c>
      <c r="G191" s="31">
        <v>320</v>
      </c>
      <c r="H191" s="32">
        <f t="shared" si="103"/>
        <v>-0.28888888888888886</v>
      </c>
      <c r="I191" s="101">
        <f>IF(ISNUMBER(G191), $B199 * H191, "")</f>
        <v>-28888.888888888887</v>
      </c>
      <c r="J191" s="15">
        <v>316</v>
      </c>
      <c r="K191" s="32">
        <f t="shared" si="104"/>
        <v>-0.29777777777777775</v>
      </c>
      <c r="L191" s="18">
        <f>IF(ISNUMBER(J191), $B199 * K191, "")</f>
        <v>-29777.777777777774</v>
      </c>
      <c r="M191" s="31">
        <v>313</v>
      </c>
      <c r="N191" s="32">
        <f t="shared" si="105"/>
        <v>-0.30444444444444446</v>
      </c>
      <c r="O191" s="18">
        <f>IF(ISNUMBER(M191), $B199 * N191, "")</f>
        <v>-30444.444444444445</v>
      </c>
      <c r="Q191" s="235"/>
      <c r="R191" s="235"/>
      <c r="S191" s="235"/>
    </row>
    <row r="192" spans="1:19" ht="17.25" thickBot="1">
      <c r="A192" s="162" t="s">
        <v>208</v>
      </c>
      <c r="B192" s="126">
        <v>162</v>
      </c>
      <c r="C192" s="77">
        <v>-0.43157894740000002</v>
      </c>
      <c r="D192" s="15">
        <v>105</v>
      </c>
      <c r="E192" s="32">
        <f t="shared" si="102"/>
        <v>-0.35185185185185186</v>
      </c>
      <c r="F192" s="18">
        <f>IF(ISNUMBER(D192), $B199 * E192, "")</f>
        <v>-35185.185185185182</v>
      </c>
      <c r="G192" s="31">
        <v>104</v>
      </c>
      <c r="H192" s="32">
        <f t="shared" si="103"/>
        <v>-0.35802469135802467</v>
      </c>
      <c r="I192" s="101">
        <f>IF(ISNUMBER(G192), $B199 * H192, "")</f>
        <v>-35802.469135802465</v>
      </c>
      <c r="J192" s="15">
        <v>104</v>
      </c>
      <c r="K192" s="32">
        <f t="shared" si="104"/>
        <v>-0.35802469135802467</v>
      </c>
      <c r="L192" s="18">
        <f>IF(ISNUMBER(J192), $B199 * K192, "")</f>
        <v>-35802.469135802465</v>
      </c>
      <c r="M192" s="31">
        <v>103</v>
      </c>
      <c r="N192" s="32">
        <f t="shared" si="105"/>
        <v>-0.36419753086419754</v>
      </c>
      <c r="O192" s="18">
        <f>IF(ISNUMBER(M192), $B199 * N192, "")</f>
        <v>-36419.753086419754</v>
      </c>
      <c r="Q192" s="245"/>
      <c r="R192" s="245"/>
      <c r="S192" s="245"/>
    </row>
    <row r="193" spans="1:19" ht="17.25" thickBot="1">
      <c r="A193" s="163" t="s">
        <v>236</v>
      </c>
      <c r="B193" s="128">
        <v>31.1</v>
      </c>
      <c r="C193" s="78">
        <v>-0.43454545449999998</v>
      </c>
      <c r="D193" s="20">
        <v>23</v>
      </c>
      <c r="E193" s="21">
        <f t="shared" si="102"/>
        <v>-0.26045016077170419</v>
      </c>
      <c r="F193" s="22">
        <f>IF(ISNUMBER(D193), $B199 * E193, "")</f>
        <v>-26045.016077170418</v>
      </c>
      <c r="G193" s="30">
        <v>22.6</v>
      </c>
      <c r="H193" s="21">
        <f t="shared" si="103"/>
        <v>-0.27331189710610931</v>
      </c>
      <c r="I193" s="105">
        <f>IF(ISNUMBER(G193), $B199 * H193, "")</f>
        <v>-27331.189710610932</v>
      </c>
      <c r="J193" s="20">
        <v>22.1</v>
      </c>
      <c r="K193" s="21">
        <f t="shared" si="104"/>
        <v>-0.28938906752411575</v>
      </c>
      <c r="L193" s="22">
        <f>IF(ISNUMBER(J193), $B199 * K193, "")</f>
        <v>-28938.906752411574</v>
      </c>
      <c r="M193" s="30">
        <v>21.8</v>
      </c>
      <c r="N193" s="21">
        <f t="shared" si="105"/>
        <v>-0.29903536977491962</v>
      </c>
      <c r="O193" s="22">
        <f>IF(ISNUMBER(M193), $B199 * N193, "")</f>
        <v>-29903.536977491964</v>
      </c>
      <c r="Q193" s="245"/>
      <c r="R193" s="245"/>
      <c r="S193" s="245"/>
    </row>
    <row r="194" spans="1:19" ht="17.25" thickBot="1">
      <c r="A194" s="162" t="s">
        <v>252</v>
      </c>
      <c r="B194" s="129">
        <v>168</v>
      </c>
      <c r="C194" s="80">
        <v>-0.4362416107</v>
      </c>
      <c r="D194" s="106">
        <v>117</v>
      </c>
      <c r="E194" s="107">
        <f>IF(ISNUMBER(D194), (D194 - $B194) / $B194, "")</f>
        <v>-0.30357142857142855</v>
      </c>
      <c r="F194" s="108">
        <f>IF(ISNUMBER(D194), $B199 * E194, "")</f>
        <v>-30357.142857142855</v>
      </c>
      <c r="G194" s="109">
        <v>113</v>
      </c>
      <c r="H194" s="107">
        <f>IF(ISNUMBER(G194), (G194 - $B194) / $B194, "")</f>
        <v>-0.32738095238095238</v>
      </c>
      <c r="I194" s="110">
        <f>IF(ISNUMBER(G194), $B199 * H194, "")</f>
        <v>-32738.095238095237</v>
      </c>
      <c r="J194" s="106">
        <v>115</v>
      </c>
      <c r="K194" s="107">
        <f>IF(ISNUMBER(J194), (J194 - $B194) / $B194, "")</f>
        <v>-0.31547619047619047</v>
      </c>
      <c r="L194" s="108">
        <f>IF(ISNUMBER(J194), $B199 * K194, "")</f>
        <v>-31547.619047619046</v>
      </c>
      <c r="M194" s="109">
        <v>116</v>
      </c>
      <c r="N194" s="107">
        <f>IF(ISNUMBER(M194), (M194 - $B194) / $B194, "")</f>
        <v>-0.30952380952380953</v>
      </c>
      <c r="O194" s="108">
        <f>IF(ISNUMBER(M194), $B199 * N194, "")</f>
        <v>-30952.380952380954</v>
      </c>
      <c r="Q194" s="235"/>
      <c r="R194" s="235"/>
      <c r="S194" s="235"/>
    </row>
    <row r="195" spans="1:19" ht="17.25" thickBot="1">
      <c r="A195" s="162" t="s">
        <v>122</v>
      </c>
      <c r="B195" s="126">
        <v>40.200000000000003</v>
      </c>
      <c r="C195" s="77">
        <v>-0.43776223780000001</v>
      </c>
      <c r="D195" s="15">
        <v>28</v>
      </c>
      <c r="E195" s="32">
        <f t="shared" ref="E195:E198" si="106">IF(ISNUMBER(D195), (D195 - $B195) / $B195, "")</f>
        <v>-0.30348258706467668</v>
      </c>
      <c r="F195" s="18">
        <f>IF(ISNUMBER(D195), $B199 * E195, "")</f>
        <v>-30348.258706467666</v>
      </c>
      <c r="G195" s="31">
        <v>27.6</v>
      </c>
      <c r="H195" s="32">
        <f t="shared" ref="H195:H198" si="107">IF(ISNUMBER(G195), (G195 - $B195) / $B195, "")</f>
        <v>-0.31343283582089554</v>
      </c>
      <c r="I195" s="101">
        <f>IF(ISNUMBER(G195), $B199 * H195, "")</f>
        <v>-31343.283582089553</v>
      </c>
      <c r="J195" s="15">
        <v>27</v>
      </c>
      <c r="K195" s="32">
        <f t="shared" ref="K195:K198" si="108">IF(ISNUMBER(J195), (J195 - $B195) / $B195, "")</f>
        <v>-0.32835820895522394</v>
      </c>
      <c r="L195" s="18">
        <f>IF(ISNUMBER(J195), $B199 * K195, "")</f>
        <v>-32835.820895522396</v>
      </c>
      <c r="M195" s="31">
        <v>27</v>
      </c>
      <c r="N195" s="32">
        <f t="shared" ref="N195:N198" si="109">IF(ISNUMBER(M195), (M195 - $B195) / $B195, "")</f>
        <v>-0.32835820895522394</v>
      </c>
      <c r="O195" s="18">
        <f>IF(ISNUMBER(M195), $B199 * N195, "")</f>
        <v>-32835.820895522396</v>
      </c>
      <c r="Q195" s="235"/>
      <c r="R195" s="235"/>
      <c r="S195" s="235"/>
    </row>
    <row r="196" spans="1:19" ht="17.25" thickBot="1">
      <c r="A196" s="162" t="s">
        <v>218</v>
      </c>
      <c r="B196" s="126">
        <v>8.82</v>
      </c>
      <c r="C196" s="77">
        <v>-0.43821656050000002</v>
      </c>
      <c r="D196" s="15">
        <v>5.97</v>
      </c>
      <c r="E196" s="32">
        <f t="shared" si="106"/>
        <v>-0.3231292517006803</v>
      </c>
      <c r="F196" s="18">
        <f>IF(ISNUMBER(D196), $B199 * E196, "")</f>
        <v>-32312.925170068029</v>
      </c>
      <c r="G196" s="31">
        <v>5.85</v>
      </c>
      <c r="H196" s="32">
        <f t="shared" si="107"/>
        <v>-0.33673469387755106</v>
      </c>
      <c r="I196" s="101">
        <f>IF(ISNUMBER(G196), $B199 * H196, "")</f>
        <v>-33673.469387755104</v>
      </c>
      <c r="J196" s="15">
        <v>5.72</v>
      </c>
      <c r="K196" s="32">
        <f t="shared" si="108"/>
        <v>-0.35147392290249441</v>
      </c>
      <c r="L196" s="18">
        <f>IF(ISNUMBER(J196), $B199 * K196, "")</f>
        <v>-35147.392290249438</v>
      </c>
      <c r="M196" s="31">
        <v>5.68</v>
      </c>
      <c r="N196" s="32">
        <f t="shared" si="109"/>
        <v>-0.35600907029478462</v>
      </c>
      <c r="O196" s="18">
        <f>IF(ISNUMBER(M196), $B199 * N196, "")</f>
        <v>-35600.907029478461</v>
      </c>
      <c r="Q196" s="235"/>
      <c r="R196" s="235"/>
      <c r="S196" s="235"/>
    </row>
    <row r="197" spans="1:19">
      <c r="A197" s="162" t="s">
        <v>172</v>
      </c>
      <c r="B197" s="126">
        <v>8.24</v>
      </c>
      <c r="C197" s="77">
        <v>-0.43945578229999999</v>
      </c>
      <c r="D197" s="15">
        <v>5.59</v>
      </c>
      <c r="E197" s="32">
        <f t="shared" si="106"/>
        <v>-0.32160194174757284</v>
      </c>
      <c r="F197" s="18">
        <f>IF(ISNUMBER(D197), $B199 * E197, "")</f>
        <v>-32160.194174757286</v>
      </c>
      <c r="G197" s="31">
        <v>5.48</v>
      </c>
      <c r="H197" s="32">
        <f t="shared" si="107"/>
        <v>-0.33495145631067957</v>
      </c>
      <c r="I197" s="101">
        <f>IF(ISNUMBER(G197), $B199 * H197, "")</f>
        <v>-33495.145631067957</v>
      </c>
      <c r="J197" s="15">
        <v>5.44</v>
      </c>
      <c r="K197" s="32">
        <f t="shared" si="108"/>
        <v>-0.33980582524271841</v>
      </c>
      <c r="L197" s="18">
        <f>IF(ISNUMBER(J197), $B199 * K197, "")</f>
        <v>-33980.582524271842</v>
      </c>
      <c r="M197" s="31">
        <v>5.4</v>
      </c>
      <c r="N197" s="32">
        <f t="shared" si="109"/>
        <v>-0.34466019417475724</v>
      </c>
      <c r="O197" s="18">
        <f>IF(ISNUMBER(M197), $B199 * N197, "")</f>
        <v>-34466.019417475727</v>
      </c>
      <c r="Q197" s="224"/>
      <c r="R197" s="225"/>
      <c r="S197" s="226"/>
    </row>
    <row r="198" spans="1:19" ht="17.25" thickBot="1">
      <c r="A198" s="130" t="s">
        <v>254</v>
      </c>
      <c r="B198" s="131">
        <v>37</v>
      </c>
      <c r="C198" s="79">
        <v>-0.45266272190000001</v>
      </c>
      <c r="D198" s="24">
        <v>23.9</v>
      </c>
      <c r="E198" s="25">
        <f t="shared" si="106"/>
        <v>-0.3540540540540541</v>
      </c>
      <c r="F198" s="104">
        <f>IF(ISNUMBER(D198), $B199 * E198, "")</f>
        <v>-35405.405405405407</v>
      </c>
      <c r="G198" s="102">
        <v>22.8</v>
      </c>
      <c r="H198" s="25">
        <f t="shared" si="107"/>
        <v>-0.38378378378378375</v>
      </c>
      <c r="I198" s="103">
        <f>IF(ISNUMBER(G198), $B199 * H198, "")</f>
        <v>-38378.378378378373</v>
      </c>
      <c r="J198" s="24">
        <v>22.8</v>
      </c>
      <c r="K198" s="25">
        <f t="shared" si="108"/>
        <v>-0.38378378378378375</v>
      </c>
      <c r="L198" s="104">
        <f>IF(ISNUMBER(J198), $B199 * K198, "")</f>
        <v>-38378.378378378373</v>
      </c>
      <c r="M198" s="102">
        <v>22.5</v>
      </c>
      <c r="N198" s="25">
        <f t="shared" si="109"/>
        <v>-0.39189189189189189</v>
      </c>
      <c r="O198" s="104">
        <f>IF(ISNUMBER(M198), $B199 * N198, "")</f>
        <v>-39189.189189189186</v>
      </c>
      <c r="Q198" s="227"/>
      <c r="R198" s="228"/>
      <c r="S198" s="229"/>
    </row>
    <row r="199" spans="1:19" ht="17.25" thickBot="1">
      <c r="A199" s="132" t="s">
        <v>300</v>
      </c>
      <c r="B199" s="288">
        <f>$B$37</f>
        <v>100000</v>
      </c>
      <c r="C199" s="289"/>
      <c r="D199" s="26" t="s">
        <v>301</v>
      </c>
      <c r="E199" s="27">
        <f>IF(COUNT(E179:E198), SUM(E179:E198) / COUNT(E179:E198), 0)</f>
        <v>-0.23308283128056581</v>
      </c>
      <c r="F199" s="28">
        <f>SUM(F179:F198)</f>
        <v>-466165.6625611317</v>
      </c>
      <c r="G199" s="26" t="s">
        <v>301</v>
      </c>
      <c r="H199" s="27">
        <f>IF(COUNT(H179:H198), SUM(H179:H198) / COUNT(H179:H198), 0)</f>
        <v>-0.24223154177921352</v>
      </c>
      <c r="I199" s="28">
        <f>SUM(I179:I198)</f>
        <v>-484463.08355842717</v>
      </c>
      <c r="J199" s="26" t="s">
        <v>301</v>
      </c>
      <c r="K199" s="27">
        <f>IF(COUNT(K179:K198), SUM(K179:K198) / COUNT(K179:K198), 0)</f>
        <v>-0.24656835227406854</v>
      </c>
      <c r="L199" s="28">
        <f>SUM(L179:L198)</f>
        <v>-493136.70454813703</v>
      </c>
      <c r="M199" s="26" t="s">
        <v>301</v>
      </c>
      <c r="N199" s="27">
        <f>IF(COUNT(N179:N198), SUM(N179:N198) / COUNT(N179:N198), 0)</f>
        <v>-0.2401696049773657</v>
      </c>
      <c r="O199" s="28">
        <f>SUM(O179:O198)</f>
        <v>-480339.2099547314</v>
      </c>
      <c r="Q199" s="230"/>
      <c r="R199" s="231"/>
      <c r="S199" s="232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8F62E-64C4-4086-8EE4-F6CB775A827D}">
  <sheetPr codeName="Sheet19"/>
  <dimension ref="A1:S199"/>
  <sheetViews>
    <sheetView topLeftCell="A90" zoomScaleNormal="100" workbookViewId="0">
      <selection activeCell="A103" sqref="A103:D11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6" t="s">
        <v>0</v>
      </c>
      <c r="B1" s="247"/>
      <c r="C1" s="247"/>
      <c r="D1" s="247"/>
      <c r="E1" s="247"/>
      <c r="F1" s="248"/>
      <c r="G1" s="277">
        <v>44360</v>
      </c>
      <c r="H1" s="278"/>
      <c r="I1" s="279"/>
      <c r="J1" s="246" t="s">
        <v>1</v>
      </c>
      <c r="K1" s="247"/>
      <c r="L1" s="247"/>
      <c r="M1" s="247"/>
      <c r="N1" s="247"/>
      <c r="O1" s="248"/>
      <c r="Q1" s="246" t="s">
        <v>2</v>
      </c>
      <c r="R1" s="248"/>
    </row>
    <row r="2" spans="1:19" ht="17.25" customHeight="1">
      <c r="A2" s="117" t="s">
        <v>3</v>
      </c>
      <c r="B2" s="280" t="s">
        <v>8</v>
      </c>
      <c r="C2" s="281"/>
      <c r="D2" s="281"/>
      <c r="E2" s="281"/>
      <c r="F2" s="282"/>
      <c r="G2" s="274" t="s">
        <v>46</v>
      </c>
      <c r="H2" s="275"/>
      <c r="I2" s="276"/>
      <c r="J2" s="1" t="s">
        <v>3</v>
      </c>
      <c r="K2" s="280" t="s">
        <v>350</v>
      </c>
      <c r="L2" s="281"/>
      <c r="M2" s="281"/>
      <c r="N2" s="281"/>
      <c r="O2" s="282"/>
      <c r="Q2" s="2" t="s">
        <v>6</v>
      </c>
      <c r="R2" s="3">
        <v>0.375</v>
      </c>
    </row>
    <row r="3" spans="1:19" ht="17.25" customHeight="1" thickBot="1">
      <c r="A3" s="118" t="s">
        <v>7</v>
      </c>
      <c r="B3" s="271" t="s">
        <v>358</v>
      </c>
      <c r="C3" s="272"/>
      <c r="D3" s="272"/>
      <c r="E3" s="272"/>
      <c r="F3" s="273"/>
      <c r="G3" s="26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-78,167 KRW (-3.91%)</v>
      </c>
      <c r="H3" s="268"/>
      <c r="I3" s="269"/>
      <c r="J3" s="4" t="s">
        <v>7</v>
      </c>
      <c r="K3" s="271" t="s">
        <v>351</v>
      </c>
      <c r="L3" s="272"/>
      <c r="M3" s="272"/>
      <c r="N3" s="272"/>
      <c r="O3" s="27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1" t="s">
        <v>16</v>
      </c>
      <c r="C4" s="272"/>
      <c r="D4" s="272"/>
      <c r="E4" s="272"/>
      <c r="F4" s="273"/>
      <c r="G4" s="274" t="s">
        <v>44</v>
      </c>
      <c r="H4" s="275"/>
      <c r="I4" s="276"/>
      <c r="J4" s="4" t="s">
        <v>11</v>
      </c>
      <c r="K4" s="271" t="s">
        <v>352</v>
      </c>
      <c r="L4" s="272"/>
      <c r="M4" s="272"/>
      <c r="N4" s="272"/>
      <c r="O4" s="27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1" t="s">
        <v>349</v>
      </c>
      <c r="C5" s="272"/>
      <c r="D5" s="272"/>
      <c r="E5" s="272"/>
      <c r="F5" s="273"/>
      <c r="G5" s="26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-89,900 KRW (-4.49%)</v>
      </c>
      <c r="H5" s="268"/>
      <c r="I5" s="269"/>
      <c r="J5" s="4" t="s">
        <v>15</v>
      </c>
      <c r="K5" s="271" t="s">
        <v>353</v>
      </c>
      <c r="L5" s="272"/>
      <c r="M5" s="272"/>
      <c r="N5" s="272"/>
      <c r="O5" s="273"/>
    </row>
    <row r="6" spans="1:19">
      <c r="A6" s="118" t="s">
        <v>18</v>
      </c>
      <c r="B6" s="271"/>
      <c r="C6" s="272"/>
      <c r="D6" s="272"/>
      <c r="E6" s="272"/>
      <c r="F6" s="273"/>
      <c r="G6" s="274" t="s">
        <v>45</v>
      </c>
      <c r="H6" s="275"/>
      <c r="I6" s="276"/>
      <c r="J6" s="4" t="s">
        <v>18</v>
      </c>
      <c r="K6" s="271" t="s">
        <v>354</v>
      </c>
      <c r="L6" s="272"/>
      <c r="M6" s="272"/>
      <c r="N6" s="272"/>
      <c r="O6" s="273"/>
    </row>
    <row r="7" spans="1:19" ht="17.25" thickBot="1">
      <c r="A7" s="118" t="s">
        <v>21</v>
      </c>
      <c r="B7" s="271"/>
      <c r="C7" s="272"/>
      <c r="D7" s="272"/>
      <c r="E7" s="272"/>
      <c r="F7" s="273"/>
      <c r="G7" s="26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-8,766 KRW (-0.44%)</v>
      </c>
      <c r="H7" s="268"/>
      <c r="I7" s="269"/>
      <c r="J7" s="4" t="s">
        <v>21</v>
      </c>
      <c r="K7" s="271" t="s">
        <v>355</v>
      </c>
      <c r="L7" s="272"/>
      <c r="M7" s="272"/>
      <c r="N7" s="272"/>
      <c r="O7" s="273"/>
    </row>
    <row r="8" spans="1:19" ht="17.25" thickBot="1">
      <c r="A8" s="118" t="s">
        <v>24</v>
      </c>
      <c r="B8" s="271"/>
      <c r="C8" s="272"/>
      <c r="D8" s="272"/>
      <c r="E8" s="272"/>
      <c r="F8" s="273"/>
      <c r="G8" s="274" t="s">
        <v>285</v>
      </c>
      <c r="H8" s="275"/>
      <c r="I8" s="276"/>
      <c r="J8" s="4" t="s">
        <v>24</v>
      </c>
      <c r="K8" s="271"/>
      <c r="L8" s="272"/>
      <c r="M8" s="272"/>
      <c r="N8" s="272"/>
      <c r="O8" s="273"/>
      <c r="Q8" s="246" t="s">
        <v>27</v>
      </c>
      <c r="R8" s="248"/>
    </row>
    <row r="9" spans="1:19" ht="17.25" thickBot="1">
      <c r="A9" s="118" t="s">
        <v>28</v>
      </c>
      <c r="B9" s="271"/>
      <c r="C9" s="272"/>
      <c r="D9" s="272"/>
      <c r="E9" s="272"/>
      <c r="F9" s="273"/>
      <c r="G9" s="26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-256,048 KRW (-12.80%)</v>
      </c>
      <c r="H9" s="268"/>
      <c r="I9" s="269"/>
      <c r="J9" s="4" t="s">
        <v>28</v>
      </c>
      <c r="K9" s="271"/>
      <c r="L9" s="272"/>
      <c r="M9" s="272"/>
      <c r="N9" s="272"/>
      <c r="O9" s="273"/>
      <c r="Q9" s="2" t="s">
        <v>29</v>
      </c>
      <c r="R9" s="6">
        <v>10</v>
      </c>
    </row>
    <row r="10" spans="1:19">
      <c r="A10" s="118" t="s">
        <v>30</v>
      </c>
      <c r="B10" s="271"/>
      <c r="C10" s="272"/>
      <c r="D10" s="272"/>
      <c r="E10" s="272"/>
      <c r="F10" s="273"/>
      <c r="G10" s="274" t="s">
        <v>47</v>
      </c>
      <c r="H10" s="275"/>
      <c r="I10" s="276"/>
      <c r="J10" s="4" t="s">
        <v>30</v>
      </c>
      <c r="K10" s="271" t="s">
        <v>356</v>
      </c>
      <c r="L10" s="272"/>
      <c r="M10" s="272"/>
      <c r="N10" s="272"/>
      <c r="O10" s="273"/>
      <c r="Q10" s="2" t="s">
        <v>31</v>
      </c>
      <c r="R10" s="6">
        <v>100</v>
      </c>
    </row>
    <row r="11" spans="1:19" ht="17.25" thickBot="1">
      <c r="A11" s="119" t="s">
        <v>32</v>
      </c>
      <c r="B11" s="264" t="s">
        <v>357</v>
      </c>
      <c r="C11" s="265"/>
      <c r="D11" s="265"/>
      <c r="E11" s="265"/>
      <c r="F11" s="266"/>
      <c r="G11" s="26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-9,840 KRW (-1.97%)</v>
      </c>
      <c r="H11" s="268"/>
      <c r="I11" s="269"/>
      <c r="J11" s="7" t="s">
        <v>32</v>
      </c>
      <c r="K11" s="264" t="s">
        <v>348</v>
      </c>
      <c r="L11" s="265"/>
      <c r="M11" s="265"/>
      <c r="N11" s="265"/>
      <c r="O11" s="266"/>
      <c r="Q11" s="65" t="s">
        <v>33</v>
      </c>
      <c r="R11" s="8">
        <v>1000</v>
      </c>
    </row>
    <row r="12" spans="1:19" ht="17.25" thickBot="1"/>
    <row r="13" spans="1:19" ht="17.25" customHeight="1" thickBot="1">
      <c r="A13" s="246" t="s">
        <v>34</v>
      </c>
      <c r="B13" s="247"/>
      <c r="C13" s="247"/>
      <c r="D13" s="247"/>
      <c r="E13" s="247"/>
      <c r="F13" s="247"/>
      <c r="G13" s="247"/>
      <c r="H13" s="247"/>
      <c r="I13" s="247"/>
      <c r="J13" s="247"/>
      <c r="K13" s="247"/>
      <c r="L13" s="247"/>
      <c r="M13" s="247"/>
      <c r="N13" s="247"/>
      <c r="O13" s="248"/>
      <c r="Q13" s="245"/>
      <c r="R13" s="245"/>
      <c r="S13" s="245"/>
    </row>
    <row r="14" spans="1:19" ht="17.25" customHeight="1" thickBot="1">
      <c r="A14" s="208" t="s">
        <v>35</v>
      </c>
      <c r="B14" s="246" t="s">
        <v>36</v>
      </c>
      <c r="C14" s="248"/>
      <c r="D14" s="246" t="s">
        <v>37</v>
      </c>
      <c r="E14" s="247"/>
      <c r="F14" s="248"/>
      <c r="G14" s="249">
        <f>_xlfn.IFNA(VLOOKUP(B14, 현재가테이블!$B$2:$D$200, 2, FALSE), "-")</f>
        <v>45335000</v>
      </c>
      <c r="H14" s="250"/>
      <c r="I14" s="251"/>
      <c r="J14" s="246" t="s">
        <v>38</v>
      </c>
      <c r="K14" s="247"/>
      <c r="L14" s="248"/>
      <c r="M14" s="252">
        <f>_xlfn.IFNA(VLOOKUP(B14, 현재가테이블!$B$2:$D$200, 3, FALSE), "-")</f>
        <v>-2.27209037E-2</v>
      </c>
      <c r="N14" s="253"/>
      <c r="O14" s="254"/>
      <c r="Q14" s="245"/>
      <c r="R14" s="245"/>
      <c r="S14" s="245"/>
    </row>
    <row r="15" spans="1:19" ht="17.25" customHeight="1" thickBot="1">
      <c r="A15" s="283" t="s">
        <v>39</v>
      </c>
      <c r="B15" s="284" t="str">
        <f>TEXT($G$1, "[$-ko-KR]yyyy-mm-dd(ddd) ") &amp; "오전 00:00"</f>
        <v>2021-06-13(일) 오전 00:00</v>
      </c>
      <c r="C15" s="285"/>
      <c r="D15" s="259" t="str">
        <f>TEXT($G$1, "[$-ko-KR]yyyy-mm-dd(ddd) ") &amp; "오후 14:00"</f>
        <v>2021-06-13(일) 오후 14:00</v>
      </c>
      <c r="E15" s="260"/>
      <c r="F15" s="261"/>
      <c r="G15" s="259" t="str">
        <f>TEXT($G$1, "[$-ko-KR]yyyy-mm-dd(ddd) ") &amp; "오후 19:00"</f>
        <v>2021-06-13(일) 오후 19:00</v>
      </c>
      <c r="H15" s="260"/>
      <c r="I15" s="261"/>
      <c r="J15" s="259" t="str">
        <f>TEXT($G$1, "[$-ko-KR]yyyy-mm-dd(ddd) ") &amp; "오후 21:00"</f>
        <v>2021-06-13(일) 오후 21:00</v>
      </c>
      <c r="K15" s="260"/>
      <c r="L15" s="261"/>
      <c r="M15" s="259" t="str">
        <f>TEXT($G$1+1, "[$-ko-KR]yyyy-mm-dd(ddd) ") &amp; "오전 00:00"</f>
        <v>2021-06-14(월) 오전 00:00</v>
      </c>
      <c r="N15" s="260"/>
      <c r="O15" s="261"/>
      <c r="Q15" s="245"/>
      <c r="R15" s="245"/>
      <c r="S15" s="245"/>
    </row>
    <row r="16" spans="1:19" ht="17.25" customHeight="1" thickBot="1">
      <c r="A16" s="28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9" t="s">
        <v>37</v>
      </c>
      <c r="H16" s="210" t="s">
        <v>40</v>
      </c>
      <c r="I16" s="21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5"/>
      <c r="R16" s="235"/>
      <c r="S16" s="235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77.7</v>
      </c>
      <c r="C17" s="76">
        <f>IF(NOT(ISBLANK(_xlfn.IFNA(VLOOKUP($A17, $A$40:$O$199, 3, FALSE), ))), _xlfn.IFNA(VLOOKUP($A17, $A$40:$O$199, 3, FALSE), ), "")</f>
        <v>-7.9383886299999998E-2</v>
      </c>
      <c r="D17" s="13">
        <f>IF(NOT(ISBLANK(_xlfn.IFNA(VLOOKUP($A17, $A$40:$O$199, 4, FALSE), ))), _xlfn.IFNA(VLOOKUP($A17, $A$40:$O$199, 4, FALSE), ), "")</f>
        <v>74.900000000000006</v>
      </c>
      <c r="E17" s="14">
        <f>IF(NOT(ISBLANK(_xlfn.IFNA(VLOOKUP($A17, $A$40:$O$199, 5, FALSE), ))), _xlfn.IFNA(VLOOKUP($A17, $A$40:$O$199, 5, FALSE), ), "")</f>
        <v>-3.6036036036036001E-2</v>
      </c>
      <c r="F17" s="16">
        <f>IF(NOT(ISBLANK(_xlfn.IFNA(VLOOKUP($A17, $A$40:$O$199, 6, FALSE), ))), _xlfn.IFNA(VLOOKUP($A17, $A$40:$O$199, 6, FALSE), ), "")</f>
        <v>-3603.6036036036003</v>
      </c>
      <c r="G17" s="29">
        <f>IF(NOT(ISBLANK(_xlfn.IFNA(VLOOKUP($A17, $A$40:$O$199, 7, FALSE), ))), _xlfn.IFNA(VLOOKUP($A17, $A$40:$O$199, 7, FALSE), ), "")</f>
        <v>74.3</v>
      </c>
      <c r="H17" s="14">
        <f>IF(NOT(ISBLANK(_xlfn.IFNA(VLOOKUP($A17, $A$40:$O$199, 8, FALSE), ))), _xlfn.IFNA(VLOOKUP($A17, $A$40:$O$199, 8, FALSE), ), "")</f>
        <v>-4.3758043758043833E-2</v>
      </c>
      <c r="I17" s="100">
        <f>IF(NOT(ISBLANK(_xlfn.IFNA(VLOOKUP($A17, $A$40:$O$199, 9, FALSE), ))), _xlfn.IFNA(VLOOKUP($A17, $A$40:$O$199, 9, FALSE), ), "")</f>
        <v>-4375.8043758043832</v>
      </c>
      <c r="J17" s="13">
        <f>IF(NOT(ISBLANK(_xlfn.IFNA(VLOOKUP($A17, $A$40:$O$199, 10, FALSE), ))), _xlfn.IFNA(VLOOKUP($A17, $A$40:$O$199, 10, FALSE), ), "")</f>
        <v>74.400000000000006</v>
      </c>
      <c r="K17" s="14">
        <f>IF(NOT(ISBLANK(_xlfn.IFNA(VLOOKUP($A17, $A$40:$O$199, 11, FALSE), ))), _xlfn.IFNA(VLOOKUP($A17, $A$40:$O$199, 11, FALSE), ), "")</f>
        <v>-4.2471042471042435E-2</v>
      </c>
      <c r="L17" s="16">
        <f>IF(NOT(ISBLANK(_xlfn.IFNA(VLOOKUP($A17, $A$40:$O$199, 12, FALSE), ))), _xlfn.IFNA(VLOOKUP($A17, $A$40:$O$199, 12, FALSE), ), "")</f>
        <v>-4247.1042471042438</v>
      </c>
      <c r="M17" s="29">
        <f>IF(NOT(ISBLANK(_xlfn.IFNA(VLOOKUP($A17, $A$40:$O$199, 13, FALSE), ))), _xlfn.IFNA(VLOOKUP($A17, $A$40:$O$199, 13, FALSE), ), "")</f>
        <v>75.900000000000006</v>
      </c>
      <c r="N17" s="14">
        <f>IF(NOT(ISBLANK(_xlfn.IFNA(VLOOKUP($A17, $A$40:$O$199, 14, FALSE), ))), _xlfn.IFNA(VLOOKUP($A17, $A$40:$O$199, 14, FALSE), ), "")</f>
        <v>-2.316602316602313E-2</v>
      </c>
      <c r="O17" s="16">
        <f>IF(NOT(ISBLANK(_xlfn.IFNA(VLOOKUP($A17, $A$40:$O$199, 15, FALSE), ))), _xlfn.IFNA(VLOOKUP($A17, $A$40:$O$199, 15, FALSE), ), "")</f>
        <v>-2316.6023166023128</v>
      </c>
      <c r="Q17" s="245"/>
      <c r="R17" s="245"/>
      <c r="S17" s="245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53.3</v>
      </c>
      <c r="C18" s="77">
        <f t="shared" ref="C18:C36" si="1">IF(NOT(ISBLANK(_xlfn.IFNA(VLOOKUP($A18, $A$40:$O$199, 3, FALSE), ))), _xlfn.IFNA(VLOOKUP($A18, $A$40:$O$199, 3, FALSE), ), "")</f>
        <v>-0.1319218241</v>
      </c>
      <c r="D18" s="15">
        <f t="shared" ref="D18:D36" si="2">IF(NOT(ISBLANK(_xlfn.IFNA(VLOOKUP($A18, $A$40:$O$199, 4, FALSE), ))), _xlfn.IFNA(VLOOKUP($A18, $A$40:$O$199, 4, FALSE), ), "")</f>
        <v>50.4</v>
      </c>
      <c r="E18" s="32">
        <f t="shared" ref="E18:E36" si="3">IF(NOT(ISBLANK(_xlfn.IFNA(VLOOKUP($A18, $A$40:$O$199, 5, FALSE), ))), _xlfn.IFNA(VLOOKUP($A18, $A$40:$O$199, 5, FALSE), ), "")</f>
        <v>-5.4409005628517797E-2</v>
      </c>
      <c r="F18" s="18">
        <f t="shared" ref="F18:F36" si="4">IF(NOT(ISBLANK(_xlfn.IFNA(VLOOKUP($A18, $A$40:$O$199, 6, FALSE), ))), _xlfn.IFNA(VLOOKUP($A18, $A$40:$O$199, 6, FALSE), ), "")</f>
        <v>-5440.9005628517798</v>
      </c>
      <c r="G18" s="31">
        <f t="shared" ref="G18:G36" si="5">IF(NOT(ISBLANK(_xlfn.IFNA(VLOOKUP($A18, $A$40:$O$199, 7, FALSE), ))), _xlfn.IFNA(VLOOKUP($A18, $A$40:$O$199, 7, FALSE), ), "")</f>
        <v>51.6</v>
      </c>
      <c r="H18" s="32">
        <f t="shared" ref="H18:H36" si="6">IF(NOT(ISBLANK(_xlfn.IFNA(VLOOKUP($A18, $A$40:$O$199, 8, FALSE), ))), _xlfn.IFNA(VLOOKUP($A18, $A$40:$O$199, 8, FALSE), ), "")</f>
        <v>-3.1894934333958645E-2</v>
      </c>
      <c r="I18" s="101">
        <f t="shared" ref="I18:I36" si="7">IF(NOT(ISBLANK(_xlfn.IFNA(VLOOKUP($A18, $A$40:$O$199, 9, FALSE), ))), _xlfn.IFNA(VLOOKUP($A18, $A$40:$O$199, 9, FALSE), ), "")</f>
        <v>-3189.4934333958645</v>
      </c>
      <c r="J18" s="15">
        <f t="shared" ref="J18:J36" si="8">IF(NOT(ISBLANK(_xlfn.IFNA(VLOOKUP($A18, $A$40:$O$199, 10, FALSE), ))), _xlfn.IFNA(VLOOKUP($A18, $A$40:$O$199, 10, FALSE), ), "")</f>
        <v>51.1</v>
      </c>
      <c r="K18" s="32">
        <f t="shared" ref="K18:K36" si="9">IF(NOT(ISBLANK(_xlfn.IFNA(VLOOKUP($A18, $A$40:$O$199, 11, FALSE), ))), _xlfn.IFNA(VLOOKUP($A18, $A$40:$O$199, 11, FALSE), ), "")</f>
        <v>-4.1275797373358271E-2</v>
      </c>
      <c r="L18" s="18">
        <f t="shared" ref="L18:L36" si="10">IF(NOT(ISBLANK(_xlfn.IFNA(VLOOKUP($A18, $A$40:$O$199, 12, FALSE), ))), _xlfn.IFNA(VLOOKUP($A18, $A$40:$O$199, 12, FALSE), ), "")</f>
        <v>-4127.5797373358273</v>
      </c>
      <c r="M18" s="31">
        <f t="shared" ref="M18:M36" si="11">IF(NOT(ISBLANK(_xlfn.IFNA(VLOOKUP($A18, $A$40:$O$199, 13, FALSE), ))), _xlfn.IFNA(VLOOKUP($A18, $A$40:$O$199, 13, FALSE), ), "")</f>
        <v>50.7</v>
      </c>
      <c r="N18" s="32">
        <f t="shared" ref="N18:N36" si="12">IF(NOT(ISBLANK(_xlfn.IFNA(VLOOKUP($A18, $A$40:$O$199, 14, FALSE), ))), _xlfn.IFNA(VLOOKUP($A18, $A$40:$O$199, 14, FALSE), ), "")</f>
        <v>-4.8780487804877946E-2</v>
      </c>
      <c r="O18" s="18">
        <f t="shared" ref="O18:O36" si="13">IF(NOT(ISBLANK(_xlfn.IFNA(VLOOKUP($A18, $A$40:$O$199, 15, FALSE), ))), _xlfn.IFNA(VLOOKUP($A18, $A$40:$O$199, 15, FALSE), ), "")</f>
        <v>-4878.0487804877948</v>
      </c>
      <c r="Q18" s="245"/>
      <c r="R18" s="245"/>
      <c r="S18" s="245"/>
    </row>
    <row r="19" spans="1:19" ht="17.25" customHeight="1" thickBot="1">
      <c r="A19" s="162" t="s">
        <v>202</v>
      </c>
      <c r="B19" s="126">
        <f t="shared" si="0"/>
        <v>88.6</v>
      </c>
      <c r="C19" s="77">
        <f t="shared" si="1"/>
        <v>-0.15619047620000001</v>
      </c>
      <c r="D19" s="15">
        <f t="shared" si="2"/>
        <v>78.400000000000006</v>
      </c>
      <c r="E19" s="32">
        <f t="shared" si="3"/>
        <v>-0.11512415349887122</v>
      </c>
      <c r="F19" s="18">
        <f t="shared" si="4"/>
        <v>-11512.415349887122</v>
      </c>
      <c r="G19" s="31">
        <f t="shared" si="5"/>
        <v>81</v>
      </c>
      <c r="H19" s="32">
        <f t="shared" si="6"/>
        <v>-8.5778781038374663E-2</v>
      </c>
      <c r="I19" s="101">
        <f t="shared" si="7"/>
        <v>-8577.8781038374655</v>
      </c>
      <c r="J19" s="15">
        <f t="shared" si="8"/>
        <v>81.099999999999994</v>
      </c>
      <c r="K19" s="32">
        <f t="shared" si="9"/>
        <v>-8.4650112866817159E-2</v>
      </c>
      <c r="L19" s="18">
        <f t="shared" si="10"/>
        <v>-8465.0112866817162</v>
      </c>
      <c r="M19" s="31">
        <f t="shared" si="11"/>
        <v>81</v>
      </c>
      <c r="N19" s="32">
        <f t="shared" si="12"/>
        <v>-8.5778781038374663E-2</v>
      </c>
      <c r="O19" s="18">
        <f t="shared" si="13"/>
        <v>-8577.8781038374655</v>
      </c>
      <c r="Q19" s="235"/>
      <c r="R19" s="235"/>
      <c r="S19" s="235"/>
    </row>
    <row r="20" spans="1:19" ht="17.25" customHeight="1" thickBot="1">
      <c r="A20" s="162" t="s">
        <v>120</v>
      </c>
      <c r="B20" s="126">
        <f t="shared" si="0"/>
        <v>131</v>
      </c>
      <c r="C20" s="77">
        <f t="shared" si="1"/>
        <v>-4.3795620399999999E-2</v>
      </c>
      <c r="D20" s="15">
        <f t="shared" si="2"/>
        <v>129</v>
      </c>
      <c r="E20" s="32">
        <f t="shared" si="3"/>
        <v>-1.5267175572519083E-2</v>
      </c>
      <c r="F20" s="18">
        <f t="shared" si="4"/>
        <v>-1526.7175572519084</v>
      </c>
      <c r="G20" s="31">
        <f t="shared" si="5"/>
        <v>131</v>
      </c>
      <c r="H20" s="32">
        <f t="shared" si="6"/>
        <v>0</v>
      </c>
      <c r="I20" s="101">
        <f t="shared" si="7"/>
        <v>0</v>
      </c>
      <c r="J20" s="15">
        <f t="shared" si="8"/>
        <v>131</v>
      </c>
      <c r="K20" s="32">
        <f t="shared" si="9"/>
        <v>0</v>
      </c>
      <c r="L20" s="18">
        <f t="shared" si="10"/>
        <v>0</v>
      </c>
      <c r="M20" s="31">
        <f t="shared" si="11"/>
        <v>131</v>
      </c>
      <c r="N20" s="32">
        <f t="shared" si="12"/>
        <v>0</v>
      </c>
      <c r="O20" s="18">
        <f t="shared" si="13"/>
        <v>0</v>
      </c>
      <c r="Q20" s="235"/>
      <c r="R20" s="235"/>
      <c r="S20" s="235"/>
    </row>
    <row r="21" spans="1:19" ht="17.25" customHeight="1" thickBot="1">
      <c r="A21" s="163" t="s">
        <v>246</v>
      </c>
      <c r="B21" s="128">
        <f t="shared" si="0"/>
        <v>236</v>
      </c>
      <c r="C21" s="78">
        <f t="shared" si="1"/>
        <v>-9.9236641200000003E-2</v>
      </c>
      <c r="D21" s="20">
        <f t="shared" si="2"/>
        <v>248</v>
      </c>
      <c r="E21" s="21">
        <f t="shared" si="3"/>
        <v>5.0847457627118647E-2</v>
      </c>
      <c r="F21" s="22">
        <f t="shared" si="4"/>
        <v>5084.7457627118647</v>
      </c>
      <c r="G21" s="30">
        <f t="shared" si="5"/>
        <v>253</v>
      </c>
      <c r="H21" s="21">
        <f t="shared" si="6"/>
        <v>7.2033898305084748E-2</v>
      </c>
      <c r="I21" s="105">
        <f t="shared" si="7"/>
        <v>7203.3898305084749</v>
      </c>
      <c r="J21" s="20">
        <f t="shared" si="8"/>
        <v>251</v>
      </c>
      <c r="K21" s="21">
        <f t="shared" si="9"/>
        <v>6.3559322033898302E-2</v>
      </c>
      <c r="L21" s="22">
        <f t="shared" si="10"/>
        <v>6355.9322033898306</v>
      </c>
      <c r="M21" s="30">
        <f t="shared" si="11"/>
        <v>250</v>
      </c>
      <c r="N21" s="21">
        <f t="shared" si="12"/>
        <v>5.9322033898305086E-2</v>
      </c>
      <c r="O21" s="22">
        <f t="shared" si="13"/>
        <v>5932.203389830509</v>
      </c>
      <c r="Q21" s="235"/>
      <c r="R21" s="235"/>
      <c r="S21" s="235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5"/>
      <c r="R22" s="235"/>
      <c r="S22" s="235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5"/>
      <c r="R23" s="235"/>
      <c r="S23" s="235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5"/>
      <c r="R24" s="235"/>
      <c r="S24" s="235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6"/>
      <c r="R26" s="237"/>
      <c r="S26" s="238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9"/>
      <c r="R27" s="240"/>
      <c r="S27" s="241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2"/>
      <c r="R28" s="243"/>
      <c r="S28" s="244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5"/>
      <c r="R29" s="235"/>
      <c r="S29" s="235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5"/>
      <c r="R30" s="245"/>
      <c r="S30" s="245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5"/>
      <c r="R31" s="245"/>
      <c r="S31" s="24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5"/>
      <c r="R32" s="235"/>
      <c r="S32" s="235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5"/>
      <c r="R33" s="235"/>
      <c r="S33" s="235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5"/>
      <c r="R34" s="235"/>
      <c r="S34" s="235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4"/>
      <c r="R35" s="225"/>
      <c r="S35" s="22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7"/>
      <c r="R36" s="228"/>
      <c r="S36" s="229"/>
    </row>
    <row r="37" spans="1:19" ht="17.25" customHeight="1" thickBot="1">
      <c r="A37" s="132" t="s">
        <v>42</v>
      </c>
      <c r="B37" s="288">
        <v>100000</v>
      </c>
      <c r="C37" s="289"/>
      <c r="D37" s="26" t="s">
        <v>43</v>
      </c>
      <c r="E37" s="27">
        <f>IF(COUNT(E17:E36), SUM(E17:E36) / COUNT(E17:E36), 0)</f>
        <v>-3.3997782621765095E-2</v>
      </c>
      <c r="F37" s="28">
        <f>SUM(F17:F36)</f>
        <v>-16998.891310882547</v>
      </c>
      <c r="G37" s="26" t="s">
        <v>43</v>
      </c>
      <c r="H37" s="27">
        <f>IF(COUNT(H17:H36), SUM(H17:H36) / COUNT(H17:H36), 0)</f>
        <v>-1.7879572165058477E-2</v>
      </c>
      <c r="I37" s="28">
        <f>SUM(I17:I36)</f>
        <v>-8939.7860825292391</v>
      </c>
      <c r="J37" s="26" t="s">
        <v>43</v>
      </c>
      <c r="K37" s="27">
        <f>IF(COUNT(K17:K36), SUM(K17:K36) / COUNT(K17:K36), 0)</f>
        <v>-2.0967526135463911E-2</v>
      </c>
      <c r="L37" s="28">
        <f>SUM(L17:L36)</f>
        <v>-10483.763067731958</v>
      </c>
      <c r="M37" s="26" t="s">
        <v>43</v>
      </c>
      <c r="N37" s="27">
        <f>IF(COUNT(N17:N36), SUM(N17:N36) / COUNT(N17:N36), 0)</f>
        <v>-1.968065162219413E-2</v>
      </c>
      <c r="O37" s="28">
        <f>SUM(O17:O36)</f>
        <v>-9840.3258110970637</v>
      </c>
      <c r="Q37" s="230"/>
      <c r="R37" s="231"/>
      <c r="S37" s="232"/>
    </row>
    <row r="38" spans="1:19" ht="17.25" customHeight="1"/>
    <row r="39" spans="1:19" ht="17.25" customHeight="1" thickBot="1"/>
    <row r="40" spans="1:19" ht="17.25" customHeight="1" thickBot="1">
      <c r="A40" s="246" t="s">
        <v>44</v>
      </c>
      <c r="B40" s="247"/>
      <c r="C40" s="247"/>
      <c r="D40" s="247"/>
      <c r="E40" s="247"/>
      <c r="F40" s="247"/>
      <c r="G40" s="247"/>
      <c r="H40" s="247"/>
      <c r="I40" s="247"/>
      <c r="J40" s="247"/>
      <c r="K40" s="247"/>
      <c r="L40" s="247"/>
      <c r="M40" s="247"/>
      <c r="N40" s="247"/>
      <c r="O40" s="248"/>
      <c r="Q40" s="245"/>
      <c r="R40" s="245"/>
      <c r="S40" s="245"/>
    </row>
    <row r="41" spans="1:19" ht="17.25" customHeight="1" thickBot="1">
      <c r="A41" s="208" t="s">
        <v>297</v>
      </c>
      <c r="B41" s="246" t="s">
        <v>49</v>
      </c>
      <c r="C41" s="248"/>
      <c r="D41" s="246" t="s">
        <v>58</v>
      </c>
      <c r="E41" s="247"/>
      <c r="F41" s="248"/>
      <c r="G41" s="249">
        <f>_xlfn.IFNA(VLOOKUP(B41, 현재가테이블!$B$2:$D$200, 2, FALSE), "-")</f>
        <v>45335000</v>
      </c>
      <c r="H41" s="250"/>
      <c r="I41" s="251"/>
      <c r="J41" s="246" t="s">
        <v>59</v>
      </c>
      <c r="K41" s="247"/>
      <c r="L41" s="248"/>
      <c r="M41" s="252">
        <f>_xlfn.IFNA(VLOOKUP(B41, 현재가테이블!$B$2:$D$200, 3, FALSE), "-")</f>
        <v>-2.27209037E-2</v>
      </c>
      <c r="N41" s="253"/>
      <c r="O41" s="254"/>
      <c r="Q41" s="245"/>
      <c r="R41" s="245"/>
      <c r="S41" s="245"/>
    </row>
    <row r="42" spans="1:19" ht="17.25" customHeight="1" thickBot="1">
      <c r="A42" s="290" t="s">
        <v>55</v>
      </c>
      <c r="B42" s="286" t="str">
        <f>TEXT($G$1, "[$-ko-KR]yyyy-mm-dd(ddd) ") &amp; "오전 00:00"</f>
        <v>2021-06-13(일) 오전 00:00</v>
      </c>
      <c r="C42" s="287"/>
      <c r="D42" s="259" t="str">
        <f>TEXT($G$1, "[$-ko-KR]yyyy-mm-dd(ddd) ") &amp; "오후 14:00"</f>
        <v>2021-06-13(일) 오후 14:00</v>
      </c>
      <c r="E42" s="260"/>
      <c r="F42" s="261"/>
      <c r="G42" s="259" t="str">
        <f>TEXT($G$1, "[$-ko-KR]yyyy-mm-dd(ddd) ") &amp; "오후 19:00"</f>
        <v>2021-06-13(일) 오후 19:00</v>
      </c>
      <c r="H42" s="260"/>
      <c r="I42" s="261"/>
      <c r="J42" s="259" t="str">
        <f>TEXT($G$1, "[$-ko-KR]yyyy-mm-dd(ddd) ") &amp; "오후 21:00"</f>
        <v>2021-06-13(일) 오후 21:00</v>
      </c>
      <c r="K42" s="260"/>
      <c r="L42" s="261"/>
      <c r="M42" s="259" t="str">
        <f>TEXT($G$1+1, "[$-ko-KR]yyyy-mm-dd(ddd) ") &amp; "오전 00:00"</f>
        <v>2021-06-14(월) 오전 00:00</v>
      </c>
      <c r="N42" s="260"/>
      <c r="O42" s="261"/>
      <c r="Q42" s="245"/>
      <c r="R42" s="245"/>
      <c r="S42" s="245"/>
    </row>
    <row r="43" spans="1:19" ht="17.25" customHeight="1" thickBot="1">
      <c r="A43" s="291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209" t="s">
        <v>58</v>
      </c>
      <c r="H43" s="210" t="s">
        <v>298</v>
      </c>
      <c r="I43" s="211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5"/>
      <c r="R43" s="235"/>
      <c r="S43" s="235"/>
    </row>
    <row r="44" spans="1:19" ht="17.25" customHeight="1" thickBot="1">
      <c r="A44" s="161" t="s">
        <v>264</v>
      </c>
      <c r="B44" s="124">
        <v>83.8</v>
      </c>
      <c r="C44" s="76">
        <v>0.13396481730000001</v>
      </c>
      <c r="D44" s="13">
        <v>72.900000000000006</v>
      </c>
      <c r="E44" s="14">
        <f>IF(ISNUMBER(D44), (D44 - $B44) / $B44, "")</f>
        <v>-0.13007159904534596</v>
      </c>
      <c r="F44" s="16">
        <f>IF(ISNUMBER(D44), $B64 * E44, "")</f>
        <v>-13007.159904534596</v>
      </c>
      <c r="G44" s="29">
        <v>71.8</v>
      </c>
      <c r="H44" s="14">
        <f>IF(ISNUMBER(G44), (G44 - $B44) / $B44, "")</f>
        <v>-0.14319809069212411</v>
      </c>
      <c r="I44" s="100">
        <f>IF(ISNUMBER(G44), $B64 * H44, "")</f>
        <v>-14319.809069212411</v>
      </c>
      <c r="J44" s="13">
        <v>71.900000000000006</v>
      </c>
      <c r="K44" s="14">
        <f>IF(ISNUMBER(J44), (J44 - $B44) / $B44, "")</f>
        <v>-0.14200477326968963</v>
      </c>
      <c r="L44" s="16">
        <f>IF(ISNUMBER(J44), $B64 * K44, "")</f>
        <v>-14200.477326968963</v>
      </c>
      <c r="M44" s="29">
        <v>72</v>
      </c>
      <c r="N44" s="14">
        <f>IF(ISNUMBER(M44), (M44 - $B44) / $B44, "")</f>
        <v>-0.14081145584725535</v>
      </c>
      <c r="O44" s="16">
        <f>IF(ISNUMBER(M44), $B64 * N44, "")</f>
        <v>-14081.145584725535</v>
      </c>
      <c r="Q44" s="245"/>
      <c r="R44" s="245"/>
      <c r="S44" s="245"/>
    </row>
    <row r="45" spans="1:19" ht="17.25" customHeight="1" thickBot="1">
      <c r="A45" s="162" t="s">
        <v>148</v>
      </c>
      <c r="B45" s="126">
        <v>97.6</v>
      </c>
      <c r="C45" s="77">
        <v>1.6666666699999999E-2</v>
      </c>
      <c r="D45" s="15">
        <v>92.8</v>
      </c>
      <c r="E45" s="32">
        <f t="shared" ref="E45:E48" si="14">IF(ISNUMBER(D45), (D45 - $B45) / $B45, "")</f>
        <v>-4.918032786885243E-2</v>
      </c>
      <c r="F45" s="18">
        <f>IF(ISNUMBER(D45), $B64 * E45, "")</f>
        <v>-4918.0327868852428</v>
      </c>
      <c r="G45" s="31">
        <v>95.6</v>
      </c>
      <c r="H45" s="32">
        <f t="shared" ref="H45:H48" si="15">IF(ISNUMBER(G45), (G45 - $B45) / $B45, "")</f>
        <v>-2.0491803278688527E-2</v>
      </c>
      <c r="I45" s="101">
        <f>IF(ISNUMBER(G45), $B64 * H45, "")</f>
        <v>-2049.1803278688526</v>
      </c>
      <c r="J45" s="15">
        <v>95.9</v>
      </c>
      <c r="K45" s="32">
        <f t="shared" ref="K45:K48" si="16">IF(ISNUMBER(J45), (J45 - $B45) / $B45, "")</f>
        <v>-1.741803278688513E-2</v>
      </c>
      <c r="L45" s="18">
        <f>IF(ISNUMBER(J45), $B64 * K45, "")</f>
        <v>-1741.803278688513</v>
      </c>
      <c r="M45" s="31">
        <v>93.8</v>
      </c>
      <c r="N45" s="32">
        <f t="shared" ref="N45:N48" si="17">IF(ISNUMBER(M45), (M45 - $B45) / $B45, "")</f>
        <v>-3.8934426229508171E-2</v>
      </c>
      <c r="O45" s="18">
        <f>IF(ISNUMBER(M45), $B64 * N45, "")</f>
        <v>-3893.4426229508172</v>
      </c>
      <c r="Q45" s="245"/>
      <c r="R45" s="245"/>
      <c r="S45" s="245"/>
    </row>
    <row r="46" spans="1:19" ht="17.25" customHeight="1" thickBot="1">
      <c r="A46" s="162" t="s">
        <v>156</v>
      </c>
      <c r="B46" s="126">
        <v>79.400000000000006</v>
      </c>
      <c r="C46" s="77">
        <v>-1.85414091E-2</v>
      </c>
      <c r="D46" s="15">
        <v>78.099999999999994</v>
      </c>
      <c r="E46" s="32">
        <f t="shared" si="14"/>
        <v>-1.6372795969773441E-2</v>
      </c>
      <c r="F46" s="18">
        <f>IF(ISNUMBER(D46), $B64 * E46, "")</f>
        <v>-1637.279596977344</v>
      </c>
      <c r="G46" s="31">
        <v>79.2</v>
      </c>
      <c r="H46" s="32">
        <f t="shared" si="15"/>
        <v>-2.5188916876574662E-3</v>
      </c>
      <c r="I46" s="101">
        <f>IF(ISNUMBER(G46), $B64 * H46, "")</f>
        <v>-251.88916876574663</v>
      </c>
      <c r="J46" s="15">
        <v>79.3</v>
      </c>
      <c r="K46" s="32">
        <f t="shared" si="16"/>
        <v>-1.2594458438288227E-3</v>
      </c>
      <c r="L46" s="18">
        <f>IF(ISNUMBER(J46), $B64 * K46, "")</f>
        <v>-125.94458438288227</v>
      </c>
      <c r="M46" s="31">
        <v>78.599999999999994</v>
      </c>
      <c r="N46" s="32">
        <f t="shared" si="17"/>
        <v>-1.0075566750629865E-2</v>
      </c>
      <c r="O46" s="18">
        <f>IF(ISNUMBER(M46), $B64 * N46, "")</f>
        <v>-1007.5566750629865</v>
      </c>
      <c r="Q46" s="235"/>
      <c r="R46" s="235"/>
      <c r="S46" s="235"/>
    </row>
    <row r="47" spans="1:19" ht="17.25" customHeight="1" thickBot="1">
      <c r="A47" s="162" t="s">
        <v>100</v>
      </c>
      <c r="B47" s="126">
        <v>3.93</v>
      </c>
      <c r="C47" s="77">
        <v>-3.2019704400000001E-2</v>
      </c>
      <c r="D47" s="15">
        <v>3.9</v>
      </c>
      <c r="E47" s="32">
        <f t="shared" si="14"/>
        <v>-7.633587786259605E-3</v>
      </c>
      <c r="F47" s="18">
        <f>IF(ISNUMBER(D47), $B64 * E47, "")</f>
        <v>-763.35877862596055</v>
      </c>
      <c r="G47" s="31">
        <v>3.95</v>
      </c>
      <c r="H47" s="32">
        <f t="shared" si="15"/>
        <v>5.0890585241730327E-3</v>
      </c>
      <c r="I47" s="101">
        <f>IF(ISNUMBER(G47), $B64 * H47, "")</f>
        <v>508.90585241730327</v>
      </c>
      <c r="J47" s="15">
        <v>3.94</v>
      </c>
      <c r="K47" s="32">
        <f t="shared" si="16"/>
        <v>2.5445292620864595E-3</v>
      </c>
      <c r="L47" s="18">
        <f>IF(ISNUMBER(J47), $B64 * K47, "")</f>
        <v>254.45292620864595</v>
      </c>
      <c r="M47" s="31">
        <v>3.89</v>
      </c>
      <c r="N47" s="32">
        <f t="shared" si="17"/>
        <v>-1.0178117048346065E-2</v>
      </c>
      <c r="O47" s="18">
        <f>IF(ISNUMBER(M47), $B64 * N47, "")</f>
        <v>-1017.8117048346065</v>
      </c>
      <c r="Q47" s="235"/>
      <c r="R47" s="235"/>
      <c r="S47" s="235"/>
    </row>
    <row r="48" spans="1:19" ht="17.25" customHeight="1" thickBot="1">
      <c r="A48" s="163" t="s">
        <v>278</v>
      </c>
      <c r="B48" s="128">
        <v>69.099999999999994</v>
      </c>
      <c r="C48" s="78">
        <v>-3.6262203600000001E-2</v>
      </c>
      <c r="D48" s="20">
        <v>68.2</v>
      </c>
      <c r="E48" s="21">
        <f t="shared" si="14"/>
        <v>-1.3024602026049081E-2</v>
      </c>
      <c r="F48" s="22">
        <f>IF(ISNUMBER(D48), $B64 * E48, "")</f>
        <v>-1302.4602026049081</v>
      </c>
      <c r="G48" s="30">
        <v>68.599999999999994</v>
      </c>
      <c r="H48" s="21">
        <f t="shared" si="15"/>
        <v>-7.2358900144717806E-3</v>
      </c>
      <c r="I48" s="105">
        <f>IF(ISNUMBER(G48), $B64 * H48, "")</f>
        <v>-723.58900144717802</v>
      </c>
      <c r="J48" s="20">
        <v>68.400000000000006</v>
      </c>
      <c r="K48" s="21">
        <f t="shared" si="16"/>
        <v>-1.0130246020260329E-2</v>
      </c>
      <c r="L48" s="22">
        <f>IF(ISNUMBER(J48), $B64 * K48, "")</f>
        <v>-1013.0246020260329</v>
      </c>
      <c r="M48" s="30">
        <v>67.8</v>
      </c>
      <c r="N48" s="21">
        <f t="shared" si="17"/>
        <v>-1.8813314037626587E-2</v>
      </c>
      <c r="O48" s="22">
        <f>IF(ISNUMBER(M48), $B64 * N48, "")</f>
        <v>-1881.3314037626587</v>
      </c>
      <c r="Q48" s="235"/>
      <c r="R48" s="235"/>
      <c r="S48" s="235"/>
    </row>
    <row r="49" spans="1:19" ht="17.25" customHeight="1" thickBot="1">
      <c r="A49" s="162" t="s">
        <v>65</v>
      </c>
      <c r="B49" s="129">
        <v>31.3</v>
      </c>
      <c r="C49" s="80">
        <v>-3.9877300599999999E-2</v>
      </c>
      <c r="D49" s="106">
        <v>30.9</v>
      </c>
      <c r="E49" s="107">
        <f>IF(ISNUMBER(D49), (D49 - $B49) / $B49, "")</f>
        <v>-1.2779552715655019E-2</v>
      </c>
      <c r="F49" s="108">
        <f>IF(ISNUMBER(D49), $B64 * E49, "")</f>
        <v>-1277.955271565502</v>
      </c>
      <c r="G49" s="109">
        <v>31.6</v>
      </c>
      <c r="H49" s="107">
        <f>IF(ISNUMBER(G49), (G49 - $B49) / $B49, "")</f>
        <v>9.5846645367412362E-3</v>
      </c>
      <c r="I49" s="110">
        <f>IF(ISNUMBER(G49), $B64 * H49, "")</f>
        <v>958.46645367412361</v>
      </c>
      <c r="J49" s="106">
        <v>31.4</v>
      </c>
      <c r="K49" s="107">
        <f>IF(ISNUMBER(J49), (J49 - $B49) / $B49, "")</f>
        <v>3.1948881789136698E-3</v>
      </c>
      <c r="L49" s="108">
        <f>IF(ISNUMBER(J49), $B64 * K49, "")</f>
        <v>319.48881789136698</v>
      </c>
      <c r="M49" s="109">
        <v>30.7</v>
      </c>
      <c r="N49" s="107">
        <f>IF(ISNUMBER(M49), (M49 - $B49) / $B49, "")</f>
        <v>-1.9169329073482472E-2</v>
      </c>
      <c r="O49" s="108">
        <f>IF(ISNUMBER(M49), $B64 * N49, "")</f>
        <v>-1916.9329073482472</v>
      </c>
      <c r="Q49" s="235"/>
      <c r="R49" s="235"/>
      <c r="S49" s="235"/>
    </row>
    <row r="50" spans="1:19" ht="17.25" customHeight="1" thickBot="1">
      <c r="A50" s="162" t="s">
        <v>152</v>
      </c>
      <c r="B50" s="126">
        <v>17.2</v>
      </c>
      <c r="C50" s="77">
        <v>-4.9723756899999999E-2</v>
      </c>
      <c r="D50" s="15">
        <v>17.2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17.600000000000001</v>
      </c>
      <c r="H50" s="32">
        <f t="shared" ref="H50:H53" si="19">IF(ISNUMBER(G50), (G50 - $B50) / $B50, "")</f>
        <v>2.3255813953488497E-2</v>
      </c>
      <c r="I50" s="101">
        <f>IF(ISNUMBER(G50), $B64 * H50, "")</f>
        <v>2325.5813953488496</v>
      </c>
      <c r="J50" s="15">
        <v>17.5</v>
      </c>
      <c r="K50" s="32">
        <f t="shared" ref="K50:K53" si="20">IF(ISNUMBER(J50), (J50 - $B50) / $B50, "")</f>
        <v>1.744186046511632E-2</v>
      </c>
      <c r="L50" s="18">
        <f>IF(ISNUMBER(J50), $B64 * K50, "")</f>
        <v>1744.186046511632</v>
      </c>
      <c r="M50" s="31">
        <v>17.3</v>
      </c>
      <c r="N50" s="32">
        <f t="shared" ref="N50:N53" si="21">IF(ISNUMBER(M50), (M50 - $B50) / $B50, "")</f>
        <v>5.8139534883721762E-3</v>
      </c>
      <c r="O50" s="18">
        <f>IF(ISNUMBER(M50), $B64 * N50, "")</f>
        <v>581.39534883721763</v>
      </c>
      <c r="Q50" s="235"/>
      <c r="R50" s="235"/>
      <c r="S50" s="235"/>
    </row>
    <row r="51" spans="1:19" ht="17.25" customHeight="1" thickBot="1">
      <c r="A51" s="162" t="s">
        <v>220</v>
      </c>
      <c r="B51" s="126">
        <v>10</v>
      </c>
      <c r="C51" s="77">
        <v>-6.5420560700000005E-2</v>
      </c>
      <c r="D51" s="15">
        <v>9.56</v>
      </c>
      <c r="E51" s="32">
        <f t="shared" si="18"/>
        <v>-4.3999999999999949E-2</v>
      </c>
      <c r="F51" s="18">
        <f>IF(ISNUMBER(D51), $B64 * E51, "")</f>
        <v>-4399.9999999999945</v>
      </c>
      <c r="G51" s="31">
        <v>9.4499999999999993</v>
      </c>
      <c r="H51" s="32">
        <f t="shared" si="19"/>
        <v>-5.500000000000007E-2</v>
      </c>
      <c r="I51" s="101">
        <f>IF(ISNUMBER(G51), $B64 * H51, "")</f>
        <v>-5500.0000000000073</v>
      </c>
      <c r="J51" s="15">
        <v>9.42</v>
      </c>
      <c r="K51" s="32">
        <f t="shared" si="20"/>
        <v>-5.800000000000001E-2</v>
      </c>
      <c r="L51" s="18">
        <f>IF(ISNUMBER(J51), $B64 * K51, "")</f>
        <v>-5800.0000000000009</v>
      </c>
      <c r="M51" s="31">
        <v>9.2799999999999994</v>
      </c>
      <c r="N51" s="32">
        <f t="shared" si="21"/>
        <v>-7.2000000000000064E-2</v>
      </c>
      <c r="O51" s="18">
        <f>IF(ISNUMBER(M51), $B64 * N51, "")</f>
        <v>-7200.0000000000064</v>
      </c>
      <c r="Q51" s="235"/>
      <c r="R51" s="235"/>
      <c r="S51" s="235"/>
    </row>
    <row r="52" spans="1:19" ht="17.25" customHeight="1" thickBot="1">
      <c r="A52" s="162" t="s">
        <v>126</v>
      </c>
      <c r="B52" s="126">
        <v>24.2</v>
      </c>
      <c r="C52" s="77">
        <v>-6.5637065600000002E-2</v>
      </c>
      <c r="D52" s="15">
        <v>23</v>
      </c>
      <c r="E52" s="32">
        <f t="shared" si="18"/>
        <v>-4.9586776859504106E-2</v>
      </c>
      <c r="F52" s="18">
        <f>IF(ISNUMBER(D52), $B64 * E52, "")</f>
        <v>-4958.6776859504107</v>
      </c>
      <c r="G52" s="31">
        <v>23.1</v>
      </c>
      <c r="H52" s="32">
        <f t="shared" si="19"/>
        <v>-4.5454545454545366E-2</v>
      </c>
      <c r="I52" s="101">
        <f>IF(ISNUMBER(G52), $B64 * H52, "")</f>
        <v>-4545.4545454545369</v>
      </c>
      <c r="J52" s="15">
        <v>23.1</v>
      </c>
      <c r="K52" s="32">
        <f t="shared" si="20"/>
        <v>-4.5454545454545366E-2</v>
      </c>
      <c r="L52" s="18">
        <f>IF(ISNUMBER(J52), $B64 * K52, "")</f>
        <v>-4545.4545454545369</v>
      </c>
      <c r="M52" s="31">
        <v>22.9</v>
      </c>
      <c r="N52" s="32">
        <f t="shared" si="21"/>
        <v>-5.3719008264462839E-2</v>
      </c>
      <c r="O52" s="18">
        <f>IF(ISNUMBER(M52), $B64 * N52, "")</f>
        <v>-5371.9008264462836</v>
      </c>
      <c r="Q52" s="33"/>
      <c r="R52" s="33"/>
    </row>
    <row r="53" spans="1:19" ht="17.25" customHeight="1" thickBot="1">
      <c r="A53" s="130" t="s">
        <v>260</v>
      </c>
      <c r="B53" s="131">
        <v>56.4</v>
      </c>
      <c r="C53" s="79">
        <v>-7.5409836100000002E-2</v>
      </c>
      <c r="D53" s="24">
        <v>52.9</v>
      </c>
      <c r="E53" s="25">
        <f t="shared" si="18"/>
        <v>-6.2056737588652482E-2</v>
      </c>
      <c r="F53" s="104">
        <f>IF(ISNUMBER(D53), $B64 * E53, "")</f>
        <v>-6205.6737588652486</v>
      </c>
      <c r="G53" s="102">
        <v>53.4</v>
      </c>
      <c r="H53" s="25">
        <f t="shared" si="19"/>
        <v>-5.3191489361702128E-2</v>
      </c>
      <c r="I53" s="103">
        <f>IF(ISNUMBER(G53), $B64 * H53, "")</f>
        <v>-5319.1489361702124</v>
      </c>
      <c r="J53" s="24">
        <v>53.6</v>
      </c>
      <c r="K53" s="25">
        <f t="shared" si="20"/>
        <v>-4.964539007092194E-2</v>
      </c>
      <c r="L53" s="104">
        <f>IF(ISNUMBER(J53), $B64 * K53, "")</f>
        <v>-4964.539007092194</v>
      </c>
      <c r="M53" s="102">
        <v>53.8</v>
      </c>
      <c r="N53" s="25">
        <f t="shared" si="21"/>
        <v>-4.6099290780141869E-2</v>
      </c>
      <c r="O53" s="104">
        <f>IF(ISNUMBER(M53), $B64 * N53, "")</f>
        <v>-4609.9290780141873</v>
      </c>
      <c r="Q53" s="236"/>
      <c r="R53" s="237"/>
      <c r="S53" s="238"/>
    </row>
    <row r="54" spans="1:19" ht="17.25" customHeight="1">
      <c r="A54" s="161" t="s">
        <v>134</v>
      </c>
      <c r="B54" s="124">
        <v>77.7</v>
      </c>
      <c r="C54" s="76">
        <v>-7.9383886299999998E-2</v>
      </c>
      <c r="D54" s="13">
        <v>74.900000000000006</v>
      </c>
      <c r="E54" s="14">
        <f>IF(ISNUMBER(D54), (D54 - $B54) / $B54, "")</f>
        <v>-3.6036036036036001E-2</v>
      </c>
      <c r="F54" s="16">
        <f>IF(ISNUMBER(D54), $B64 * E54, "")</f>
        <v>-3603.6036036036003</v>
      </c>
      <c r="G54" s="29">
        <v>74.3</v>
      </c>
      <c r="H54" s="14">
        <f>IF(ISNUMBER(G54), (G54 - $B54) / $B54, "")</f>
        <v>-4.3758043758043833E-2</v>
      </c>
      <c r="I54" s="100">
        <f>IF(ISNUMBER(G54), $B64 * H54, "")</f>
        <v>-4375.8043758043832</v>
      </c>
      <c r="J54" s="13">
        <v>74.400000000000006</v>
      </c>
      <c r="K54" s="14">
        <f>IF(ISNUMBER(J54), (J54 - $B54) / $B54, "")</f>
        <v>-4.2471042471042435E-2</v>
      </c>
      <c r="L54" s="16">
        <f>IF(ISNUMBER(J54), $B64 * K54, "")</f>
        <v>-4247.1042471042438</v>
      </c>
      <c r="M54" s="29">
        <v>75.900000000000006</v>
      </c>
      <c r="N54" s="14">
        <f>IF(ISNUMBER(M54), (M54 - $B54) / $B54, "")</f>
        <v>-2.316602316602313E-2</v>
      </c>
      <c r="O54" s="16">
        <f>IF(ISNUMBER(M54), $B64 * N54, "")</f>
        <v>-2316.6023166023128</v>
      </c>
      <c r="Q54" s="239"/>
      <c r="R54" s="240"/>
      <c r="S54" s="241"/>
    </row>
    <row r="55" spans="1:19" ht="17.25" customHeight="1" thickBot="1">
      <c r="A55" s="162" t="s">
        <v>168</v>
      </c>
      <c r="B55" s="126">
        <v>80.8</v>
      </c>
      <c r="C55" s="77">
        <v>-8.7005649700000007E-2</v>
      </c>
      <c r="D55" s="15">
        <v>77.8</v>
      </c>
      <c r="E55" s="32">
        <f t="shared" ref="E55:E58" si="22">IF(ISNUMBER(D55), (D55 - $B55) / $B55, "")</f>
        <v>-3.7128712871287127E-2</v>
      </c>
      <c r="F55" s="18">
        <f>IF(ISNUMBER(D55), $B64 * E55, "")</f>
        <v>-3712.8712871287125</v>
      </c>
      <c r="G55" s="31">
        <v>78.099999999999994</v>
      </c>
      <c r="H55" s="32">
        <f t="shared" ref="H55:H58" si="23">IF(ISNUMBER(G55), (G55 - $B55) / $B55, "")</f>
        <v>-3.3415841584158452E-2</v>
      </c>
      <c r="I55" s="101">
        <f>IF(ISNUMBER(G55), $B64 * H55, "")</f>
        <v>-3341.5841584158452</v>
      </c>
      <c r="J55" s="15">
        <v>78.099999999999994</v>
      </c>
      <c r="K55" s="32">
        <f t="shared" ref="K55:K58" si="24">IF(ISNUMBER(J55), (J55 - $B55) / $B55, "")</f>
        <v>-3.3415841584158452E-2</v>
      </c>
      <c r="L55" s="18">
        <f>IF(ISNUMBER(J55), $B64 * K55, "")</f>
        <v>-3341.5841584158452</v>
      </c>
      <c r="M55" s="31">
        <v>77.7</v>
      </c>
      <c r="N55" s="32">
        <f t="shared" ref="N55:N58" si="25">IF(ISNUMBER(M55), (M55 - $B55) / $B55, "")</f>
        <v>-3.8366336633663296E-2</v>
      </c>
      <c r="O55" s="18">
        <f>IF(ISNUMBER(M55), $B64 * N55, "")</f>
        <v>-3836.6336633663295</v>
      </c>
      <c r="Q55" s="242"/>
      <c r="R55" s="243"/>
      <c r="S55" s="244"/>
    </row>
    <row r="56" spans="1:19" ht="17.25" customHeight="1" thickBot="1">
      <c r="A56" s="162" t="s">
        <v>186</v>
      </c>
      <c r="B56" s="126">
        <v>13.3</v>
      </c>
      <c r="C56" s="77">
        <v>-0.119205298</v>
      </c>
      <c r="D56" s="15">
        <v>14.9</v>
      </c>
      <c r="E56" s="32">
        <f t="shared" si="22"/>
        <v>0.12030075187969921</v>
      </c>
      <c r="F56" s="18">
        <f>IF(ISNUMBER(D56), $B64 * E56, "")</f>
        <v>12030.075187969922</v>
      </c>
      <c r="G56" s="31">
        <v>14.8</v>
      </c>
      <c r="H56" s="32">
        <f t="shared" si="23"/>
        <v>0.11278195488721804</v>
      </c>
      <c r="I56" s="101">
        <f>IF(ISNUMBER(G56), $B64 * H56, "")</f>
        <v>11278.195488721803</v>
      </c>
      <c r="J56" s="15">
        <v>14.6</v>
      </c>
      <c r="K56" s="32">
        <f t="shared" si="24"/>
        <v>9.774436090225555E-2</v>
      </c>
      <c r="L56" s="18">
        <f>IF(ISNUMBER(J56), $B64 * K56, "")</f>
        <v>9774.4360902255557</v>
      </c>
      <c r="M56" s="31">
        <v>14</v>
      </c>
      <c r="N56" s="32">
        <f t="shared" si="25"/>
        <v>5.2631578947368363E-2</v>
      </c>
      <c r="O56" s="18">
        <f>IF(ISNUMBER(M56), $B64 * N56, "")</f>
        <v>5263.1578947368362</v>
      </c>
      <c r="Q56" s="235"/>
      <c r="R56" s="235"/>
      <c r="S56" s="235"/>
    </row>
    <row r="57" spans="1:19" ht="17.25" customHeight="1" thickBot="1">
      <c r="A57" s="162" t="s">
        <v>212</v>
      </c>
      <c r="B57" s="126">
        <v>53.3</v>
      </c>
      <c r="C57" s="77">
        <v>-0.1319218241</v>
      </c>
      <c r="D57" s="15">
        <v>50.4</v>
      </c>
      <c r="E57" s="32">
        <f t="shared" si="22"/>
        <v>-5.4409005628517797E-2</v>
      </c>
      <c r="F57" s="18">
        <f>IF(ISNUMBER(D57), $B64 * E57, "")</f>
        <v>-5440.9005628517798</v>
      </c>
      <c r="G57" s="31">
        <v>51.6</v>
      </c>
      <c r="H57" s="32">
        <f t="shared" si="23"/>
        <v>-3.1894934333958645E-2</v>
      </c>
      <c r="I57" s="101">
        <f>IF(ISNUMBER(G57), $B64 * H57, "")</f>
        <v>-3189.4934333958645</v>
      </c>
      <c r="J57" s="15">
        <v>51.1</v>
      </c>
      <c r="K57" s="32">
        <f t="shared" si="24"/>
        <v>-4.1275797373358271E-2</v>
      </c>
      <c r="L57" s="18">
        <f>IF(ISNUMBER(J57), $B64 * K57, "")</f>
        <v>-4127.5797373358273</v>
      </c>
      <c r="M57" s="31">
        <v>50.7</v>
      </c>
      <c r="N57" s="32">
        <f t="shared" si="25"/>
        <v>-4.8780487804877946E-2</v>
      </c>
      <c r="O57" s="18">
        <f>IF(ISNUMBER(M57), $B64 * N57, "")</f>
        <v>-4878.0487804877948</v>
      </c>
      <c r="Q57" s="245"/>
      <c r="R57" s="245"/>
      <c r="S57" s="245"/>
    </row>
    <row r="58" spans="1:19" ht="17.25" customHeight="1" thickBot="1">
      <c r="A58" s="163" t="s">
        <v>228</v>
      </c>
      <c r="B58" s="128">
        <v>7.77</v>
      </c>
      <c r="C58" s="78">
        <v>-0.1328125</v>
      </c>
      <c r="D58" s="20">
        <v>7.08</v>
      </c>
      <c r="E58" s="21">
        <f t="shared" si="22"/>
        <v>-8.8803088803088751E-2</v>
      </c>
      <c r="F58" s="22">
        <f>IF(ISNUMBER(D58), $B64 * E58, "")</f>
        <v>-8880.3088803088758</v>
      </c>
      <c r="G58" s="30">
        <v>7.18</v>
      </c>
      <c r="H58" s="21">
        <f t="shared" si="23"/>
        <v>-7.5933075933075925E-2</v>
      </c>
      <c r="I58" s="105">
        <f>IF(ISNUMBER(G58), $B64 * H58, "")</f>
        <v>-7593.3075933075925</v>
      </c>
      <c r="J58" s="20">
        <v>7.17</v>
      </c>
      <c r="K58" s="21">
        <f t="shared" si="24"/>
        <v>-7.7220077220077177E-2</v>
      </c>
      <c r="L58" s="22">
        <f>IF(ISNUMBER(J58), $B64 * K58, "")</f>
        <v>-7722.0077220077173</v>
      </c>
      <c r="M58" s="30">
        <v>7.17</v>
      </c>
      <c r="N58" s="21">
        <f t="shared" si="25"/>
        <v>-7.7220077220077177E-2</v>
      </c>
      <c r="O58" s="22">
        <f>IF(ISNUMBER(M58), $B64 * N58, "")</f>
        <v>-7722.0077220077173</v>
      </c>
      <c r="Q58" s="245"/>
      <c r="R58" s="245"/>
      <c r="S58" s="245"/>
    </row>
    <row r="59" spans="1:19" ht="17.25" customHeight="1" thickBot="1">
      <c r="A59" s="162" t="s">
        <v>230</v>
      </c>
      <c r="B59" s="129">
        <v>90.1</v>
      </c>
      <c r="C59" s="80">
        <v>-0.14190476190000001</v>
      </c>
      <c r="D59" s="106">
        <v>84.5</v>
      </c>
      <c r="E59" s="107">
        <f>IF(ISNUMBER(D59), (D59 - $B59) / $B59, "")</f>
        <v>-6.2153163152053215E-2</v>
      </c>
      <c r="F59" s="108">
        <f>IF(ISNUMBER(D59), $B64 * E59, "")</f>
        <v>-6215.3163152053212</v>
      </c>
      <c r="G59" s="109">
        <v>81.900000000000006</v>
      </c>
      <c r="H59" s="107">
        <f>IF(ISNUMBER(G59), (G59 - $B59) / $B59, "")</f>
        <v>-9.1009988901220751E-2</v>
      </c>
      <c r="I59" s="110">
        <f>IF(ISNUMBER(G59), $B64 * H59, "")</f>
        <v>-9100.998890122075</v>
      </c>
      <c r="J59" s="106">
        <v>82.5</v>
      </c>
      <c r="K59" s="107">
        <f>IF(ISNUMBER(J59), (J59 - $B59) / $B59, "")</f>
        <v>-8.4350721420643676E-2</v>
      </c>
      <c r="L59" s="108">
        <f>IF(ISNUMBER(J59), $B64 * K59, "")</f>
        <v>-8435.0721420643677</v>
      </c>
      <c r="M59" s="109">
        <v>82.3</v>
      </c>
      <c r="N59" s="107">
        <f>IF(ISNUMBER(M59), (M59 - $B59) / $B59, "")</f>
        <v>-8.6570477247502747E-2</v>
      </c>
      <c r="O59" s="108">
        <f>IF(ISNUMBER(M59), $B64 * N59, "")</f>
        <v>-8657.0477247502749</v>
      </c>
      <c r="Q59" s="235"/>
      <c r="R59" s="235"/>
      <c r="S59" s="235"/>
    </row>
    <row r="60" spans="1:19" ht="17.25" customHeight="1" thickBot="1">
      <c r="A60" s="162" t="s">
        <v>72</v>
      </c>
      <c r="B60" s="126">
        <v>18.100000000000001</v>
      </c>
      <c r="C60" s="77">
        <v>-0.15023474179999999</v>
      </c>
      <c r="D60" s="15">
        <v>17.7</v>
      </c>
      <c r="E60" s="32">
        <f t="shared" ref="E60:E63" si="26">IF(ISNUMBER(D60), (D60 - $B60) / $B60, "")</f>
        <v>-2.2099447513812272E-2</v>
      </c>
      <c r="F60" s="18">
        <f>IF(ISNUMBER(D60), $B64 * E60, "")</f>
        <v>-2209.944751381227</v>
      </c>
      <c r="G60" s="31">
        <v>17.899999999999999</v>
      </c>
      <c r="H60" s="32">
        <f t="shared" ref="H60:H63" si="27">IF(ISNUMBER(G60), (G60 - $B60) / $B60, "")</f>
        <v>-1.1049723756906233E-2</v>
      </c>
      <c r="I60" s="101">
        <f>IF(ISNUMBER(G60), $B64 * H60, "")</f>
        <v>-1104.9723756906233</v>
      </c>
      <c r="J60" s="15">
        <v>18</v>
      </c>
      <c r="K60" s="32">
        <f t="shared" ref="K60:K63" si="28">IF(ISNUMBER(J60), (J60 - $B60) / $B60, "")</f>
        <v>-5.5248618784531165E-3</v>
      </c>
      <c r="L60" s="18">
        <f>IF(ISNUMBER(J60), $B64 * K60, "")</f>
        <v>-552.48618784531163</v>
      </c>
      <c r="M60" s="31">
        <v>18</v>
      </c>
      <c r="N60" s="32">
        <f t="shared" ref="N60:N63" si="29">IF(ISNUMBER(M60), (M60 - $B60) / $B60, "")</f>
        <v>-5.5248618784531165E-3</v>
      </c>
      <c r="O60" s="18">
        <f>IF(ISNUMBER(M60), $B64 * N60, "")</f>
        <v>-552.48618784531163</v>
      </c>
      <c r="Q60" s="235"/>
      <c r="R60" s="235"/>
      <c r="S60" s="235"/>
    </row>
    <row r="61" spans="1:19" ht="17.25" customHeight="1" thickBot="1">
      <c r="A61" s="162" t="s">
        <v>202</v>
      </c>
      <c r="B61" s="126">
        <v>88.6</v>
      </c>
      <c r="C61" s="77">
        <v>-0.15619047620000001</v>
      </c>
      <c r="D61" s="15">
        <v>78.400000000000006</v>
      </c>
      <c r="E61" s="32">
        <f t="shared" si="26"/>
        <v>-0.11512415349887122</v>
      </c>
      <c r="F61" s="18">
        <f>IF(ISNUMBER(D61), $B64 * E61, "")</f>
        <v>-11512.415349887122</v>
      </c>
      <c r="G61" s="31">
        <v>81</v>
      </c>
      <c r="H61" s="32">
        <f t="shared" si="27"/>
        <v>-8.5778781038374663E-2</v>
      </c>
      <c r="I61" s="101">
        <f>IF(ISNUMBER(G61), $B64 * H61, "")</f>
        <v>-8577.8781038374655</v>
      </c>
      <c r="J61" s="15">
        <v>81.099999999999994</v>
      </c>
      <c r="K61" s="32">
        <f t="shared" si="28"/>
        <v>-8.4650112866817159E-2</v>
      </c>
      <c r="L61" s="18">
        <f>IF(ISNUMBER(J61), $B64 * K61, "")</f>
        <v>-8465.0112866817162</v>
      </c>
      <c r="M61" s="31">
        <v>81</v>
      </c>
      <c r="N61" s="32">
        <f t="shared" si="29"/>
        <v>-8.5778781038374663E-2</v>
      </c>
      <c r="O61" s="18">
        <f>IF(ISNUMBER(M61), $B64 * N61, "")</f>
        <v>-8577.8781038374655</v>
      </c>
      <c r="Q61" s="235"/>
      <c r="R61" s="235"/>
      <c r="S61" s="235"/>
    </row>
    <row r="62" spans="1:19" ht="17.25" customHeight="1">
      <c r="A62" s="162" t="s">
        <v>154</v>
      </c>
      <c r="B62" s="126">
        <v>8.5</v>
      </c>
      <c r="C62" s="77">
        <v>-0.1584158416</v>
      </c>
      <c r="D62" s="15">
        <v>6.99</v>
      </c>
      <c r="E62" s="32">
        <f t="shared" si="26"/>
        <v>-0.17764705882352938</v>
      </c>
      <c r="F62" s="18">
        <f>IF(ISNUMBER(D62), $B64 * E62, "")</f>
        <v>-17764.705882352937</v>
      </c>
      <c r="G62" s="31">
        <v>7.48</v>
      </c>
      <c r="H62" s="32">
        <f t="shared" si="27"/>
        <v>-0.11999999999999995</v>
      </c>
      <c r="I62" s="101">
        <f>IF(ISNUMBER(G62), $B64 * H62, "")</f>
        <v>-11999.999999999995</v>
      </c>
      <c r="J62" s="15">
        <v>7.51</v>
      </c>
      <c r="K62" s="32">
        <f t="shared" si="28"/>
        <v>-0.11647058823529415</v>
      </c>
      <c r="L62" s="18">
        <f>IF(ISNUMBER(J62), $B64 * K62, "")</f>
        <v>-11647.058823529414</v>
      </c>
      <c r="M62" s="31">
        <v>7.54</v>
      </c>
      <c r="N62" s="32">
        <f t="shared" si="29"/>
        <v>-0.11294117647058823</v>
      </c>
      <c r="O62" s="18">
        <f>IF(ISNUMBER(M62), $B64 * N62, "")</f>
        <v>-11294.117647058823</v>
      </c>
      <c r="Q62" s="224"/>
      <c r="R62" s="225"/>
      <c r="S62" s="226"/>
    </row>
    <row r="63" spans="1:19" ht="17.25" customHeight="1" thickBot="1">
      <c r="A63" s="130" t="s">
        <v>196</v>
      </c>
      <c r="B63" s="131">
        <v>8.3699999999999992</v>
      </c>
      <c r="C63" s="79">
        <v>-0.15879396979999999</v>
      </c>
      <c r="D63" s="24">
        <v>7.5</v>
      </c>
      <c r="E63" s="25">
        <f t="shared" si="26"/>
        <v>-0.10394265232974902</v>
      </c>
      <c r="F63" s="104">
        <f>IF(ISNUMBER(D63), $B64 * E63, "")</f>
        <v>-10394.265232974902</v>
      </c>
      <c r="G63" s="102">
        <v>7.72</v>
      </c>
      <c r="H63" s="25">
        <f t="shared" si="27"/>
        <v>-7.7658303464755024E-2</v>
      </c>
      <c r="I63" s="103">
        <f>IF(ISNUMBER(G63), $B64 * H63, "")</f>
        <v>-7765.8303464755027</v>
      </c>
      <c r="J63" s="24">
        <v>7.65</v>
      </c>
      <c r="K63" s="25">
        <f t="shared" si="28"/>
        <v>-8.6021505376343954E-2</v>
      </c>
      <c r="L63" s="104">
        <f>IF(ISNUMBER(J63), $B64 * K63, "")</f>
        <v>-8602.1505376343957</v>
      </c>
      <c r="M63" s="102">
        <v>7.79</v>
      </c>
      <c r="N63" s="25">
        <f t="shared" si="29"/>
        <v>-6.9295101553165983E-2</v>
      </c>
      <c r="O63" s="104">
        <f>IF(ISNUMBER(M63), $B64 * N63, "")</f>
        <v>-6929.5101553165987</v>
      </c>
      <c r="Q63" s="227"/>
      <c r="R63" s="228"/>
      <c r="S63" s="229"/>
    </row>
    <row r="64" spans="1:19" ht="17.25" customHeight="1" thickBot="1">
      <c r="A64" s="132" t="s">
        <v>300</v>
      </c>
      <c r="B64" s="288">
        <f>$B$37</f>
        <v>100000</v>
      </c>
      <c r="C64" s="289"/>
      <c r="D64" s="26" t="s">
        <v>301</v>
      </c>
      <c r="E64" s="27">
        <f>IF(COUNT(E44:E63), SUM(E44:E63) / COUNT(E44:E63), 0)</f>
        <v>-4.8087427331866876E-2</v>
      </c>
      <c r="F64" s="28">
        <f>SUM(F44:F63)</f>
        <v>-96174.854663733742</v>
      </c>
      <c r="G64" s="26" t="s">
        <v>301</v>
      </c>
      <c r="H64" s="27">
        <f>IF(COUNT(H44:H63), SUM(H44:H63) / COUNT(H44:H63), 0)</f>
        <v>-3.7343895567903101E-2</v>
      </c>
      <c r="I64" s="28">
        <f>SUM(I44:I63)</f>
        <v>-74687.791135806227</v>
      </c>
      <c r="J64" s="26" t="s">
        <v>301</v>
      </c>
      <c r="K64" s="27">
        <f>IF(COUNT(K44:K63), SUM(K44:K63) / COUNT(K44:K63), 0)</f>
        <v>-3.8719367153197383E-2</v>
      </c>
      <c r="L64" s="28">
        <f>SUM(L44:L63)</f>
        <v>-77438.734306394763</v>
      </c>
      <c r="M64" s="26" t="s">
        <v>301</v>
      </c>
      <c r="N64" s="27">
        <f>IF(COUNT(N44:N63), SUM(N44:N63) / COUNT(N44:N63), 0)</f>
        <v>-4.4949914930421948E-2</v>
      </c>
      <c r="O64" s="28">
        <f>SUM(O44:O63)</f>
        <v>-89899.829860843907</v>
      </c>
      <c r="Q64" s="230"/>
      <c r="R64" s="231"/>
      <c r="S64" s="232"/>
    </row>
    <row r="65" spans="1:19" ht="17.25" customHeight="1"/>
    <row r="66" spans="1:19" ht="17.25" customHeight="1" thickBot="1"/>
    <row r="67" spans="1:19" ht="17.25" thickBot="1">
      <c r="A67" s="246" t="s">
        <v>45</v>
      </c>
      <c r="B67" s="247"/>
      <c r="C67" s="247"/>
      <c r="D67" s="247"/>
      <c r="E67" s="247"/>
      <c r="F67" s="247"/>
      <c r="G67" s="247"/>
      <c r="H67" s="247"/>
      <c r="I67" s="247"/>
      <c r="J67" s="247"/>
      <c r="K67" s="247"/>
      <c r="L67" s="247"/>
      <c r="M67" s="247"/>
      <c r="N67" s="247"/>
      <c r="O67" s="248"/>
      <c r="Q67" s="245"/>
      <c r="R67" s="245"/>
      <c r="S67" s="245"/>
    </row>
    <row r="68" spans="1:19" ht="17.25" thickBot="1">
      <c r="A68" s="208" t="s">
        <v>297</v>
      </c>
      <c r="B68" s="246" t="s">
        <v>49</v>
      </c>
      <c r="C68" s="248"/>
      <c r="D68" s="246" t="s">
        <v>58</v>
      </c>
      <c r="E68" s="247"/>
      <c r="F68" s="248"/>
      <c r="G68" s="249">
        <f>_xlfn.IFNA(VLOOKUP(B68, 현재가테이블!$B$2:$D$200, 2, FALSE), "-")</f>
        <v>45335000</v>
      </c>
      <c r="H68" s="250"/>
      <c r="I68" s="251"/>
      <c r="J68" s="246" t="s">
        <v>59</v>
      </c>
      <c r="K68" s="247"/>
      <c r="L68" s="248"/>
      <c r="M68" s="252">
        <f>_xlfn.IFNA(VLOOKUP(B68, 현재가테이블!$B$2:$D$200, 3, FALSE), "-")</f>
        <v>-2.27209037E-2</v>
      </c>
      <c r="N68" s="253"/>
      <c r="O68" s="254"/>
      <c r="Q68" s="245"/>
      <c r="R68" s="245"/>
      <c r="S68" s="245"/>
    </row>
    <row r="69" spans="1:19" ht="17.25" thickBot="1">
      <c r="A69" s="290" t="s">
        <v>55</v>
      </c>
      <c r="B69" s="286" t="str">
        <f>TEXT($G$1, "[$-ko-KR]yyyy-mm-dd(ddd) ") &amp; "오전 00:00"</f>
        <v>2021-06-13(일) 오전 00:00</v>
      </c>
      <c r="C69" s="287"/>
      <c r="D69" s="259" t="str">
        <f>TEXT($G$1, "[$-ko-KR]yyyy-mm-dd(ddd) ") &amp; "오후 14:00"</f>
        <v>2021-06-13(일) 오후 14:00</v>
      </c>
      <c r="E69" s="260"/>
      <c r="F69" s="261"/>
      <c r="G69" s="259" t="str">
        <f>TEXT($G$1, "[$-ko-KR]yyyy-mm-dd(ddd) ") &amp; "오후 19:00"</f>
        <v>2021-06-13(일) 오후 19:00</v>
      </c>
      <c r="H69" s="260"/>
      <c r="I69" s="261"/>
      <c r="J69" s="259" t="str">
        <f>TEXT($G$1, "[$-ko-KR]yyyy-mm-dd(ddd) ") &amp; "오후 21:00"</f>
        <v>2021-06-13(일) 오후 21:00</v>
      </c>
      <c r="K69" s="260"/>
      <c r="L69" s="261"/>
      <c r="M69" s="259" t="str">
        <f>TEXT($G$1+1, "[$-ko-KR]yyyy-mm-dd(ddd) ") &amp; "오전 00:00"</f>
        <v>2021-06-14(월) 오전 00:00</v>
      </c>
      <c r="N69" s="260"/>
      <c r="O69" s="261"/>
      <c r="Q69" s="245"/>
      <c r="R69" s="245"/>
      <c r="S69" s="245"/>
    </row>
    <row r="70" spans="1:19" ht="17.25" thickBot="1">
      <c r="A70" s="291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209" t="s">
        <v>58</v>
      </c>
      <c r="H70" s="210" t="s">
        <v>298</v>
      </c>
      <c r="I70" s="211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5"/>
      <c r="R70" s="235"/>
      <c r="S70" s="235"/>
    </row>
    <row r="71" spans="1:19" ht="17.25" thickBot="1">
      <c r="A71" s="161" t="s">
        <v>51</v>
      </c>
      <c r="B71" s="124">
        <v>380</v>
      </c>
      <c r="C71" s="76">
        <v>2.15053763E-2</v>
      </c>
      <c r="D71" s="13">
        <v>366</v>
      </c>
      <c r="E71" s="14">
        <f>IF(ISNUMBER(D71), (D71 - $B71) / $B71, "")</f>
        <v>-3.6842105263157891E-2</v>
      </c>
      <c r="F71" s="16">
        <f>IF(ISNUMBER(D71), $B91 * E71, "")</f>
        <v>-3684.2105263157891</v>
      </c>
      <c r="G71" s="29">
        <v>374</v>
      </c>
      <c r="H71" s="14">
        <f>IF(ISNUMBER(G71), (G71 - $B71) / $B71, "")</f>
        <v>-1.5789473684210527E-2</v>
      </c>
      <c r="I71" s="100">
        <f>IF(ISNUMBER(G71), $B91 * H71, "")</f>
        <v>-1578.9473684210527</v>
      </c>
      <c r="J71" s="13">
        <v>374</v>
      </c>
      <c r="K71" s="14">
        <f>IF(ISNUMBER(J71), (J71 - $B71) / $B71, "")</f>
        <v>-1.5789473684210527E-2</v>
      </c>
      <c r="L71" s="16">
        <f>IF(ISNUMBER(J71), $B91 * K71, "")</f>
        <v>-1578.9473684210527</v>
      </c>
      <c r="M71" s="29">
        <v>368</v>
      </c>
      <c r="N71" s="14">
        <f>IF(ISNUMBER(M71), (M71 - $B71) / $B71, "")</f>
        <v>-3.1578947368421054E-2</v>
      </c>
      <c r="O71" s="16">
        <f>IF(ISNUMBER(M71), $B91 * N71, "")</f>
        <v>-3157.8947368421054</v>
      </c>
      <c r="Q71" s="245"/>
      <c r="R71" s="245"/>
      <c r="S71" s="245"/>
    </row>
    <row r="72" spans="1:19" ht="17.25" thickBot="1">
      <c r="A72" s="162" t="s">
        <v>280</v>
      </c>
      <c r="B72" s="126">
        <v>903</v>
      </c>
      <c r="C72" s="77">
        <v>1.4606741600000001E-2</v>
      </c>
      <c r="D72" s="15">
        <v>788</v>
      </c>
      <c r="E72" s="32">
        <f t="shared" ref="E72:E75" si="30">IF(ISNUMBER(D72), (D72 - $B72) / $B72, "")</f>
        <v>-0.1273532668881506</v>
      </c>
      <c r="F72" s="18">
        <f>IF(ISNUMBER(D72), $B91 * E72, "")</f>
        <v>-12735.326688815059</v>
      </c>
      <c r="G72" s="31">
        <v>800</v>
      </c>
      <c r="H72" s="32">
        <f t="shared" ref="H72:H75" si="31">IF(ISNUMBER(G72), (G72 - $B72) / $B72, "")</f>
        <v>-0.11406423034330011</v>
      </c>
      <c r="I72" s="101">
        <f>IF(ISNUMBER(G72), $B91 * H72, "")</f>
        <v>-11406.423034330011</v>
      </c>
      <c r="J72" s="15">
        <v>796</v>
      </c>
      <c r="K72" s="32">
        <f t="shared" ref="K72:K75" si="32">IF(ISNUMBER(J72), (J72 - $B72) / $B72, "")</f>
        <v>-0.1184939091915836</v>
      </c>
      <c r="L72" s="18">
        <f>IF(ISNUMBER(J72), $B91 * K72, "")</f>
        <v>-11849.390919158361</v>
      </c>
      <c r="M72" s="31">
        <v>785</v>
      </c>
      <c r="N72" s="32">
        <f t="shared" ref="N72:N75" si="33">IF(ISNUMBER(M72), (M72 - $B72) / $B72, "")</f>
        <v>-0.13067552602436322</v>
      </c>
      <c r="O72" s="18">
        <f>IF(ISNUMBER(M72), $B91 * N72, "")</f>
        <v>-13067.552602436323</v>
      </c>
      <c r="Q72" s="245"/>
      <c r="R72" s="245"/>
      <c r="S72" s="245"/>
    </row>
    <row r="73" spans="1:19" ht="17.25" thickBot="1">
      <c r="A73" s="162" t="s">
        <v>132</v>
      </c>
      <c r="B73" s="126">
        <v>121</v>
      </c>
      <c r="C73" s="77">
        <v>-1.6260162599999999E-2</v>
      </c>
      <c r="D73" s="15">
        <v>120</v>
      </c>
      <c r="E73" s="32">
        <f t="shared" si="30"/>
        <v>-8.2644628099173556E-3</v>
      </c>
      <c r="F73" s="18">
        <f>IF(ISNUMBER(D73), $B91 * E73, "")</f>
        <v>-826.44628099173553</v>
      </c>
      <c r="G73" s="31">
        <v>122</v>
      </c>
      <c r="H73" s="32">
        <f t="shared" si="31"/>
        <v>8.2644628099173556E-3</v>
      </c>
      <c r="I73" s="101">
        <f>IF(ISNUMBER(G73), $B91 * H73, "")</f>
        <v>826.44628099173553</v>
      </c>
      <c r="J73" s="15">
        <v>120</v>
      </c>
      <c r="K73" s="32">
        <f t="shared" si="32"/>
        <v>-8.2644628099173556E-3</v>
      </c>
      <c r="L73" s="18">
        <f>IF(ISNUMBER(J73), $B91 * K73, "")</f>
        <v>-826.44628099173553</v>
      </c>
      <c r="M73" s="31">
        <v>118</v>
      </c>
      <c r="N73" s="32">
        <f t="shared" si="33"/>
        <v>-2.4793388429752067E-2</v>
      </c>
      <c r="O73" s="18">
        <f>IF(ISNUMBER(M73), $B91 * N73, "")</f>
        <v>-2479.3388429752067</v>
      </c>
      <c r="Q73" s="235"/>
      <c r="R73" s="235"/>
      <c r="S73" s="235"/>
    </row>
    <row r="74" spans="1:19" ht="17.25" thickBot="1">
      <c r="A74" s="162" t="s">
        <v>92</v>
      </c>
      <c r="B74" s="126">
        <v>969</v>
      </c>
      <c r="C74" s="77">
        <v>-2.12121212E-2</v>
      </c>
      <c r="D74" s="15">
        <v>959</v>
      </c>
      <c r="E74" s="32">
        <f t="shared" si="30"/>
        <v>-1.0319917440660475E-2</v>
      </c>
      <c r="F74" s="18">
        <f>IF(ISNUMBER(D74), $B91 * E74, "")</f>
        <v>-1031.9917440660474</v>
      </c>
      <c r="G74" s="31">
        <v>970</v>
      </c>
      <c r="H74" s="32">
        <f t="shared" si="31"/>
        <v>1.0319917440660474E-3</v>
      </c>
      <c r="I74" s="101">
        <f>IF(ISNUMBER(G74), $B91 * H74, "")</f>
        <v>103.19917440660474</v>
      </c>
      <c r="J74" s="15">
        <v>970</v>
      </c>
      <c r="K74" s="32">
        <f t="shared" si="32"/>
        <v>1.0319917440660474E-3</v>
      </c>
      <c r="L74" s="18">
        <f>IF(ISNUMBER(J74), $B91 * K74, "")</f>
        <v>103.19917440660474</v>
      </c>
      <c r="M74" s="31">
        <v>965</v>
      </c>
      <c r="N74" s="32">
        <f t="shared" si="33"/>
        <v>-4.1279669762641896E-3</v>
      </c>
      <c r="O74" s="18">
        <f>IF(ISNUMBER(M74), $B91 * N74, "")</f>
        <v>-412.79669762641896</v>
      </c>
      <c r="Q74" s="235"/>
      <c r="R74" s="235"/>
      <c r="S74" s="235"/>
    </row>
    <row r="75" spans="1:19" ht="17.25" thickBot="1">
      <c r="A75" s="163" t="s">
        <v>142</v>
      </c>
      <c r="B75" s="128">
        <v>525</v>
      </c>
      <c r="C75" s="78">
        <v>-2.41635688E-2</v>
      </c>
      <c r="D75" s="20">
        <v>550</v>
      </c>
      <c r="E75" s="21">
        <f t="shared" si="30"/>
        <v>4.7619047619047616E-2</v>
      </c>
      <c r="F75" s="22">
        <f>IF(ISNUMBER(D75), $B91 * E75, "")</f>
        <v>4761.9047619047615</v>
      </c>
      <c r="G75" s="30">
        <v>622</v>
      </c>
      <c r="H75" s="21">
        <f t="shared" si="31"/>
        <v>0.18476190476190477</v>
      </c>
      <c r="I75" s="105">
        <f>IF(ISNUMBER(G75), $B91 * H75, "")</f>
        <v>18476.190476190477</v>
      </c>
      <c r="J75" s="20">
        <v>589</v>
      </c>
      <c r="K75" s="21">
        <f t="shared" si="32"/>
        <v>0.1219047619047619</v>
      </c>
      <c r="L75" s="22">
        <f>IF(ISNUMBER(J75), $B91 * K75, "")</f>
        <v>12190.476190476191</v>
      </c>
      <c r="M75" s="30">
        <v>589</v>
      </c>
      <c r="N75" s="21">
        <f t="shared" si="33"/>
        <v>0.1219047619047619</v>
      </c>
      <c r="O75" s="22">
        <f>IF(ISNUMBER(M75), $B91 * N75, "")</f>
        <v>12190.476190476191</v>
      </c>
      <c r="Q75" s="235"/>
      <c r="R75" s="235"/>
      <c r="S75" s="235"/>
    </row>
    <row r="76" spans="1:19" ht="17.25" thickBot="1">
      <c r="A76" s="162" t="s">
        <v>296</v>
      </c>
      <c r="B76" s="129">
        <v>363</v>
      </c>
      <c r="C76" s="80">
        <v>-2.68096515E-2</v>
      </c>
      <c r="D76" s="106">
        <v>360</v>
      </c>
      <c r="E76" s="107">
        <f>IF(ISNUMBER(D76), (D76 - $B76) / $B76, "")</f>
        <v>-8.2644628099173556E-3</v>
      </c>
      <c r="F76" s="108">
        <f>IF(ISNUMBER(D76), $B91 * E76, "")</f>
        <v>-826.44628099173553</v>
      </c>
      <c r="G76" s="109">
        <v>363</v>
      </c>
      <c r="H76" s="107">
        <f>IF(ISNUMBER(G76), (G76 - $B76) / $B76, "")</f>
        <v>0</v>
      </c>
      <c r="I76" s="110">
        <f>IF(ISNUMBER(G76), $B91 * H76, "")</f>
        <v>0</v>
      </c>
      <c r="J76" s="106">
        <v>362</v>
      </c>
      <c r="K76" s="107">
        <f>IF(ISNUMBER(J76), (J76 - $B76) / $B76, "")</f>
        <v>-2.7548209366391185E-3</v>
      </c>
      <c r="L76" s="108">
        <f>IF(ISNUMBER(J76), $B91 * K76, "")</f>
        <v>-275.48209366391183</v>
      </c>
      <c r="M76" s="109">
        <v>360</v>
      </c>
      <c r="N76" s="107">
        <f>IF(ISNUMBER(M76), (M76 - $B76) / $B76, "")</f>
        <v>-8.2644628099173556E-3</v>
      </c>
      <c r="O76" s="108">
        <f>IF(ISNUMBER(M76), $B91 * N76, "")</f>
        <v>-826.44628099173553</v>
      </c>
      <c r="Q76" s="235"/>
      <c r="R76" s="235"/>
      <c r="S76" s="235"/>
    </row>
    <row r="77" spans="1:19" ht="17.25" thickBot="1">
      <c r="A77" s="162" t="s">
        <v>80</v>
      </c>
      <c r="B77" s="126">
        <v>731</v>
      </c>
      <c r="C77" s="77">
        <v>-3.0503978800000001E-2</v>
      </c>
      <c r="D77" s="15">
        <v>700</v>
      </c>
      <c r="E77" s="32">
        <f t="shared" ref="E77:E80" si="34">IF(ISNUMBER(D77), (D77 - $B77) / $B77, "")</f>
        <v>-4.240766073871409E-2</v>
      </c>
      <c r="F77" s="18">
        <f>IF(ISNUMBER(D77), $B91 * E77, "")</f>
        <v>-4240.7660738714094</v>
      </c>
      <c r="G77" s="31">
        <v>716</v>
      </c>
      <c r="H77" s="32">
        <f t="shared" ref="H77:H80" si="35">IF(ISNUMBER(G77), (G77 - $B77) / $B77, "")</f>
        <v>-2.0519835841313269E-2</v>
      </c>
      <c r="I77" s="101">
        <f>IF(ISNUMBER(G77), $B91 * H77, "")</f>
        <v>-2051.983584131327</v>
      </c>
      <c r="J77" s="15">
        <v>712</v>
      </c>
      <c r="K77" s="32">
        <f t="shared" ref="K77:K80" si="36">IF(ISNUMBER(J77), (J77 - $B77) / $B77, "")</f>
        <v>-2.5991792065663474E-2</v>
      </c>
      <c r="L77" s="18">
        <f>IF(ISNUMBER(J77), $B91 * K77, "")</f>
        <v>-2599.1792065663476</v>
      </c>
      <c r="M77" s="31">
        <v>708</v>
      </c>
      <c r="N77" s="32">
        <f t="shared" ref="N77:N80" si="37">IF(ISNUMBER(M77), (M77 - $B77) / $B77, "")</f>
        <v>-3.1463748290013679E-2</v>
      </c>
      <c r="O77" s="18">
        <f>IF(ISNUMBER(M77), $B91 * N77, "")</f>
        <v>-3146.3748290013677</v>
      </c>
      <c r="Q77" s="235"/>
      <c r="R77" s="235"/>
      <c r="S77" s="235"/>
    </row>
    <row r="78" spans="1:19" ht="17.25" thickBot="1">
      <c r="A78" s="162" t="s">
        <v>136</v>
      </c>
      <c r="B78" s="126">
        <v>115</v>
      </c>
      <c r="C78" s="77">
        <v>-3.3613445399999997E-2</v>
      </c>
      <c r="D78" s="15">
        <v>114</v>
      </c>
      <c r="E78" s="32">
        <f t="shared" si="34"/>
        <v>-8.6956521739130436E-3</v>
      </c>
      <c r="F78" s="18">
        <f>IF(ISNUMBER(D78), $B91 * E78, "")</f>
        <v>-869.56521739130437</v>
      </c>
      <c r="G78" s="31">
        <v>114</v>
      </c>
      <c r="H78" s="32">
        <f t="shared" si="35"/>
        <v>-8.6956521739130436E-3</v>
      </c>
      <c r="I78" s="101">
        <f>IF(ISNUMBER(G78), $B91 * H78, "")</f>
        <v>-869.56521739130437</v>
      </c>
      <c r="J78" s="15">
        <v>115</v>
      </c>
      <c r="K78" s="32">
        <f t="shared" si="36"/>
        <v>0</v>
      </c>
      <c r="L78" s="18">
        <f>IF(ISNUMBER(J78), $B91 * K78, "")</f>
        <v>0</v>
      </c>
      <c r="M78" s="31">
        <v>113</v>
      </c>
      <c r="N78" s="32">
        <f t="shared" si="37"/>
        <v>-1.7391304347826087E-2</v>
      </c>
      <c r="O78" s="18">
        <f>IF(ISNUMBER(M78), $B91 * N78, "")</f>
        <v>-1739.1304347826087</v>
      </c>
      <c r="Q78" s="235"/>
      <c r="R78" s="235"/>
      <c r="S78" s="235"/>
    </row>
    <row r="79" spans="1:19" ht="17.25" thickBot="1">
      <c r="A79" s="162" t="s">
        <v>128</v>
      </c>
      <c r="B79" s="126">
        <v>298</v>
      </c>
      <c r="C79" s="77">
        <v>-3.8709677400000003E-2</v>
      </c>
      <c r="D79" s="15">
        <v>293</v>
      </c>
      <c r="E79" s="32">
        <f t="shared" si="34"/>
        <v>-1.6778523489932886E-2</v>
      </c>
      <c r="F79" s="18">
        <f>IF(ISNUMBER(D79), $B91 * E79, "")</f>
        <v>-1677.8523489932886</v>
      </c>
      <c r="G79" s="31">
        <v>294</v>
      </c>
      <c r="H79" s="32">
        <f t="shared" si="35"/>
        <v>-1.3422818791946308E-2</v>
      </c>
      <c r="I79" s="101">
        <f>IF(ISNUMBER(G79), $B91 * H79, "")</f>
        <v>-1342.2818791946308</v>
      </c>
      <c r="J79" s="15">
        <v>296</v>
      </c>
      <c r="K79" s="32">
        <f t="shared" si="36"/>
        <v>-6.7114093959731542E-3</v>
      </c>
      <c r="L79" s="18">
        <f>IF(ISNUMBER(J79), $B91 * K79, "")</f>
        <v>-671.14093959731542</v>
      </c>
      <c r="M79" s="31">
        <v>290</v>
      </c>
      <c r="N79" s="32">
        <f t="shared" si="37"/>
        <v>-2.6845637583892617E-2</v>
      </c>
      <c r="O79" s="18">
        <f>IF(ISNUMBER(M79), $B91 * N79, "")</f>
        <v>-2684.5637583892617</v>
      </c>
      <c r="Q79" s="33"/>
      <c r="R79" s="33"/>
    </row>
    <row r="80" spans="1:19" ht="17.25" thickBot="1">
      <c r="A80" s="130" t="s">
        <v>88</v>
      </c>
      <c r="B80" s="131">
        <v>333</v>
      </c>
      <c r="C80" s="79">
        <v>-4.0345821300000001E-2</v>
      </c>
      <c r="D80" s="24">
        <v>313</v>
      </c>
      <c r="E80" s="25">
        <f t="shared" si="34"/>
        <v>-6.006006006006006E-2</v>
      </c>
      <c r="F80" s="104">
        <f>IF(ISNUMBER(D80), $B91 * E80, "")</f>
        <v>-6006.0060060060059</v>
      </c>
      <c r="G80" s="102">
        <v>318</v>
      </c>
      <c r="H80" s="25">
        <f t="shared" si="35"/>
        <v>-4.5045045045045043E-2</v>
      </c>
      <c r="I80" s="103">
        <f>IF(ISNUMBER(G80), $B91 * H80, "")</f>
        <v>-4504.5045045045044</v>
      </c>
      <c r="J80" s="24">
        <v>317</v>
      </c>
      <c r="K80" s="25">
        <f t="shared" si="36"/>
        <v>-4.8048048048048048E-2</v>
      </c>
      <c r="L80" s="104">
        <f>IF(ISNUMBER(J80), $B91 * K80, "")</f>
        <v>-4804.8048048048049</v>
      </c>
      <c r="M80" s="102">
        <v>311</v>
      </c>
      <c r="N80" s="25">
        <f t="shared" si="37"/>
        <v>-6.6066066066066062E-2</v>
      </c>
      <c r="O80" s="104">
        <f>IF(ISNUMBER(M80), $B91 * N80, "")</f>
        <v>-6606.606606606606</v>
      </c>
      <c r="Q80" s="236"/>
      <c r="R80" s="237"/>
      <c r="S80" s="238"/>
    </row>
    <row r="81" spans="1:19">
      <c r="A81" s="161" t="s">
        <v>57</v>
      </c>
      <c r="B81" s="124">
        <v>184</v>
      </c>
      <c r="C81" s="76">
        <v>-4.16666667E-2</v>
      </c>
      <c r="D81" s="13">
        <v>181</v>
      </c>
      <c r="E81" s="14">
        <f>IF(ISNUMBER(D81), (D81 - $B81) / $B81, "")</f>
        <v>-1.6304347826086956E-2</v>
      </c>
      <c r="F81" s="16">
        <f>IF(ISNUMBER(D81), $B91 * E81, "")</f>
        <v>-1630.4347826086955</v>
      </c>
      <c r="G81" s="29">
        <v>183</v>
      </c>
      <c r="H81" s="14">
        <f>IF(ISNUMBER(G81), (G81 - $B81) / $B81, "")</f>
        <v>-5.434782608695652E-3</v>
      </c>
      <c r="I81" s="100">
        <f>IF(ISNUMBER(G81), $B91 * H81, "")</f>
        <v>-543.47826086956525</v>
      </c>
      <c r="J81" s="13">
        <v>184</v>
      </c>
      <c r="K81" s="14">
        <f>IF(ISNUMBER(J81), (J81 - $B81) / $B81, "")</f>
        <v>0</v>
      </c>
      <c r="L81" s="16">
        <f>IF(ISNUMBER(J81), $B91 * K81, "")</f>
        <v>0</v>
      </c>
      <c r="M81" s="29">
        <v>182</v>
      </c>
      <c r="N81" s="14">
        <f>IF(ISNUMBER(M81), (M81 - $B81) / $B81, "")</f>
        <v>-1.0869565217391304E-2</v>
      </c>
      <c r="O81" s="16">
        <f>IF(ISNUMBER(M81), $B91 * N81, "")</f>
        <v>-1086.9565217391305</v>
      </c>
      <c r="Q81" s="239"/>
      <c r="R81" s="240"/>
      <c r="S81" s="241"/>
    </row>
    <row r="82" spans="1:19" ht="17.25" thickBot="1">
      <c r="A82" s="162" t="s">
        <v>61</v>
      </c>
      <c r="B82" s="126">
        <v>778</v>
      </c>
      <c r="C82" s="77">
        <v>-4.30504305E-2</v>
      </c>
      <c r="D82" s="15">
        <v>755</v>
      </c>
      <c r="E82" s="32">
        <f t="shared" ref="E82:E85" si="38">IF(ISNUMBER(D82), (D82 - $B82) / $B82, "")</f>
        <v>-2.9562982005141389E-2</v>
      </c>
      <c r="F82" s="18">
        <f>IF(ISNUMBER(D82), $B91 * E82, "")</f>
        <v>-2956.2982005141389</v>
      </c>
      <c r="G82" s="31">
        <v>768</v>
      </c>
      <c r="H82" s="32">
        <f t="shared" ref="H82:H85" si="39">IF(ISNUMBER(G82), (G82 - $B82) / $B82, "")</f>
        <v>-1.2853470437017995E-2</v>
      </c>
      <c r="I82" s="101">
        <f>IF(ISNUMBER(G82), $B91 * H82, "")</f>
        <v>-1285.3470437017995</v>
      </c>
      <c r="J82" s="15">
        <v>767</v>
      </c>
      <c r="K82" s="32">
        <f t="shared" ref="K82:K85" si="40">IF(ISNUMBER(J82), (J82 - $B82) / $B82, "")</f>
        <v>-1.4138817480719794E-2</v>
      </c>
      <c r="L82" s="18">
        <f>IF(ISNUMBER(J82), $B91 * K82, "")</f>
        <v>-1413.8817480719792</v>
      </c>
      <c r="M82" s="31">
        <v>755</v>
      </c>
      <c r="N82" s="32">
        <f t="shared" ref="N82:N85" si="41">IF(ISNUMBER(M82), (M82 - $B82) / $B82, "")</f>
        <v>-2.9562982005141389E-2</v>
      </c>
      <c r="O82" s="18">
        <f>IF(ISNUMBER(M82), $B91 * N82, "")</f>
        <v>-2956.2982005141389</v>
      </c>
      <c r="Q82" s="242"/>
      <c r="R82" s="243"/>
      <c r="S82" s="244"/>
    </row>
    <row r="83" spans="1:19" ht="17.25" thickBot="1">
      <c r="A83" s="162" t="s">
        <v>120</v>
      </c>
      <c r="B83" s="126">
        <v>131</v>
      </c>
      <c r="C83" s="77">
        <v>-4.3795620399999999E-2</v>
      </c>
      <c r="D83" s="15">
        <v>129</v>
      </c>
      <c r="E83" s="32">
        <f t="shared" si="38"/>
        <v>-1.5267175572519083E-2</v>
      </c>
      <c r="F83" s="18">
        <f>IF(ISNUMBER(D83), $B91 * E83, "")</f>
        <v>-1526.7175572519084</v>
      </c>
      <c r="G83" s="31">
        <v>131</v>
      </c>
      <c r="H83" s="32">
        <f t="shared" si="39"/>
        <v>0</v>
      </c>
      <c r="I83" s="101">
        <f>IF(ISNUMBER(G83), $B91 * H83, "")</f>
        <v>0</v>
      </c>
      <c r="J83" s="15">
        <v>131</v>
      </c>
      <c r="K83" s="32">
        <f t="shared" si="40"/>
        <v>0</v>
      </c>
      <c r="L83" s="18">
        <f>IF(ISNUMBER(J83), $B91 * K83, "")</f>
        <v>0</v>
      </c>
      <c r="M83" s="31">
        <v>131</v>
      </c>
      <c r="N83" s="32">
        <f t="shared" si="41"/>
        <v>0</v>
      </c>
      <c r="O83" s="18">
        <f>IF(ISNUMBER(M83), $B91 * N83, "")</f>
        <v>0</v>
      </c>
      <c r="Q83" s="235"/>
      <c r="R83" s="235"/>
      <c r="S83" s="235"/>
    </row>
    <row r="84" spans="1:19" ht="17.25" thickBot="1">
      <c r="A84" s="162" t="s">
        <v>176</v>
      </c>
      <c r="B84" s="126">
        <v>981</v>
      </c>
      <c r="C84" s="77">
        <v>-5.6730769200000003E-2</v>
      </c>
      <c r="D84" s="15">
        <v>973</v>
      </c>
      <c r="E84" s="32">
        <f t="shared" si="38"/>
        <v>-8.1549439347604492E-3</v>
      </c>
      <c r="F84" s="18">
        <f>IF(ISNUMBER(D84), $B91 * E84, "")</f>
        <v>-815.49439347604493</v>
      </c>
      <c r="G84" s="31">
        <v>970</v>
      </c>
      <c r="H84" s="32">
        <f t="shared" si="39"/>
        <v>-1.1213047910295617E-2</v>
      </c>
      <c r="I84" s="101">
        <f>IF(ISNUMBER(G84), $B91 * H84, "")</f>
        <v>-1121.3047910295618</v>
      </c>
      <c r="J84" s="15">
        <v>969</v>
      </c>
      <c r="K84" s="32">
        <f t="shared" si="40"/>
        <v>-1.2232415902140673E-2</v>
      </c>
      <c r="L84" s="18">
        <f>IF(ISNUMBER(J84), $B91 * K84, "")</f>
        <v>-1223.2415902140674</v>
      </c>
      <c r="M84" s="31">
        <v>972</v>
      </c>
      <c r="N84" s="32">
        <f t="shared" si="41"/>
        <v>-9.1743119266055051E-3</v>
      </c>
      <c r="O84" s="18">
        <f>IF(ISNUMBER(M84), $B91 * N84, "")</f>
        <v>-917.43119266055055</v>
      </c>
      <c r="Q84" s="245"/>
      <c r="R84" s="245"/>
      <c r="S84" s="245"/>
    </row>
    <row r="85" spans="1:19" ht="17.25" thickBot="1">
      <c r="A85" s="163" t="s">
        <v>270</v>
      </c>
      <c r="B85" s="128">
        <v>301</v>
      </c>
      <c r="C85" s="78">
        <v>-5.9374999999999997E-2</v>
      </c>
      <c r="D85" s="20">
        <v>292</v>
      </c>
      <c r="E85" s="21">
        <f t="shared" si="38"/>
        <v>-2.9900332225913623E-2</v>
      </c>
      <c r="F85" s="22">
        <f>IF(ISNUMBER(D85), $B91 * E85, "")</f>
        <v>-2990.0332225913621</v>
      </c>
      <c r="G85" s="30">
        <v>293</v>
      </c>
      <c r="H85" s="21">
        <f t="shared" si="39"/>
        <v>-2.6578073089700997E-2</v>
      </c>
      <c r="I85" s="105">
        <f>IF(ISNUMBER(G85), $B91 * H85, "")</f>
        <v>-2657.8073089700997</v>
      </c>
      <c r="J85" s="20">
        <v>296</v>
      </c>
      <c r="K85" s="21">
        <f t="shared" si="40"/>
        <v>-1.6611295681063124E-2</v>
      </c>
      <c r="L85" s="22">
        <f>IF(ISNUMBER(J85), $B91 * K85, "")</f>
        <v>-1661.1295681063125</v>
      </c>
      <c r="M85" s="30">
        <v>309</v>
      </c>
      <c r="N85" s="21">
        <f t="shared" si="41"/>
        <v>2.6578073089700997E-2</v>
      </c>
      <c r="O85" s="22">
        <f>IF(ISNUMBER(M85), $B91 * N85, "")</f>
        <v>2657.8073089700997</v>
      </c>
      <c r="Q85" s="245"/>
      <c r="R85" s="245"/>
      <c r="S85" s="245"/>
    </row>
    <row r="86" spans="1:19" ht="17.25" thickBot="1">
      <c r="A86" s="162" t="s">
        <v>284</v>
      </c>
      <c r="B86" s="129">
        <v>197</v>
      </c>
      <c r="C86" s="80">
        <v>-7.5117370899999994E-2</v>
      </c>
      <c r="D86" s="106">
        <v>187</v>
      </c>
      <c r="E86" s="107">
        <f>IF(ISNUMBER(D86), (D86 - $B86) / $B86, "")</f>
        <v>-5.0761421319796954E-2</v>
      </c>
      <c r="F86" s="108">
        <f>IF(ISNUMBER(D86), $B91 * E86, "")</f>
        <v>-5076.1421319796955</v>
      </c>
      <c r="G86" s="109">
        <v>188</v>
      </c>
      <c r="H86" s="107">
        <f>IF(ISNUMBER(G86), (G86 - $B86) / $B86, "")</f>
        <v>-4.5685279187817257E-2</v>
      </c>
      <c r="I86" s="110">
        <f>IF(ISNUMBER(G86), $B91 * H86, "")</f>
        <v>-4568.5279187817259</v>
      </c>
      <c r="J86" s="106">
        <v>187</v>
      </c>
      <c r="K86" s="107">
        <f>IF(ISNUMBER(J86), (J86 - $B86) / $B86, "")</f>
        <v>-5.0761421319796954E-2</v>
      </c>
      <c r="L86" s="108">
        <f>IF(ISNUMBER(J86), $B91 * K86, "")</f>
        <v>-5076.1421319796955</v>
      </c>
      <c r="M86" s="109">
        <v>185</v>
      </c>
      <c r="N86" s="107">
        <f>IF(ISNUMBER(M86), (M86 - $B86) / $B86, "")</f>
        <v>-6.0913705583756347E-2</v>
      </c>
      <c r="O86" s="108">
        <f>IF(ISNUMBER(M86), $B91 * N86, "")</f>
        <v>-6091.3705583756346</v>
      </c>
      <c r="Q86" s="235"/>
      <c r="R86" s="235"/>
      <c r="S86" s="235"/>
    </row>
    <row r="87" spans="1:19" ht="17.25" thickBot="1">
      <c r="A87" s="162" t="s">
        <v>54</v>
      </c>
      <c r="B87" s="126">
        <v>216</v>
      </c>
      <c r="C87" s="77">
        <v>-8.0851063799999998E-2</v>
      </c>
      <c r="D87" s="15">
        <v>213</v>
      </c>
      <c r="E87" s="32">
        <f t="shared" ref="E87:E90" si="42">IF(ISNUMBER(D87), (D87 - $B87) / $B87, "")</f>
        <v>-1.3888888888888888E-2</v>
      </c>
      <c r="F87" s="18">
        <f>IF(ISNUMBER(D87), $B91 * E87, "")</f>
        <v>-1388.8888888888889</v>
      </c>
      <c r="G87" s="31">
        <v>215</v>
      </c>
      <c r="H87" s="32">
        <f t="shared" ref="H87:H90" si="43">IF(ISNUMBER(G87), (G87 - $B87) / $B87, "")</f>
        <v>-4.6296296296296294E-3</v>
      </c>
      <c r="I87" s="101">
        <f>IF(ISNUMBER(G87), $B91 * H87, "")</f>
        <v>-462.96296296296293</v>
      </c>
      <c r="J87" s="15">
        <v>214</v>
      </c>
      <c r="K87" s="32">
        <f t="shared" ref="K87:K90" si="44">IF(ISNUMBER(J87), (J87 - $B87) / $B87, "")</f>
        <v>-9.2592592592592587E-3</v>
      </c>
      <c r="L87" s="18">
        <f>IF(ISNUMBER(J87), $B91 * K87, "")</f>
        <v>-925.92592592592587</v>
      </c>
      <c r="M87" s="31">
        <v>211</v>
      </c>
      <c r="N87" s="32">
        <f t="shared" ref="N87:N90" si="45">IF(ISNUMBER(M87), (M87 - $B87) / $B87, "")</f>
        <v>-2.3148148148148147E-2</v>
      </c>
      <c r="O87" s="18">
        <f>IF(ISNUMBER(M87), $B91 * N87, "")</f>
        <v>-2314.8148148148148</v>
      </c>
      <c r="Q87" s="235"/>
      <c r="R87" s="235"/>
      <c r="S87" s="235"/>
    </row>
    <row r="88" spans="1:19" ht="17.25" thickBot="1">
      <c r="A88" s="162" t="s">
        <v>258</v>
      </c>
      <c r="B88" s="126">
        <v>380</v>
      </c>
      <c r="C88" s="77">
        <v>-8.2125603899999997E-2</v>
      </c>
      <c r="D88" s="15">
        <v>387</v>
      </c>
      <c r="E88" s="32">
        <f t="shared" si="42"/>
        <v>1.8421052631578946E-2</v>
      </c>
      <c r="F88" s="18">
        <f>IF(ISNUMBER(D88), $B91 * E88, "")</f>
        <v>1842.1052631578946</v>
      </c>
      <c r="G88" s="31">
        <v>401</v>
      </c>
      <c r="H88" s="32">
        <f t="shared" si="43"/>
        <v>5.526315789473684E-2</v>
      </c>
      <c r="I88" s="101">
        <f>IF(ISNUMBER(G88), $B91 * H88, "")</f>
        <v>5526.3157894736842</v>
      </c>
      <c r="J88" s="15">
        <v>448</v>
      </c>
      <c r="K88" s="32">
        <f t="shared" si="44"/>
        <v>0.17894736842105263</v>
      </c>
      <c r="L88" s="18">
        <f>IF(ISNUMBER(J88), $B91 * K88, "")</f>
        <v>17894.736842105263</v>
      </c>
      <c r="M88" s="31">
        <v>409</v>
      </c>
      <c r="N88" s="32">
        <f t="shared" si="45"/>
        <v>7.6315789473684212E-2</v>
      </c>
      <c r="O88" s="18">
        <f>IF(ISNUMBER(M88), $B91 * N88, "")</f>
        <v>7631.5789473684208</v>
      </c>
      <c r="Q88" s="235"/>
      <c r="R88" s="235"/>
      <c r="S88" s="235"/>
    </row>
    <row r="89" spans="1:19">
      <c r="A89" s="162" t="s">
        <v>216</v>
      </c>
      <c r="B89" s="126">
        <v>231</v>
      </c>
      <c r="C89" s="77">
        <v>-8.6956521699999997E-2</v>
      </c>
      <c r="D89" s="15">
        <v>244</v>
      </c>
      <c r="E89" s="32">
        <f t="shared" si="42"/>
        <v>5.627705627705628E-2</v>
      </c>
      <c r="F89" s="18">
        <f>IF(ISNUMBER(D89), $B91 * E89, "")</f>
        <v>5627.7056277056281</v>
      </c>
      <c r="G89" s="31">
        <v>252</v>
      </c>
      <c r="H89" s="32">
        <f t="shared" si="43"/>
        <v>9.0909090909090912E-2</v>
      </c>
      <c r="I89" s="101">
        <f>IF(ISNUMBER(G89), $B91 * H89, "")</f>
        <v>9090.9090909090919</v>
      </c>
      <c r="J89" s="15">
        <v>252</v>
      </c>
      <c r="K89" s="32">
        <f t="shared" si="44"/>
        <v>9.0909090909090912E-2</v>
      </c>
      <c r="L89" s="18">
        <f>IF(ISNUMBER(J89), $B91 * K89, "")</f>
        <v>9090.9090909090919</v>
      </c>
      <c r="M89" s="31">
        <v>250</v>
      </c>
      <c r="N89" s="32">
        <f t="shared" si="45"/>
        <v>8.2251082251082255E-2</v>
      </c>
      <c r="O89" s="18">
        <f>IF(ISNUMBER(M89), $B91 * N89, "")</f>
        <v>8225.1082251082262</v>
      </c>
      <c r="Q89" s="224"/>
      <c r="R89" s="225"/>
      <c r="S89" s="226"/>
    </row>
    <row r="90" spans="1:19" ht="17.25" thickBot="1">
      <c r="A90" s="130" t="s">
        <v>170</v>
      </c>
      <c r="B90" s="131">
        <v>237</v>
      </c>
      <c r="C90" s="79">
        <v>-9.5419847299999999E-2</v>
      </c>
      <c r="D90" s="24">
        <v>231</v>
      </c>
      <c r="E90" s="25">
        <f t="shared" si="42"/>
        <v>-2.5316455696202531E-2</v>
      </c>
      <c r="F90" s="104">
        <f>IF(ISNUMBER(D90), $B91 * E90, "")</f>
        <v>-2531.6455696202529</v>
      </c>
      <c r="G90" s="102">
        <v>232</v>
      </c>
      <c r="H90" s="25">
        <f t="shared" si="43"/>
        <v>-2.1097046413502109E-2</v>
      </c>
      <c r="I90" s="103">
        <f>IF(ISNUMBER(G90), $B91 * H90, "")</f>
        <v>-2109.7046413502107</v>
      </c>
      <c r="J90" s="24">
        <v>232</v>
      </c>
      <c r="K90" s="25">
        <f t="shared" si="44"/>
        <v>-2.1097046413502109E-2</v>
      </c>
      <c r="L90" s="104">
        <f>IF(ISNUMBER(J90), $B91 * K90, "")</f>
        <v>-2109.7046413502107</v>
      </c>
      <c r="M90" s="102">
        <v>256</v>
      </c>
      <c r="N90" s="25">
        <f t="shared" si="45"/>
        <v>8.0168776371308023E-2</v>
      </c>
      <c r="O90" s="104">
        <f>IF(ISNUMBER(M90), $B91 * N90, "")</f>
        <v>8016.8776371308022</v>
      </c>
      <c r="Q90" s="227"/>
      <c r="R90" s="228"/>
      <c r="S90" s="229"/>
    </row>
    <row r="91" spans="1:19" ht="17.25" thickBot="1">
      <c r="A91" s="132" t="s">
        <v>300</v>
      </c>
      <c r="B91" s="288">
        <f>$B$37</f>
        <v>100000</v>
      </c>
      <c r="C91" s="289"/>
      <c r="D91" s="26" t="s">
        <v>301</v>
      </c>
      <c r="E91" s="27">
        <f>IF(COUNT(E71:E90), SUM(E71:E90) / COUNT(E71:E90), 0)</f>
        <v>-1.9291275130802546E-2</v>
      </c>
      <c r="F91" s="28">
        <f>SUM(F71:F90)</f>
        <v>-38582.55026160508</v>
      </c>
      <c r="G91" s="26" t="s">
        <v>301</v>
      </c>
      <c r="H91" s="27">
        <f>IF(COUNT(H71:H90), SUM(H71:H90) / COUNT(H71:H90), 0)</f>
        <v>-2.3988885183358241E-4</v>
      </c>
      <c r="I91" s="28">
        <f>SUM(I71:I90)</f>
        <v>-479.77770366716459</v>
      </c>
      <c r="J91" s="26" t="s">
        <v>301</v>
      </c>
      <c r="K91" s="27">
        <f>IF(COUNT(K71:K90), SUM(K71:K90) / COUNT(K71:K90), 0)</f>
        <v>2.1319520395227162E-3</v>
      </c>
      <c r="L91" s="28">
        <f>SUM(L71:L90)</f>
        <v>4263.904079045431</v>
      </c>
      <c r="M91" s="26" t="s">
        <v>301</v>
      </c>
      <c r="N91" s="27">
        <f>IF(COUNT(N71:N90), SUM(N71:N90) / COUNT(N71:N90), 0)</f>
        <v>-4.3828638843510801E-3</v>
      </c>
      <c r="O91" s="28">
        <f>SUM(O71:O90)</f>
        <v>-8765.7277687021669</v>
      </c>
      <c r="Q91" s="230"/>
      <c r="R91" s="231"/>
      <c r="S91" s="232"/>
    </row>
    <row r="93" spans="1:19" ht="17.25" thickBot="1"/>
    <row r="94" spans="1:19" ht="17.25" thickBot="1">
      <c r="A94" s="246" t="s">
        <v>46</v>
      </c>
      <c r="B94" s="247"/>
      <c r="C94" s="247"/>
      <c r="D94" s="247"/>
      <c r="E94" s="247"/>
      <c r="F94" s="247"/>
      <c r="G94" s="247"/>
      <c r="H94" s="247"/>
      <c r="I94" s="247"/>
      <c r="J94" s="247"/>
      <c r="K94" s="247"/>
      <c r="L94" s="247"/>
      <c r="M94" s="247"/>
      <c r="N94" s="247"/>
      <c r="O94" s="248"/>
      <c r="Q94" s="245"/>
      <c r="R94" s="245"/>
      <c r="S94" s="245"/>
    </row>
    <row r="95" spans="1:19" ht="17.25" thickBot="1">
      <c r="A95" s="208" t="s">
        <v>297</v>
      </c>
      <c r="B95" s="246" t="s">
        <v>49</v>
      </c>
      <c r="C95" s="248"/>
      <c r="D95" s="246" t="s">
        <v>58</v>
      </c>
      <c r="E95" s="247"/>
      <c r="F95" s="248"/>
      <c r="G95" s="249">
        <f>_xlfn.IFNA(VLOOKUP(B95, 현재가테이블!$B$2:$D$200, 2, FALSE), "-")</f>
        <v>45335000</v>
      </c>
      <c r="H95" s="250"/>
      <c r="I95" s="251"/>
      <c r="J95" s="246" t="s">
        <v>59</v>
      </c>
      <c r="K95" s="247"/>
      <c r="L95" s="248"/>
      <c r="M95" s="252">
        <f>_xlfn.IFNA(VLOOKUP(B95, 현재가테이블!$B$2:$D$200, 3, FALSE), "-")</f>
        <v>-2.27209037E-2</v>
      </c>
      <c r="N95" s="253"/>
      <c r="O95" s="254"/>
      <c r="Q95" s="245"/>
      <c r="R95" s="245"/>
      <c r="S95" s="245"/>
    </row>
    <row r="96" spans="1:19" ht="17.25" thickBot="1">
      <c r="A96" s="290" t="s">
        <v>55</v>
      </c>
      <c r="B96" s="286" t="str">
        <f>TEXT($G$1, "[$-ko-KR]yyyy-mm-dd(ddd) ") &amp; "오전 00:00"</f>
        <v>2021-06-13(일) 오전 00:00</v>
      </c>
      <c r="C96" s="287"/>
      <c r="D96" s="259" t="str">
        <f>TEXT($G$1, "[$-ko-KR]yyyy-mm-dd(ddd) ") &amp; "오후 14:00"</f>
        <v>2021-06-13(일) 오후 14:00</v>
      </c>
      <c r="E96" s="260"/>
      <c r="F96" s="261"/>
      <c r="G96" s="259" t="str">
        <f>TEXT($G$1, "[$-ko-KR]yyyy-mm-dd(ddd) ") &amp; "오후 19:00"</f>
        <v>2021-06-13(일) 오후 19:00</v>
      </c>
      <c r="H96" s="260"/>
      <c r="I96" s="261"/>
      <c r="J96" s="259" t="str">
        <f>TEXT($G$1, "[$-ko-KR]yyyy-mm-dd(ddd) ") &amp; "오후 21:00"</f>
        <v>2021-06-13(일) 오후 21:00</v>
      </c>
      <c r="K96" s="260"/>
      <c r="L96" s="261"/>
      <c r="M96" s="259" t="str">
        <f>TEXT($G$1+1, "[$-ko-KR]yyyy-mm-dd(ddd) ") &amp; "오전 00:00"</f>
        <v>2021-06-14(월) 오전 00:00</v>
      </c>
      <c r="N96" s="260"/>
      <c r="O96" s="261"/>
      <c r="Q96" s="245"/>
      <c r="R96" s="245"/>
      <c r="S96" s="245"/>
    </row>
    <row r="97" spans="1:19" ht="17.25" thickBot="1">
      <c r="A97" s="291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209" t="s">
        <v>58</v>
      </c>
      <c r="H97" s="210" t="s">
        <v>298</v>
      </c>
      <c r="I97" s="211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5"/>
      <c r="R97" s="235"/>
      <c r="S97" s="235"/>
    </row>
    <row r="98" spans="1:19" ht="17.25" thickBot="1">
      <c r="A98" s="161" t="s">
        <v>264</v>
      </c>
      <c r="B98" s="124">
        <v>83.8</v>
      </c>
      <c r="C98" s="76">
        <v>0.13396481730000001</v>
      </c>
      <c r="D98" s="13">
        <v>72.900000000000006</v>
      </c>
      <c r="E98" s="14">
        <f>IF(ISNUMBER(D98), (D98 - $B98) / $B98, "")</f>
        <v>-0.13007159904534596</v>
      </c>
      <c r="F98" s="16">
        <f>IF(ISNUMBER(D98), $B118 * E98, "")</f>
        <v>-13007.159904534596</v>
      </c>
      <c r="G98" s="29">
        <v>71.8</v>
      </c>
      <c r="H98" s="14">
        <f>IF(ISNUMBER(G98), (G98 - $B98) / $B98, "")</f>
        <v>-0.14319809069212411</v>
      </c>
      <c r="I98" s="100">
        <f>IF(ISNUMBER(G98), $B118 * H98, "")</f>
        <v>-14319.809069212411</v>
      </c>
      <c r="J98" s="13">
        <v>71.900000000000006</v>
      </c>
      <c r="K98" s="14">
        <f>IF(ISNUMBER(J98), (J98 - $B98) / $B98, "")</f>
        <v>-0.14200477326968963</v>
      </c>
      <c r="L98" s="16">
        <f>IF(ISNUMBER(J98), $B118 * K98, "")</f>
        <v>-14200.477326968963</v>
      </c>
      <c r="M98" s="29">
        <v>72</v>
      </c>
      <c r="N98" s="14">
        <f>IF(ISNUMBER(M98), (M98 - $B98) / $B98, "")</f>
        <v>-0.14081145584725535</v>
      </c>
      <c r="O98" s="16">
        <f>IF(ISNUMBER(M98), $B118 * N98, "")</f>
        <v>-14081.145584725535</v>
      </c>
      <c r="Q98" s="245"/>
      <c r="R98" s="245"/>
      <c r="S98" s="245"/>
    </row>
    <row r="99" spans="1:19" ht="17.25" thickBot="1">
      <c r="A99" s="162" t="s">
        <v>164</v>
      </c>
      <c r="B99" s="126">
        <v>17420</v>
      </c>
      <c r="C99" s="77">
        <v>5.44794189E-2</v>
      </c>
      <c r="D99" s="15">
        <v>16650</v>
      </c>
      <c r="E99" s="32">
        <f t="shared" ref="E99:E102" si="46">IF(ISNUMBER(D99), (D99 - $B99) / $B99, "")</f>
        <v>-4.4202066590126293E-2</v>
      </c>
      <c r="F99" s="18">
        <f>IF(ISNUMBER(D99), $B118 * E99, "")</f>
        <v>-4420.2066590126296</v>
      </c>
      <c r="G99" s="31">
        <v>16940</v>
      </c>
      <c r="H99" s="32">
        <f t="shared" ref="H99:H102" si="47">IF(ISNUMBER(G99), (G99 - $B99) / $B99, "")</f>
        <v>-2.7554535017221583E-2</v>
      </c>
      <c r="I99" s="101">
        <f>IF(ISNUMBER(G99), $B118 * H99, "")</f>
        <v>-2755.4535017221583</v>
      </c>
      <c r="J99" s="15">
        <v>17020</v>
      </c>
      <c r="K99" s="32">
        <f t="shared" ref="K99:K102" si="48">IF(ISNUMBER(J99), (J99 - $B99) / $B99, "")</f>
        <v>-2.2962112514351322E-2</v>
      </c>
      <c r="L99" s="18">
        <f>IF(ISNUMBER(J99), $B118 * K99, "")</f>
        <v>-2296.211251435132</v>
      </c>
      <c r="M99" s="31">
        <v>16730</v>
      </c>
      <c r="N99" s="32">
        <f t="shared" ref="N99:N102" si="49">IF(ISNUMBER(M99), (M99 - $B99) / $B99, "")</f>
        <v>-3.9609644087256028E-2</v>
      </c>
      <c r="O99" s="18">
        <f>IF(ISNUMBER(M99), $B118 * N99, "")</f>
        <v>-3960.9644087256029</v>
      </c>
      <c r="Q99" s="245"/>
      <c r="R99" s="245"/>
      <c r="S99" s="245"/>
    </row>
    <row r="100" spans="1:19" ht="17.25" thickBot="1">
      <c r="A100" s="162" t="s">
        <v>118</v>
      </c>
      <c r="B100" s="126">
        <v>4255</v>
      </c>
      <c r="C100" s="77">
        <v>2.16086435E-2</v>
      </c>
      <c r="D100" s="15">
        <v>4185</v>
      </c>
      <c r="E100" s="32">
        <f t="shared" si="46"/>
        <v>-1.6451233842538191E-2</v>
      </c>
      <c r="F100" s="18">
        <f>IF(ISNUMBER(D100), $B118 * E100, "")</f>
        <v>-1645.123384253819</v>
      </c>
      <c r="G100" s="31">
        <v>4305</v>
      </c>
      <c r="H100" s="32">
        <f t="shared" si="47"/>
        <v>1.1750881316098707E-2</v>
      </c>
      <c r="I100" s="101">
        <f>IF(ISNUMBER(G100), $B118 * H100, "")</f>
        <v>1175.0881316098707</v>
      </c>
      <c r="J100" s="15">
        <v>4220</v>
      </c>
      <c r="K100" s="32">
        <f t="shared" si="48"/>
        <v>-8.2256169212690956E-3</v>
      </c>
      <c r="L100" s="18">
        <f>IF(ISNUMBER(J100), $B118 * K100, "")</f>
        <v>-822.56169212690952</v>
      </c>
      <c r="M100" s="31">
        <v>4105</v>
      </c>
      <c r="N100" s="32">
        <f t="shared" si="49"/>
        <v>-3.5252643948296122E-2</v>
      </c>
      <c r="O100" s="18">
        <f>IF(ISNUMBER(M100), $B118 * N100, "")</f>
        <v>-3525.2643948296122</v>
      </c>
      <c r="Q100" s="235"/>
      <c r="R100" s="235"/>
      <c r="S100" s="235"/>
    </row>
    <row r="101" spans="1:19" ht="17.25" thickBot="1">
      <c r="A101" s="162" t="s">
        <v>51</v>
      </c>
      <c r="B101" s="126">
        <v>380</v>
      </c>
      <c r="C101" s="77">
        <v>2.15053763E-2</v>
      </c>
      <c r="D101" s="15">
        <v>366</v>
      </c>
      <c r="E101" s="32">
        <f t="shared" si="46"/>
        <v>-3.6842105263157891E-2</v>
      </c>
      <c r="F101" s="18">
        <f>IF(ISNUMBER(D101), $B118 * E101, "")</f>
        <v>-3684.2105263157891</v>
      </c>
      <c r="G101" s="31">
        <v>374</v>
      </c>
      <c r="H101" s="32">
        <f t="shared" si="47"/>
        <v>-1.5789473684210527E-2</v>
      </c>
      <c r="I101" s="101">
        <f>IF(ISNUMBER(G101), $B118 * H101, "")</f>
        <v>-1578.9473684210527</v>
      </c>
      <c r="J101" s="15">
        <v>374</v>
      </c>
      <c r="K101" s="32">
        <f t="shared" si="48"/>
        <v>-1.5789473684210527E-2</v>
      </c>
      <c r="L101" s="18">
        <f>IF(ISNUMBER(J101), $B118 * K101, "")</f>
        <v>-1578.9473684210527</v>
      </c>
      <c r="M101" s="31">
        <v>368</v>
      </c>
      <c r="N101" s="32">
        <f t="shared" si="49"/>
        <v>-3.1578947368421054E-2</v>
      </c>
      <c r="O101" s="18">
        <f>IF(ISNUMBER(M101), $B118 * N101, "")</f>
        <v>-3157.8947368421054</v>
      </c>
      <c r="Q101" s="235"/>
      <c r="R101" s="235"/>
      <c r="S101" s="235"/>
    </row>
    <row r="102" spans="1:19" ht="17.25" thickBot="1">
      <c r="A102" s="163" t="s">
        <v>96</v>
      </c>
      <c r="B102" s="128">
        <v>2806000</v>
      </c>
      <c r="C102" s="78">
        <v>1.8142235100000001E-2</v>
      </c>
      <c r="D102" s="20">
        <v>2716000</v>
      </c>
      <c r="E102" s="21">
        <f t="shared" si="46"/>
        <v>-3.2074126870990732E-2</v>
      </c>
      <c r="F102" s="22">
        <f>IF(ISNUMBER(D102), $B118 * E102, "")</f>
        <v>-3207.4126870990731</v>
      </c>
      <c r="G102" s="30">
        <v>2764000</v>
      </c>
      <c r="H102" s="21">
        <f t="shared" si="47"/>
        <v>-1.496792587312901E-2</v>
      </c>
      <c r="I102" s="105">
        <f>IF(ISNUMBER(G102), $B118 * H102, "")</f>
        <v>-1496.7925873129011</v>
      </c>
      <c r="J102" s="20">
        <v>2755000</v>
      </c>
      <c r="K102" s="21">
        <f t="shared" si="48"/>
        <v>-1.8175338560228082E-2</v>
      </c>
      <c r="L102" s="22">
        <f>IF(ISNUMBER(J102), $B118 * K102, "")</f>
        <v>-1817.5338560228081</v>
      </c>
      <c r="M102" s="30">
        <v>2732000</v>
      </c>
      <c r="N102" s="21">
        <f t="shared" si="49"/>
        <v>-2.6372059871703494E-2</v>
      </c>
      <c r="O102" s="22">
        <f>IF(ISNUMBER(M102), $B118 * N102, "")</f>
        <v>-2637.2059871703495</v>
      </c>
      <c r="Q102" s="235"/>
      <c r="R102" s="235"/>
      <c r="S102" s="235"/>
    </row>
    <row r="103" spans="1:19" ht="17.25" thickBot="1">
      <c r="A103" s="162" t="s">
        <v>148</v>
      </c>
      <c r="B103" s="129">
        <v>97.6</v>
      </c>
      <c r="C103" s="80">
        <v>1.6666666699999999E-2</v>
      </c>
      <c r="D103" s="106">
        <v>92.8</v>
      </c>
      <c r="E103" s="107">
        <f>IF(ISNUMBER(D103), (D103 - $B103) / $B103, "")</f>
        <v>-4.918032786885243E-2</v>
      </c>
      <c r="F103" s="108">
        <f>IF(ISNUMBER(D103), $B118 * E103, "")</f>
        <v>-4918.0327868852428</v>
      </c>
      <c r="G103" s="109">
        <v>95.6</v>
      </c>
      <c r="H103" s="107">
        <f>IF(ISNUMBER(G103), (G103 - $B103) / $B103, "")</f>
        <v>-2.0491803278688527E-2</v>
      </c>
      <c r="I103" s="110">
        <f>IF(ISNUMBER(G103), $B118 * H103, "")</f>
        <v>-2049.1803278688526</v>
      </c>
      <c r="J103" s="106">
        <v>95.9</v>
      </c>
      <c r="K103" s="107">
        <f>IF(ISNUMBER(J103), (J103 - $B103) / $B103, "")</f>
        <v>-1.741803278688513E-2</v>
      </c>
      <c r="L103" s="108">
        <f>IF(ISNUMBER(J103), $B118 * K103, "")</f>
        <v>-1741.803278688513</v>
      </c>
      <c r="M103" s="109">
        <v>93.8</v>
      </c>
      <c r="N103" s="107">
        <f>IF(ISNUMBER(M103), (M103 - $B103) / $B103, "")</f>
        <v>-3.8934426229508171E-2</v>
      </c>
      <c r="O103" s="108">
        <f>IF(ISNUMBER(M103), $B118 * N103, "")</f>
        <v>-3893.4426229508172</v>
      </c>
      <c r="Q103" s="235"/>
      <c r="R103" s="235"/>
      <c r="S103" s="235"/>
    </row>
    <row r="104" spans="1:19" ht="17.25" thickBot="1">
      <c r="A104" s="162" t="s">
        <v>184</v>
      </c>
      <c r="B104" s="126">
        <v>1340</v>
      </c>
      <c r="C104" s="77">
        <v>1.51515152E-2</v>
      </c>
      <c r="D104" s="15">
        <v>1275</v>
      </c>
      <c r="E104" s="32">
        <f t="shared" ref="E104:E107" si="50">IF(ISNUMBER(D104), (D104 - $B104) / $B104, "")</f>
        <v>-4.8507462686567165E-2</v>
      </c>
      <c r="F104" s="18">
        <f>IF(ISNUMBER(D104), $B118 * E104, "")</f>
        <v>-4850.7462686567169</v>
      </c>
      <c r="G104" s="31">
        <v>1280</v>
      </c>
      <c r="H104" s="32">
        <f t="shared" ref="H104:H107" si="51">IF(ISNUMBER(G104), (G104 - $B104) / $B104, "")</f>
        <v>-4.4776119402985072E-2</v>
      </c>
      <c r="I104" s="101">
        <f>IF(ISNUMBER(G104), $B118 * H104, "")</f>
        <v>-4477.6119402985069</v>
      </c>
      <c r="J104" s="15">
        <v>1290</v>
      </c>
      <c r="K104" s="32">
        <f t="shared" ref="K104:K107" si="52">IF(ISNUMBER(J104), (J104 - $B104) / $B104, "")</f>
        <v>-3.7313432835820892E-2</v>
      </c>
      <c r="L104" s="18">
        <f>IF(ISNUMBER(J104), $B118 * K104, "")</f>
        <v>-3731.343283582089</v>
      </c>
      <c r="M104" s="31">
        <v>1265</v>
      </c>
      <c r="N104" s="32">
        <f t="shared" ref="N104:N107" si="53">IF(ISNUMBER(M104), (M104 - $B104) / $B104, "")</f>
        <v>-5.5970149253731345E-2</v>
      </c>
      <c r="O104" s="18">
        <f>IF(ISNUMBER(M104), $B118 * N104, "")</f>
        <v>-5597.0149253731342</v>
      </c>
      <c r="Q104" s="235"/>
      <c r="R104" s="235"/>
      <c r="S104" s="235"/>
    </row>
    <row r="105" spans="1:19" ht="17.25" thickBot="1">
      <c r="A105" s="162" t="s">
        <v>280</v>
      </c>
      <c r="B105" s="126">
        <v>903</v>
      </c>
      <c r="C105" s="77">
        <v>1.4606741600000001E-2</v>
      </c>
      <c r="D105" s="15">
        <v>788</v>
      </c>
      <c r="E105" s="32">
        <f t="shared" si="50"/>
        <v>-0.1273532668881506</v>
      </c>
      <c r="F105" s="18">
        <f>IF(ISNUMBER(D105), $B118 * E105, "")</f>
        <v>-12735.326688815059</v>
      </c>
      <c r="G105" s="31">
        <v>800</v>
      </c>
      <c r="H105" s="32">
        <f t="shared" si="51"/>
        <v>-0.11406423034330011</v>
      </c>
      <c r="I105" s="101">
        <f>IF(ISNUMBER(G105), $B118 * H105, "")</f>
        <v>-11406.423034330011</v>
      </c>
      <c r="J105" s="15">
        <v>796</v>
      </c>
      <c r="K105" s="32">
        <f t="shared" si="52"/>
        <v>-0.1184939091915836</v>
      </c>
      <c r="L105" s="18">
        <f>IF(ISNUMBER(J105), $B118 * K105, "")</f>
        <v>-11849.390919158361</v>
      </c>
      <c r="M105" s="31">
        <v>785</v>
      </c>
      <c r="N105" s="32">
        <f t="shared" si="53"/>
        <v>-0.13067552602436322</v>
      </c>
      <c r="O105" s="18">
        <f>IF(ISNUMBER(M105), $B118 * N105, "")</f>
        <v>-13067.552602436323</v>
      </c>
      <c r="Q105" s="235"/>
      <c r="R105" s="235"/>
      <c r="S105" s="235"/>
    </row>
    <row r="106" spans="1:19" ht="17.25" thickBot="1">
      <c r="A106" s="162" t="s">
        <v>84</v>
      </c>
      <c r="B106" s="126">
        <v>1700</v>
      </c>
      <c r="C106" s="77">
        <v>8.9020772000000005E-3</v>
      </c>
      <c r="D106" s="15">
        <v>1685</v>
      </c>
      <c r="E106" s="32">
        <f t="shared" si="50"/>
        <v>-8.8235294117647058E-3</v>
      </c>
      <c r="F106" s="18">
        <f>IF(ISNUMBER(D106), $B118 * E106, "")</f>
        <v>-882.35294117647061</v>
      </c>
      <c r="G106" s="31">
        <v>1685</v>
      </c>
      <c r="H106" s="32">
        <f t="shared" si="51"/>
        <v>-8.8235294117647058E-3</v>
      </c>
      <c r="I106" s="101">
        <f>IF(ISNUMBER(G106), $B118 * H106, "")</f>
        <v>-882.35294117647061</v>
      </c>
      <c r="J106" s="15">
        <v>1680</v>
      </c>
      <c r="K106" s="32">
        <f t="shared" si="52"/>
        <v>-1.1764705882352941E-2</v>
      </c>
      <c r="L106" s="18">
        <f>IF(ISNUMBER(J106), $B118 * K106, "")</f>
        <v>-1176.4705882352941</v>
      </c>
      <c r="M106" s="31">
        <v>1650</v>
      </c>
      <c r="N106" s="32">
        <f t="shared" si="53"/>
        <v>-2.9411764705882353E-2</v>
      </c>
      <c r="O106" s="18">
        <f>IF(ISNUMBER(M106), $B118 * N106, "")</f>
        <v>-2941.1764705882351</v>
      </c>
      <c r="Q106" s="33"/>
      <c r="R106" s="33"/>
    </row>
    <row r="107" spans="1:19" ht="17.25" thickBot="1">
      <c r="A107" s="130" t="s">
        <v>76</v>
      </c>
      <c r="B107" s="131">
        <v>25310</v>
      </c>
      <c r="C107" s="79">
        <v>6.7621321000000002E-3</v>
      </c>
      <c r="D107" s="24">
        <v>24270</v>
      </c>
      <c r="E107" s="25">
        <f t="shared" si="50"/>
        <v>-4.1090478071908333E-2</v>
      </c>
      <c r="F107" s="104">
        <f>IF(ISNUMBER(D107), $B118 * E107, "")</f>
        <v>-4109.0478071908337</v>
      </c>
      <c r="G107" s="102">
        <v>24510</v>
      </c>
      <c r="H107" s="25">
        <f t="shared" si="51"/>
        <v>-3.1608060055314108E-2</v>
      </c>
      <c r="I107" s="103">
        <f>IF(ISNUMBER(G107), $B118 * H107, "")</f>
        <v>-3160.8060055314108</v>
      </c>
      <c r="J107" s="24">
        <v>24480</v>
      </c>
      <c r="K107" s="25">
        <f t="shared" si="52"/>
        <v>-3.2793362307388385E-2</v>
      </c>
      <c r="L107" s="104">
        <f>IF(ISNUMBER(J107), $B118 * K107, "")</f>
        <v>-3279.3362307388384</v>
      </c>
      <c r="M107" s="102">
        <v>24050</v>
      </c>
      <c r="N107" s="25">
        <f t="shared" si="53"/>
        <v>-4.9782694587119716E-2</v>
      </c>
      <c r="O107" s="104">
        <f>IF(ISNUMBER(M107), $B118 * N107, "")</f>
        <v>-4978.2694587119713</v>
      </c>
      <c r="Q107" s="236"/>
      <c r="R107" s="237"/>
      <c r="S107" s="238"/>
    </row>
    <row r="108" spans="1:19">
      <c r="A108" s="161" t="s">
        <v>106</v>
      </c>
      <c r="B108" s="124">
        <v>1020</v>
      </c>
      <c r="C108" s="76">
        <v>4.9261084000000004E-3</v>
      </c>
      <c r="D108" s="13">
        <v>963</v>
      </c>
      <c r="E108" s="14">
        <f>IF(ISNUMBER(D108), (D108 - $B108) / $B108, "")</f>
        <v>-5.5882352941176473E-2</v>
      </c>
      <c r="F108" s="16">
        <f>IF(ISNUMBER(D108), $B118 * E108, "")</f>
        <v>-5588.2352941176478</v>
      </c>
      <c r="G108" s="29">
        <v>974</v>
      </c>
      <c r="H108" s="14">
        <f>IF(ISNUMBER(G108), (G108 - $B108) / $B108, "")</f>
        <v>-4.5098039215686274E-2</v>
      </c>
      <c r="I108" s="100">
        <f>IF(ISNUMBER(G108), $B118 * H108, "")</f>
        <v>-4509.8039215686276</v>
      </c>
      <c r="J108" s="13">
        <v>965</v>
      </c>
      <c r="K108" s="14">
        <f>IF(ISNUMBER(J108), (J108 - $B108) / $B108, "")</f>
        <v>-5.3921568627450983E-2</v>
      </c>
      <c r="L108" s="16">
        <f>IF(ISNUMBER(J108), $B118 * K108, "")</f>
        <v>-5392.1568627450979</v>
      </c>
      <c r="M108" s="29">
        <v>950</v>
      </c>
      <c r="N108" s="14">
        <f>IF(ISNUMBER(M108), (M108 - $B108) / $B108, "")</f>
        <v>-6.8627450980392163E-2</v>
      </c>
      <c r="O108" s="16">
        <f>IF(ISNUMBER(M108), $B118 * N108, "")</f>
        <v>-6862.7450980392159</v>
      </c>
      <c r="Q108" s="239"/>
      <c r="R108" s="240"/>
      <c r="S108" s="241"/>
    </row>
    <row r="109" spans="1:19" ht="17.25" thickBot="1">
      <c r="A109" s="162" t="s">
        <v>98</v>
      </c>
      <c r="B109" s="126">
        <v>3670</v>
      </c>
      <c r="C109" s="77">
        <v>0</v>
      </c>
      <c r="D109" s="15">
        <v>3520</v>
      </c>
      <c r="E109" s="32">
        <f t="shared" ref="E109:E112" si="54">IF(ISNUMBER(D109), (D109 - $B109) / $B109, "")</f>
        <v>-4.0871934604904632E-2</v>
      </c>
      <c r="F109" s="18">
        <f>IF(ISNUMBER(D109), $B118 * E109, "")</f>
        <v>-4087.1934604904632</v>
      </c>
      <c r="G109" s="31">
        <v>3595</v>
      </c>
      <c r="H109" s="32">
        <f t="shared" ref="H109:H112" si="55">IF(ISNUMBER(G109), (G109 - $B109) / $B109, "")</f>
        <v>-2.0435967302452316E-2</v>
      </c>
      <c r="I109" s="101">
        <f>IF(ISNUMBER(G109), $B118 * H109, "")</f>
        <v>-2043.5967302452316</v>
      </c>
      <c r="J109" s="15">
        <v>3580</v>
      </c>
      <c r="K109" s="32">
        <f t="shared" ref="K109:K112" si="56">IF(ISNUMBER(J109), (J109 - $B109) / $B109, "")</f>
        <v>-2.4523160762942781E-2</v>
      </c>
      <c r="L109" s="18">
        <f>IF(ISNUMBER(J109), $B118 * K109, "")</f>
        <v>-2452.316076294278</v>
      </c>
      <c r="M109" s="31">
        <v>3515</v>
      </c>
      <c r="N109" s="32">
        <f t="shared" ref="N109:N112" si="57">IF(ISNUMBER(M109), (M109 - $B109) / $B109, "")</f>
        <v>-4.2234332425068119E-2</v>
      </c>
      <c r="O109" s="18">
        <f>IF(ISNUMBER(M109), $B118 * N109, "")</f>
        <v>-4223.4332425068123</v>
      </c>
      <c r="Q109" s="242"/>
      <c r="R109" s="243"/>
      <c r="S109" s="244"/>
    </row>
    <row r="110" spans="1:19" ht="17.25" thickBot="1">
      <c r="A110" s="162" t="s">
        <v>78</v>
      </c>
      <c r="B110" s="126">
        <v>671200</v>
      </c>
      <c r="C110" s="77">
        <v>-5.9241705999999996E-3</v>
      </c>
      <c r="D110" s="15">
        <v>654300</v>
      </c>
      <c r="E110" s="32">
        <f t="shared" si="54"/>
        <v>-2.5178784266984507E-2</v>
      </c>
      <c r="F110" s="18">
        <f>IF(ISNUMBER(D110), $B118 * E110, "")</f>
        <v>-2517.8784266984508</v>
      </c>
      <c r="G110" s="31">
        <v>665100</v>
      </c>
      <c r="H110" s="32">
        <f t="shared" si="55"/>
        <v>-9.0882002383790225E-3</v>
      </c>
      <c r="I110" s="101">
        <f>IF(ISNUMBER(G110), $B118 * H110, "")</f>
        <v>-908.82002383790223</v>
      </c>
      <c r="J110" s="15">
        <v>665200</v>
      </c>
      <c r="K110" s="32">
        <f t="shared" si="56"/>
        <v>-8.9392133492252682E-3</v>
      </c>
      <c r="L110" s="18">
        <f>IF(ISNUMBER(J110), $B118 * K110, "")</f>
        <v>-893.92133492252685</v>
      </c>
      <c r="M110" s="31">
        <v>661000</v>
      </c>
      <c r="N110" s="32">
        <f t="shared" si="57"/>
        <v>-1.5196662693682956E-2</v>
      </c>
      <c r="O110" s="18">
        <f>IF(ISNUMBER(M110), $B118 * N110, "")</f>
        <v>-1519.6662693682956</v>
      </c>
      <c r="Q110" s="235"/>
      <c r="R110" s="235"/>
      <c r="S110" s="235"/>
    </row>
    <row r="111" spans="1:19" ht="17.25" thickBot="1">
      <c r="A111" s="162" t="s">
        <v>130</v>
      </c>
      <c r="B111" s="126">
        <v>188500</v>
      </c>
      <c r="C111" s="77">
        <v>-1.10178384E-2</v>
      </c>
      <c r="D111" s="15">
        <v>183200</v>
      </c>
      <c r="E111" s="32">
        <f t="shared" si="54"/>
        <v>-2.8116710875331564E-2</v>
      </c>
      <c r="F111" s="18">
        <f>IF(ISNUMBER(D111), $B118 * E111, "")</f>
        <v>-2811.6710875331564</v>
      </c>
      <c r="G111" s="31">
        <v>187700</v>
      </c>
      <c r="H111" s="32">
        <f t="shared" si="55"/>
        <v>-4.2440318302387264E-3</v>
      </c>
      <c r="I111" s="101">
        <f>IF(ISNUMBER(G111), $B118 * H111, "")</f>
        <v>-424.40318302387266</v>
      </c>
      <c r="J111" s="15">
        <v>187450</v>
      </c>
      <c r="K111" s="32">
        <f t="shared" si="56"/>
        <v>-5.5702917771883291E-3</v>
      </c>
      <c r="L111" s="18">
        <f>IF(ISNUMBER(J111), $B118 * K111, "")</f>
        <v>-557.0291777188329</v>
      </c>
      <c r="M111" s="31">
        <v>186250</v>
      </c>
      <c r="N111" s="32">
        <f t="shared" si="57"/>
        <v>-1.1936339522546418E-2</v>
      </c>
      <c r="O111" s="18">
        <f>IF(ISNUMBER(M111), $B118 * N111, "")</f>
        <v>-1193.6339522546418</v>
      </c>
      <c r="Q111" s="245"/>
      <c r="R111" s="245"/>
      <c r="S111" s="245"/>
    </row>
    <row r="112" spans="1:19" ht="17.25" thickBot="1">
      <c r="A112" s="163" t="s">
        <v>114</v>
      </c>
      <c r="B112" s="128">
        <v>9165</v>
      </c>
      <c r="C112" s="78">
        <v>-1.3986014E-2</v>
      </c>
      <c r="D112" s="20">
        <v>9150</v>
      </c>
      <c r="E112" s="21">
        <f t="shared" si="54"/>
        <v>-1.6366612111292963E-3</v>
      </c>
      <c r="F112" s="22">
        <f>IF(ISNUMBER(D112), $B118 * E112, "")</f>
        <v>-163.66612111292963</v>
      </c>
      <c r="G112" s="30">
        <v>9655</v>
      </c>
      <c r="H112" s="21">
        <f t="shared" si="55"/>
        <v>5.3464266230223677E-2</v>
      </c>
      <c r="I112" s="105">
        <f>IF(ISNUMBER(G112), $B118 * H112, "")</f>
        <v>5346.4266230223675</v>
      </c>
      <c r="J112" s="20">
        <v>9465</v>
      </c>
      <c r="K112" s="21">
        <f t="shared" si="56"/>
        <v>3.2733224222585927E-2</v>
      </c>
      <c r="L112" s="22">
        <f>IF(ISNUMBER(J112), $B118 * K112, "")</f>
        <v>3273.3224222585927</v>
      </c>
      <c r="M112" s="30">
        <v>9475</v>
      </c>
      <c r="N112" s="21">
        <f t="shared" si="57"/>
        <v>3.3824331696672122E-2</v>
      </c>
      <c r="O112" s="22">
        <f>IF(ISNUMBER(M112), $B118 * N112, "")</f>
        <v>3382.433169667212</v>
      </c>
      <c r="Q112" s="245"/>
      <c r="R112" s="245"/>
      <c r="S112" s="245"/>
    </row>
    <row r="113" spans="1:19" ht="17.25" thickBot="1">
      <c r="A113" s="162" t="s">
        <v>138</v>
      </c>
      <c r="B113" s="129">
        <v>24120</v>
      </c>
      <c r="C113" s="80">
        <v>-1.5510204099999999E-2</v>
      </c>
      <c r="D113" s="106">
        <v>23630</v>
      </c>
      <c r="E113" s="107">
        <f>IF(ISNUMBER(D113), (D113 - $B113) / $B113, "")</f>
        <v>-2.03150912106136E-2</v>
      </c>
      <c r="F113" s="108">
        <f>IF(ISNUMBER(D113), $B118 * E113, "")</f>
        <v>-2031.50912106136</v>
      </c>
      <c r="G113" s="109">
        <v>23990</v>
      </c>
      <c r="H113" s="107">
        <f>IF(ISNUMBER(G113), (G113 - $B113) / $B113, "")</f>
        <v>-5.3897180762852402E-3</v>
      </c>
      <c r="I113" s="110">
        <f>IF(ISNUMBER(G113), $B118 * H113, "")</f>
        <v>-538.97180762852406</v>
      </c>
      <c r="J113" s="106">
        <v>23780</v>
      </c>
      <c r="K113" s="107">
        <f>IF(ISNUMBER(J113), (J113 - $B113) / $B113, "")</f>
        <v>-1.4096185737976783E-2</v>
      </c>
      <c r="L113" s="108">
        <f>IF(ISNUMBER(J113), $B118 * K113, "")</f>
        <v>-1409.6185737976782</v>
      </c>
      <c r="M113" s="109">
        <v>23440</v>
      </c>
      <c r="N113" s="107">
        <f>IF(ISNUMBER(M113), (M113 - $B113) / $B113, "")</f>
        <v>-2.8192371475953566E-2</v>
      </c>
      <c r="O113" s="108">
        <f>IF(ISNUMBER(M113), $B118 * N113, "")</f>
        <v>-2819.2371475953564</v>
      </c>
      <c r="Q113" s="235"/>
      <c r="R113" s="235"/>
      <c r="S113" s="235"/>
    </row>
    <row r="114" spans="1:19" ht="17.25" thickBot="1">
      <c r="A114" s="162" t="s">
        <v>132</v>
      </c>
      <c r="B114" s="126">
        <v>121</v>
      </c>
      <c r="C114" s="77">
        <v>-1.6260162599999999E-2</v>
      </c>
      <c r="D114" s="15">
        <v>120</v>
      </c>
      <c r="E114" s="32">
        <f t="shared" ref="E114:E117" si="58">IF(ISNUMBER(D114), (D114 - $B114) / $B114, "")</f>
        <v>-8.2644628099173556E-3</v>
      </c>
      <c r="F114" s="18">
        <f>IF(ISNUMBER(D114), $B118 * E114, "")</f>
        <v>-826.44628099173553</v>
      </c>
      <c r="G114" s="31">
        <v>122</v>
      </c>
      <c r="H114" s="32">
        <f t="shared" ref="H114:H117" si="59">IF(ISNUMBER(G114), (G114 - $B114) / $B114, "")</f>
        <v>8.2644628099173556E-3</v>
      </c>
      <c r="I114" s="101">
        <f>IF(ISNUMBER(G114), $B118 * H114, "")</f>
        <v>826.44628099173553</v>
      </c>
      <c r="J114" s="15">
        <v>120</v>
      </c>
      <c r="K114" s="32">
        <f t="shared" ref="K114:K117" si="60">IF(ISNUMBER(J114), (J114 - $B114) / $B114, "")</f>
        <v>-8.2644628099173556E-3</v>
      </c>
      <c r="L114" s="18">
        <f>IF(ISNUMBER(J114), $B118 * K114, "")</f>
        <v>-826.44628099173553</v>
      </c>
      <c r="M114" s="31">
        <v>118</v>
      </c>
      <c r="N114" s="32">
        <f t="shared" ref="N114:N117" si="61">IF(ISNUMBER(M114), (M114 - $B114) / $B114, "")</f>
        <v>-2.4793388429752067E-2</v>
      </c>
      <c r="O114" s="18">
        <f>IF(ISNUMBER(M114), $B118 * N114, "")</f>
        <v>-2479.3388429752067</v>
      </c>
      <c r="Q114" s="235"/>
      <c r="R114" s="235"/>
      <c r="S114" s="235"/>
    </row>
    <row r="115" spans="1:19" ht="17.25" thickBot="1">
      <c r="A115" s="162" t="s">
        <v>156</v>
      </c>
      <c r="B115" s="126">
        <v>79.400000000000006</v>
      </c>
      <c r="C115" s="77">
        <v>-1.85414091E-2</v>
      </c>
      <c r="D115" s="15">
        <v>78.099999999999994</v>
      </c>
      <c r="E115" s="32">
        <f t="shared" si="58"/>
        <v>-1.6372795969773441E-2</v>
      </c>
      <c r="F115" s="18">
        <f>IF(ISNUMBER(D115), $B118 * E115, "")</f>
        <v>-1637.279596977344</v>
      </c>
      <c r="G115" s="31">
        <v>79.2</v>
      </c>
      <c r="H115" s="32">
        <f t="shared" si="59"/>
        <v>-2.5188916876574662E-3</v>
      </c>
      <c r="I115" s="101">
        <f>IF(ISNUMBER(G115), $B118 * H115, "")</f>
        <v>-251.88916876574663</v>
      </c>
      <c r="J115" s="15">
        <v>79.3</v>
      </c>
      <c r="K115" s="32">
        <f t="shared" si="60"/>
        <v>-1.2594458438288227E-3</v>
      </c>
      <c r="L115" s="18">
        <f>IF(ISNUMBER(J115), $B118 * K115, "")</f>
        <v>-125.94458438288227</v>
      </c>
      <c r="M115" s="31">
        <v>78.599999999999994</v>
      </c>
      <c r="N115" s="32">
        <f t="shared" si="61"/>
        <v>-1.0075566750629865E-2</v>
      </c>
      <c r="O115" s="18">
        <f>IF(ISNUMBER(M115), $B118 * N115, "")</f>
        <v>-1007.5566750629865</v>
      </c>
      <c r="Q115" s="235"/>
      <c r="R115" s="235"/>
      <c r="S115" s="235"/>
    </row>
    <row r="116" spans="1:19">
      <c r="A116" s="162" t="s">
        <v>110</v>
      </c>
      <c r="B116" s="126">
        <v>1040</v>
      </c>
      <c r="C116" s="77">
        <v>-1.8867924500000001E-2</v>
      </c>
      <c r="D116" s="15">
        <v>1010</v>
      </c>
      <c r="E116" s="32">
        <f t="shared" si="58"/>
        <v>-2.8846153846153848E-2</v>
      </c>
      <c r="F116" s="18">
        <f>IF(ISNUMBER(D116), $B118 * E116, "")</f>
        <v>-2884.6153846153848</v>
      </c>
      <c r="G116" s="31">
        <v>1045</v>
      </c>
      <c r="H116" s="32">
        <f t="shared" si="59"/>
        <v>4.807692307692308E-3</v>
      </c>
      <c r="I116" s="101">
        <f>IF(ISNUMBER(G116), $B118 * H116, "")</f>
        <v>480.76923076923077</v>
      </c>
      <c r="J116" s="15">
        <v>1045</v>
      </c>
      <c r="K116" s="32">
        <f t="shared" si="60"/>
        <v>4.807692307692308E-3</v>
      </c>
      <c r="L116" s="18">
        <f>IF(ISNUMBER(J116), $B118 * K116, "")</f>
        <v>480.76923076923077</v>
      </c>
      <c r="M116" s="31">
        <v>1005</v>
      </c>
      <c r="N116" s="32">
        <f t="shared" si="61"/>
        <v>-3.3653846153846152E-2</v>
      </c>
      <c r="O116" s="18">
        <f>IF(ISNUMBER(M116), $B118 * N116, "")</f>
        <v>-3365.3846153846152</v>
      </c>
      <c r="Q116" s="224"/>
      <c r="R116" s="225"/>
      <c r="S116" s="226"/>
    </row>
    <row r="117" spans="1:19" ht="17.25" thickBot="1">
      <c r="A117" s="130" t="s">
        <v>90</v>
      </c>
      <c r="B117" s="131">
        <v>188350</v>
      </c>
      <c r="C117" s="79">
        <v>-2.0540821599999998E-2</v>
      </c>
      <c r="D117" s="24">
        <v>186850</v>
      </c>
      <c r="E117" s="25">
        <f t="shared" si="58"/>
        <v>-7.963897000265464E-3</v>
      </c>
      <c r="F117" s="104">
        <f>IF(ISNUMBER(D117), $B118 * E117, "")</f>
        <v>-796.38970002654639</v>
      </c>
      <c r="G117" s="102">
        <v>189650</v>
      </c>
      <c r="H117" s="25">
        <f t="shared" si="59"/>
        <v>6.9020440668967351E-3</v>
      </c>
      <c r="I117" s="103">
        <f>IF(ISNUMBER(G117), $B118 * H117, "")</f>
        <v>690.20440668967353</v>
      </c>
      <c r="J117" s="24">
        <v>188200</v>
      </c>
      <c r="K117" s="25">
        <f t="shared" si="60"/>
        <v>-7.9638970002654627E-4</v>
      </c>
      <c r="L117" s="104">
        <f>IF(ISNUMBER(J117), $B118 * K117, "")</f>
        <v>-79.638970002654631</v>
      </c>
      <c r="M117" s="102">
        <v>187900</v>
      </c>
      <c r="N117" s="25">
        <f t="shared" si="61"/>
        <v>-2.389169100079639E-3</v>
      </c>
      <c r="O117" s="104">
        <f>IF(ISNUMBER(M117), $B118 * N117, "")</f>
        <v>-238.91691000796391</v>
      </c>
      <c r="Q117" s="227"/>
      <c r="R117" s="228"/>
      <c r="S117" s="229"/>
    </row>
    <row r="118" spans="1:19" ht="17.25" thickBot="1">
      <c r="A118" s="132" t="s">
        <v>300</v>
      </c>
      <c r="B118" s="288">
        <f>$B$37</f>
        <v>100000</v>
      </c>
      <c r="C118" s="289"/>
      <c r="D118" s="26" t="s">
        <v>301</v>
      </c>
      <c r="E118" s="27">
        <f>IF(COUNT(E98:E117), SUM(E98:E117) / COUNT(E98:E117), 0)</f>
        <v>-3.8402252063782623E-2</v>
      </c>
      <c r="F118" s="28">
        <f>SUM(F98:F117)</f>
        <v>-76804.504127565247</v>
      </c>
      <c r="G118" s="26" t="s">
        <v>301</v>
      </c>
      <c r="H118" s="27">
        <f>IF(COUNT(H98:H117), SUM(H98:H117) / COUNT(H98:H117), 0)</f>
        <v>-2.1142963468930402E-2</v>
      </c>
      <c r="I118" s="28">
        <f>SUM(I98:I117)</f>
        <v>-42285.926937860801</v>
      </c>
      <c r="J118" s="26" t="s">
        <v>301</v>
      </c>
      <c r="K118" s="27">
        <f>IF(COUNT(K98:K117), SUM(K98:K117) / COUNT(K98:K117), 0)</f>
        <v>-2.5238528001602922E-2</v>
      </c>
      <c r="L118" s="28">
        <f>SUM(L98:L117)</f>
        <v>-50477.05600320582</v>
      </c>
      <c r="M118" s="26" t="s">
        <v>301</v>
      </c>
      <c r="N118" s="27">
        <f>IF(COUNT(N98:N117), SUM(N98:N117) / COUNT(N98:N117), 0)</f>
        <v>-3.908370538794078E-2</v>
      </c>
      <c r="O118" s="28">
        <f>SUM(O98:O117)</f>
        <v>-78167.410775881552</v>
      </c>
      <c r="Q118" s="230"/>
      <c r="R118" s="231"/>
      <c r="S118" s="232"/>
    </row>
    <row r="120" spans="1:19" ht="17.25" thickBot="1"/>
    <row r="121" spans="1:19" ht="17.25" thickBot="1">
      <c r="A121" s="246" t="s">
        <v>288</v>
      </c>
      <c r="B121" s="247"/>
      <c r="C121" s="247"/>
      <c r="D121" s="247"/>
      <c r="E121" s="247"/>
      <c r="F121" s="247"/>
      <c r="G121" s="247"/>
      <c r="H121" s="247"/>
      <c r="I121" s="247"/>
      <c r="J121" s="247"/>
      <c r="K121" s="247"/>
      <c r="L121" s="247"/>
      <c r="M121" s="247"/>
      <c r="N121" s="247"/>
      <c r="O121" s="248"/>
      <c r="Q121" s="245"/>
      <c r="R121" s="245"/>
      <c r="S121" s="245"/>
    </row>
    <row r="122" spans="1:19" ht="17.25" thickBot="1">
      <c r="A122" s="208" t="s">
        <v>297</v>
      </c>
      <c r="B122" s="246" t="s">
        <v>49</v>
      </c>
      <c r="C122" s="248"/>
      <c r="D122" s="246" t="s">
        <v>58</v>
      </c>
      <c r="E122" s="247"/>
      <c r="F122" s="248"/>
      <c r="G122" s="249">
        <f>_xlfn.IFNA(VLOOKUP(B122, 현재가테이블!$B$2:$D$200, 2, FALSE), "-")</f>
        <v>45335000</v>
      </c>
      <c r="H122" s="250"/>
      <c r="I122" s="251"/>
      <c r="J122" s="246" t="s">
        <v>59</v>
      </c>
      <c r="K122" s="247"/>
      <c r="L122" s="248"/>
      <c r="M122" s="252">
        <f>_xlfn.IFNA(VLOOKUP(B122, 현재가테이블!$B$2:$D$200, 3, FALSE), "-")</f>
        <v>-2.27209037E-2</v>
      </c>
      <c r="N122" s="253"/>
      <c r="O122" s="254"/>
      <c r="Q122" s="245"/>
      <c r="R122" s="245"/>
      <c r="S122" s="245"/>
    </row>
    <row r="123" spans="1:19" ht="17.25" thickBot="1">
      <c r="A123" s="290" t="s">
        <v>55</v>
      </c>
      <c r="B123" s="286" t="str">
        <f>TEXT($G$1, "[$-ko-KR]yyyy-mm-dd(ddd) ") &amp; "오전 00:00"</f>
        <v>2021-06-13(일) 오전 00:00</v>
      </c>
      <c r="C123" s="287"/>
      <c r="D123" s="259" t="str">
        <f>TEXT($G$1, "[$-ko-KR]yyyy-mm-dd(ddd) ") &amp; "오후 14:00"</f>
        <v>2021-06-13(일) 오후 14:00</v>
      </c>
      <c r="E123" s="260"/>
      <c r="F123" s="261"/>
      <c r="G123" s="259" t="str">
        <f>TEXT($G$1, "[$-ko-KR]yyyy-mm-dd(ddd) ") &amp; "오후 19:00"</f>
        <v>2021-06-13(일) 오후 19:00</v>
      </c>
      <c r="H123" s="260"/>
      <c r="I123" s="261"/>
      <c r="J123" s="259" t="str">
        <f>TEXT($G$1, "[$-ko-KR]yyyy-mm-dd(ddd) ") &amp; "오후 21:00"</f>
        <v>2021-06-13(일) 오후 21:00</v>
      </c>
      <c r="K123" s="260"/>
      <c r="L123" s="261"/>
      <c r="M123" s="259" t="str">
        <f>TEXT($G$1+1, "[$-ko-KR]yyyy-mm-dd(ddd) ") &amp; "오전 00:00"</f>
        <v>2021-06-14(월) 오전 00:00</v>
      </c>
      <c r="N123" s="260"/>
      <c r="O123" s="261"/>
      <c r="Q123" s="245"/>
      <c r="R123" s="245"/>
      <c r="S123" s="245"/>
    </row>
    <row r="124" spans="1:19" ht="17.25" thickBot="1">
      <c r="A124" s="291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209" t="s">
        <v>58</v>
      </c>
      <c r="H124" s="210" t="s">
        <v>298</v>
      </c>
      <c r="I124" s="211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5"/>
      <c r="R124" s="235"/>
      <c r="S124" s="235"/>
    </row>
    <row r="125" spans="1:19" ht="17.25" thickBot="1">
      <c r="A125" s="161" t="s">
        <v>72</v>
      </c>
      <c r="B125" s="124">
        <v>18.100000000000001</v>
      </c>
      <c r="C125" s="76">
        <v>-0.15023474179999999</v>
      </c>
      <c r="D125" s="13">
        <v>17.7</v>
      </c>
      <c r="E125" s="14">
        <f>IF(ISNUMBER(D125), (D125 - $B125) / $B125, "")</f>
        <v>-2.2099447513812272E-2</v>
      </c>
      <c r="F125" s="16">
        <f>IF(ISNUMBER(D125), $B145 * E125, "")</f>
        <v>-2209.944751381227</v>
      </c>
      <c r="G125" s="29">
        <v>17.899999999999999</v>
      </c>
      <c r="H125" s="14">
        <f>IF(ISNUMBER(G125), (G125 - $B125) / $B125, "")</f>
        <v>-1.1049723756906233E-2</v>
      </c>
      <c r="I125" s="100">
        <f>IF(ISNUMBER(G125), $B145 * H125, "")</f>
        <v>-1104.9723756906233</v>
      </c>
      <c r="J125" s="13">
        <v>18</v>
      </c>
      <c r="K125" s="14">
        <f>IF(ISNUMBER(J125), (J125 - $B125) / $B125, "")</f>
        <v>-5.5248618784531165E-3</v>
      </c>
      <c r="L125" s="16">
        <f>IF(ISNUMBER(J125), $B145 * K125, "")</f>
        <v>-552.48618784531163</v>
      </c>
      <c r="M125" s="29">
        <v>18</v>
      </c>
      <c r="N125" s="14">
        <f>IF(ISNUMBER(M125), (M125 - $B125) / $B125, "")</f>
        <v>-5.5248618784531165E-3</v>
      </c>
      <c r="O125" s="16">
        <f>IF(ISNUMBER(M125), $B145 * N125, "")</f>
        <v>-552.48618784531163</v>
      </c>
      <c r="Q125" s="245"/>
      <c r="R125" s="245"/>
      <c r="S125" s="245"/>
    </row>
    <row r="126" spans="1:19" ht="17.25" thickBot="1">
      <c r="A126" s="162" t="s">
        <v>202</v>
      </c>
      <c r="B126" s="126">
        <v>88.6</v>
      </c>
      <c r="C126" s="77">
        <v>-0.15619047620000001</v>
      </c>
      <c r="D126" s="15">
        <v>78.400000000000006</v>
      </c>
      <c r="E126" s="32">
        <f t="shared" ref="E126:E129" si="62">IF(ISNUMBER(D126), (D126 - $B126) / $B126, "")</f>
        <v>-0.11512415349887122</v>
      </c>
      <c r="F126" s="18">
        <f>IF(ISNUMBER(D126), $B145 * E126, "")</f>
        <v>-11512.415349887122</v>
      </c>
      <c r="G126" s="31">
        <v>81</v>
      </c>
      <c r="H126" s="32">
        <f t="shared" ref="H126:H129" si="63">IF(ISNUMBER(G126), (G126 - $B126) / $B126, "")</f>
        <v>-8.5778781038374663E-2</v>
      </c>
      <c r="I126" s="101">
        <f>IF(ISNUMBER(G126), $B145 * H126, "")</f>
        <v>-8577.8781038374655</v>
      </c>
      <c r="J126" s="15">
        <v>81.099999999999994</v>
      </c>
      <c r="K126" s="32">
        <f t="shared" ref="K126:K129" si="64">IF(ISNUMBER(J126), (J126 - $B126) / $B126, "")</f>
        <v>-8.4650112866817159E-2</v>
      </c>
      <c r="L126" s="18">
        <f>IF(ISNUMBER(J126), $B145 * K126, "")</f>
        <v>-8465.0112866817162</v>
      </c>
      <c r="M126" s="31">
        <v>81</v>
      </c>
      <c r="N126" s="32">
        <f t="shared" ref="N126:N129" si="65">IF(ISNUMBER(M126), (M126 - $B126) / $B126, "")</f>
        <v>-8.5778781038374663E-2</v>
      </c>
      <c r="O126" s="18">
        <f>IF(ISNUMBER(M126), $B145 * N126, "")</f>
        <v>-8577.8781038374655</v>
      </c>
      <c r="Q126" s="245"/>
      <c r="R126" s="245"/>
      <c r="S126" s="245"/>
    </row>
    <row r="127" spans="1:19" ht="17.25" thickBot="1">
      <c r="A127" s="162" t="s">
        <v>154</v>
      </c>
      <c r="B127" s="126">
        <v>8.5</v>
      </c>
      <c r="C127" s="77">
        <v>-0.1584158416</v>
      </c>
      <c r="D127" s="15">
        <v>6.99</v>
      </c>
      <c r="E127" s="32">
        <f t="shared" si="62"/>
        <v>-0.17764705882352938</v>
      </c>
      <c r="F127" s="18">
        <f>IF(ISNUMBER(D127), $B145 * E127, "")</f>
        <v>-17764.705882352937</v>
      </c>
      <c r="G127" s="31">
        <v>7.48</v>
      </c>
      <c r="H127" s="32">
        <f t="shared" si="63"/>
        <v>-0.11999999999999995</v>
      </c>
      <c r="I127" s="101">
        <f>IF(ISNUMBER(G127), $B145 * H127, "")</f>
        <v>-11999.999999999995</v>
      </c>
      <c r="J127" s="15">
        <v>7.51</v>
      </c>
      <c r="K127" s="32">
        <f t="shared" si="64"/>
        <v>-0.11647058823529415</v>
      </c>
      <c r="L127" s="18">
        <f>IF(ISNUMBER(J127), $B145 * K127, "")</f>
        <v>-11647.058823529414</v>
      </c>
      <c r="M127" s="31">
        <v>7.54</v>
      </c>
      <c r="N127" s="32">
        <f t="shared" si="65"/>
        <v>-0.11294117647058823</v>
      </c>
      <c r="O127" s="18">
        <f>IF(ISNUMBER(M127), $B145 * N127, "")</f>
        <v>-11294.117647058823</v>
      </c>
      <c r="Q127" s="235"/>
      <c r="R127" s="235"/>
      <c r="S127" s="235"/>
    </row>
    <row r="128" spans="1:19" ht="17.25" thickBot="1">
      <c r="A128" s="162" t="s">
        <v>196</v>
      </c>
      <c r="B128" s="126">
        <v>8.3699999999999992</v>
      </c>
      <c r="C128" s="77">
        <v>-0.15879396979999999</v>
      </c>
      <c r="D128" s="15">
        <v>7.5</v>
      </c>
      <c r="E128" s="32">
        <f t="shared" si="62"/>
        <v>-0.10394265232974902</v>
      </c>
      <c r="F128" s="18">
        <f>IF(ISNUMBER(D128), $B145 * E128, "")</f>
        <v>-10394.265232974902</v>
      </c>
      <c r="G128" s="31">
        <v>7.72</v>
      </c>
      <c r="H128" s="32">
        <f t="shared" si="63"/>
        <v>-7.7658303464755024E-2</v>
      </c>
      <c r="I128" s="101">
        <f>IF(ISNUMBER(G128), $B145 * H128, "")</f>
        <v>-7765.8303464755027</v>
      </c>
      <c r="J128" s="15">
        <v>7.65</v>
      </c>
      <c r="K128" s="32">
        <f t="shared" si="64"/>
        <v>-8.6021505376343954E-2</v>
      </c>
      <c r="L128" s="18">
        <f>IF(ISNUMBER(J128), $B145 * K128, "")</f>
        <v>-8602.1505376343957</v>
      </c>
      <c r="M128" s="31">
        <v>7.79</v>
      </c>
      <c r="N128" s="32">
        <f t="shared" si="65"/>
        <v>-6.9295101553165983E-2</v>
      </c>
      <c r="O128" s="18">
        <f>IF(ISNUMBER(M128), $B145 * N128, "")</f>
        <v>-6929.5101553165987</v>
      </c>
      <c r="Q128" s="235"/>
      <c r="R128" s="235"/>
      <c r="S128" s="235"/>
    </row>
    <row r="129" spans="1:19" ht="17.25" thickBot="1">
      <c r="A129" s="163" t="s">
        <v>232</v>
      </c>
      <c r="B129" s="128">
        <v>85.7</v>
      </c>
      <c r="C129" s="78">
        <v>-0.167961165</v>
      </c>
      <c r="D129" s="20">
        <v>79.5</v>
      </c>
      <c r="E129" s="21">
        <f t="shared" si="62"/>
        <v>-7.2345390898483117E-2</v>
      </c>
      <c r="F129" s="22">
        <f>IF(ISNUMBER(D129), $B145 * E129, "")</f>
        <v>-7234.539089848312</v>
      </c>
      <c r="G129" s="30">
        <v>77.099999999999994</v>
      </c>
      <c r="H129" s="21">
        <f t="shared" si="63"/>
        <v>-0.10035005834305727</v>
      </c>
      <c r="I129" s="105">
        <f>IF(ISNUMBER(G129), $B145 * H129, "")</f>
        <v>-10035.005834305726</v>
      </c>
      <c r="J129" s="20">
        <v>77.599999999999994</v>
      </c>
      <c r="K129" s="21">
        <f t="shared" si="64"/>
        <v>-9.4515752625437668E-2</v>
      </c>
      <c r="L129" s="22">
        <f>IF(ISNUMBER(J129), $B145 * K129, "")</f>
        <v>-9451.5752625437672</v>
      </c>
      <c r="M129" s="30">
        <v>77.3</v>
      </c>
      <c r="N129" s="21">
        <f t="shared" si="65"/>
        <v>-9.8016336056009401E-2</v>
      </c>
      <c r="O129" s="22">
        <f>IF(ISNUMBER(M129), $B145 * N129, "")</f>
        <v>-9801.6336056009404</v>
      </c>
      <c r="Q129" s="235"/>
      <c r="R129" s="235"/>
      <c r="S129" s="235"/>
    </row>
    <row r="130" spans="1:19" ht="17.25" thickBot="1">
      <c r="A130" s="162" t="s">
        <v>268</v>
      </c>
      <c r="B130" s="129">
        <v>31.9</v>
      </c>
      <c r="C130" s="80">
        <v>-0.16927083330000001</v>
      </c>
      <c r="D130" s="106">
        <v>25.8</v>
      </c>
      <c r="E130" s="107">
        <f>IF(ISNUMBER(D130), (D130 - $B130) / $B130, "")</f>
        <v>-0.1912225705329153</v>
      </c>
      <c r="F130" s="108">
        <f>IF(ISNUMBER(D130), $B145 * E130, "")</f>
        <v>-19122.257053291531</v>
      </c>
      <c r="G130" s="109">
        <v>26.8</v>
      </c>
      <c r="H130" s="107">
        <f>IF(ISNUMBER(G130), (G130 - $B130) / $B130, "")</f>
        <v>-0.15987460815047017</v>
      </c>
      <c r="I130" s="110">
        <f>IF(ISNUMBER(G130), $B145 * H130, "")</f>
        <v>-15987.460815047016</v>
      </c>
      <c r="J130" s="106">
        <v>26.8</v>
      </c>
      <c r="K130" s="107">
        <f>IF(ISNUMBER(J130), (J130 - $B130) / $B130, "")</f>
        <v>-0.15987460815047017</v>
      </c>
      <c r="L130" s="108">
        <f>IF(ISNUMBER(J130), $B145 * K130, "")</f>
        <v>-15987.460815047016</v>
      </c>
      <c r="M130" s="109">
        <v>26.8</v>
      </c>
      <c r="N130" s="107">
        <f>IF(ISNUMBER(M130), (M130 - $B130) / $B130, "")</f>
        <v>-0.15987460815047017</v>
      </c>
      <c r="O130" s="108">
        <f>IF(ISNUMBER(M130), $B145 * N130, "")</f>
        <v>-15987.460815047016</v>
      </c>
      <c r="Q130" s="235"/>
      <c r="R130" s="235"/>
      <c r="S130" s="235"/>
    </row>
    <row r="131" spans="1:19" ht="17.25" thickBot="1">
      <c r="A131" s="162" t="s">
        <v>282</v>
      </c>
      <c r="B131" s="126">
        <v>55.9</v>
      </c>
      <c r="C131" s="77">
        <v>-0.1693907875</v>
      </c>
      <c r="D131" s="15">
        <v>53.4</v>
      </c>
      <c r="E131" s="32">
        <f t="shared" ref="E131:E134" si="66">IF(ISNUMBER(D131), (D131 - $B131) / $B131, "")</f>
        <v>-4.4722719141323794E-2</v>
      </c>
      <c r="F131" s="18">
        <f>IF(ISNUMBER(D131), $B145 * E131, "")</f>
        <v>-4472.2719141323796</v>
      </c>
      <c r="G131" s="31">
        <v>53.4</v>
      </c>
      <c r="H131" s="32">
        <f t="shared" ref="H131:H134" si="67">IF(ISNUMBER(G131), (G131 - $B131) / $B131, "")</f>
        <v>-4.4722719141323794E-2</v>
      </c>
      <c r="I131" s="101">
        <f>IF(ISNUMBER(G131), $B145 * H131, "")</f>
        <v>-4472.2719141323796</v>
      </c>
      <c r="J131" s="15">
        <v>51.7</v>
      </c>
      <c r="K131" s="32">
        <f t="shared" ref="K131:K134" si="68">IF(ISNUMBER(J131), (J131 - $B131) / $B131, "")</f>
        <v>-7.5134168157423895E-2</v>
      </c>
      <c r="L131" s="18">
        <f>IF(ISNUMBER(J131), $B145 * K131, "")</f>
        <v>-7513.4168157423892</v>
      </c>
      <c r="M131" s="31">
        <v>51.8</v>
      </c>
      <c r="N131" s="32">
        <f t="shared" ref="N131:N134" si="69">IF(ISNUMBER(M131), (M131 - $B131) / $B131, "")</f>
        <v>-7.3345259391771042E-2</v>
      </c>
      <c r="O131" s="18">
        <f>IF(ISNUMBER(M131), $B145 * N131, "")</f>
        <v>-7334.5259391771042</v>
      </c>
      <c r="Q131" s="235"/>
      <c r="R131" s="235"/>
      <c r="S131" s="235"/>
    </row>
    <row r="132" spans="1:19" ht="17.25" thickBot="1">
      <c r="A132" s="162" t="s">
        <v>198</v>
      </c>
      <c r="B132" s="126">
        <v>11</v>
      </c>
      <c r="C132" s="77">
        <v>-0.17293233080000001</v>
      </c>
      <c r="D132" s="15">
        <v>10.3</v>
      </c>
      <c r="E132" s="32">
        <f t="shared" si="66"/>
        <v>-6.3636363636363574E-2</v>
      </c>
      <c r="F132" s="18">
        <f>IF(ISNUMBER(D132), $B145 * E132, "")</f>
        <v>-6363.6363636363576</v>
      </c>
      <c r="G132" s="31">
        <v>10.4</v>
      </c>
      <c r="H132" s="32">
        <f t="shared" si="67"/>
        <v>-5.4545454545454515E-2</v>
      </c>
      <c r="I132" s="101">
        <f>IF(ISNUMBER(G132), $B145 * H132, "")</f>
        <v>-5454.5454545454513</v>
      </c>
      <c r="J132" s="15">
        <v>10.4</v>
      </c>
      <c r="K132" s="32">
        <f t="shared" si="68"/>
        <v>-5.4545454545454515E-2</v>
      </c>
      <c r="L132" s="18">
        <f>IF(ISNUMBER(J132), $B145 * K132, "")</f>
        <v>-5454.5454545454513</v>
      </c>
      <c r="M132" s="31">
        <v>10.6</v>
      </c>
      <c r="N132" s="32">
        <f t="shared" si="69"/>
        <v>-3.6363636363636397E-2</v>
      </c>
      <c r="O132" s="18">
        <f>IF(ISNUMBER(M132), $B145 * N132, "")</f>
        <v>-3636.3636363636397</v>
      </c>
      <c r="Q132" s="235"/>
      <c r="R132" s="235"/>
      <c r="S132" s="235"/>
    </row>
    <row r="133" spans="1:19" ht="17.25" thickBot="1">
      <c r="A133" s="162" t="s">
        <v>238</v>
      </c>
      <c r="B133" s="126">
        <v>88</v>
      </c>
      <c r="C133" s="77">
        <v>-0.18518518519999999</v>
      </c>
      <c r="D133" s="15">
        <v>79</v>
      </c>
      <c r="E133" s="32">
        <f t="shared" si="66"/>
        <v>-0.10227272727272728</v>
      </c>
      <c r="F133" s="18">
        <f>IF(ISNUMBER(D133), $B145 * E133, "")</f>
        <v>-10227.272727272728</v>
      </c>
      <c r="G133" s="31">
        <v>82.6</v>
      </c>
      <c r="H133" s="32">
        <f t="shared" si="67"/>
        <v>-6.1363636363636426E-2</v>
      </c>
      <c r="I133" s="101">
        <f>IF(ISNUMBER(G133), $B145 * H133, "")</f>
        <v>-6136.3636363636424</v>
      </c>
      <c r="J133" s="15">
        <v>81</v>
      </c>
      <c r="K133" s="32">
        <f t="shared" si="68"/>
        <v>-7.9545454545454544E-2</v>
      </c>
      <c r="L133" s="18">
        <f>IF(ISNUMBER(J133), $B145 * K133, "")</f>
        <v>-7954.545454545454</v>
      </c>
      <c r="M133" s="31">
        <v>81.2</v>
      </c>
      <c r="N133" s="32">
        <f t="shared" si="69"/>
        <v>-7.7272727272727243E-2</v>
      </c>
      <c r="O133" s="18">
        <f>IF(ISNUMBER(M133), $B145 * N133, "")</f>
        <v>-7727.2727272727243</v>
      </c>
      <c r="Q133" s="33"/>
      <c r="R133" s="33"/>
    </row>
    <row r="134" spans="1:19" ht="17.25" thickBot="1">
      <c r="A134" s="130" t="s">
        <v>240</v>
      </c>
      <c r="B134" s="131">
        <v>84.6</v>
      </c>
      <c r="C134" s="79">
        <v>-0.1865384615</v>
      </c>
      <c r="D134" s="24">
        <v>84.5</v>
      </c>
      <c r="E134" s="25">
        <f t="shared" si="66"/>
        <v>-1.1820330969266469E-3</v>
      </c>
      <c r="F134" s="104">
        <f>IF(ISNUMBER(D134), $B145 * E134, "")</f>
        <v>-118.20330969266469</v>
      </c>
      <c r="G134" s="102">
        <v>80</v>
      </c>
      <c r="H134" s="25">
        <f t="shared" si="67"/>
        <v>-5.4373522458628781E-2</v>
      </c>
      <c r="I134" s="103">
        <f>IF(ISNUMBER(G134), $B145 * H134, "")</f>
        <v>-5437.3522458628777</v>
      </c>
      <c r="J134" s="24">
        <v>81.8</v>
      </c>
      <c r="K134" s="25">
        <f t="shared" si="68"/>
        <v>-3.3096926713947962E-2</v>
      </c>
      <c r="L134" s="104">
        <f>IF(ISNUMBER(J134), $B145 * K134, "")</f>
        <v>-3309.692671394796</v>
      </c>
      <c r="M134" s="102">
        <v>81</v>
      </c>
      <c r="N134" s="25">
        <f t="shared" si="69"/>
        <v>-4.2553191489361639E-2</v>
      </c>
      <c r="O134" s="104">
        <f>IF(ISNUMBER(M134), $B145 * N134, "")</f>
        <v>-4255.3191489361643</v>
      </c>
      <c r="Q134" s="236"/>
      <c r="R134" s="237"/>
      <c r="S134" s="238"/>
    </row>
    <row r="135" spans="1:19">
      <c r="A135" s="161" t="s">
        <v>222</v>
      </c>
      <c r="B135" s="124">
        <v>8.2100000000000009</v>
      </c>
      <c r="C135" s="76">
        <v>-0.18712871289999999</v>
      </c>
      <c r="D135" s="13">
        <v>7.87</v>
      </c>
      <c r="E135" s="14">
        <f>IF(ISNUMBER(D135), (D135 - $B135) / $B135, "")</f>
        <v>-4.1412911084043935E-2</v>
      </c>
      <c r="F135" s="16">
        <f>IF(ISNUMBER(D135), $B145 * E135, "")</f>
        <v>-4141.2911084043935</v>
      </c>
      <c r="G135" s="29">
        <v>7.38</v>
      </c>
      <c r="H135" s="14">
        <f>IF(ISNUMBER(G135), (G135 - $B135) / $B135, "")</f>
        <v>-0.10109622411693067</v>
      </c>
      <c r="I135" s="100">
        <f>IF(ISNUMBER(G135), $B145 * H135, "")</f>
        <v>-10109.622411693068</v>
      </c>
      <c r="J135" s="13">
        <v>7.68</v>
      </c>
      <c r="K135" s="14">
        <f>IF(ISNUMBER(J135), (J135 - $B135) / $B135, "")</f>
        <v>-6.4555420219244958E-2</v>
      </c>
      <c r="L135" s="16">
        <f>IF(ISNUMBER(J135), $B145 * K135, "")</f>
        <v>-6455.5420219244961</v>
      </c>
      <c r="M135" s="29">
        <v>7.51</v>
      </c>
      <c r="N135" s="14">
        <f>IF(ISNUMBER(M135), (M135 - $B135) / $B135, "")</f>
        <v>-8.526187576126687E-2</v>
      </c>
      <c r="O135" s="16">
        <f>IF(ISNUMBER(M135), $B145 * N135, "")</f>
        <v>-8526.1875761266874</v>
      </c>
      <c r="Q135" s="239"/>
      <c r="R135" s="240"/>
      <c r="S135" s="241"/>
    </row>
    <row r="136" spans="1:19" ht="17.25" thickBot="1">
      <c r="A136" s="162" t="s">
        <v>210</v>
      </c>
      <c r="B136" s="126">
        <v>85.2</v>
      </c>
      <c r="C136" s="77">
        <v>-0.1962264151</v>
      </c>
      <c r="D136" s="15">
        <v>75.900000000000006</v>
      </c>
      <c r="E136" s="32">
        <f t="shared" ref="E136:E139" si="70">IF(ISNUMBER(D136), (D136 - $B136) / $B136, "")</f>
        <v>-0.10915492957746475</v>
      </c>
      <c r="F136" s="18">
        <f>IF(ISNUMBER(D136), $B145 * E136, "")</f>
        <v>-10915.492957746475</v>
      </c>
      <c r="G136" s="31">
        <v>75</v>
      </c>
      <c r="H136" s="32">
        <f t="shared" ref="H136:H139" si="71">IF(ISNUMBER(G136), (G136 - $B136) / $B136, "")</f>
        <v>-0.11971830985915496</v>
      </c>
      <c r="I136" s="101">
        <f>IF(ISNUMBER(G136), $B145 * H136, "")</f>
        <v>-11971.830985915496</v>
      </c>
      <c r="J136" s="15">
        <v>75.5</v>
      </c>
      <c r="K136" s="32">
        <f t="shared" ref="K136:K139" si="72">IF(ISNUMBER(J136), (J136 - $B136) / $B136, "")</f>
        <v>-0.113849765258216</v>
      </c>
      <c r="L136" s="18">
        <f>IF(ISNUMBER(J136), $B145 * K136, "")</f>
        <v>-11384.976525821599</v>
      </c>
      <c r="M136" s="31">
        <v>75</v>
      </c>
      <c r="N136" s="32">
        <f t="shared" ref="N136:N139" si="73">IF(ISNUMBER(M136), (M136 - $B136) / $B136, "")</f>
        <v>-0.11971830985915496</v>
      </c>
      <c r="O136" s="18">
        <f>IF(ISNUMBER(M136), $B145 * N136, "")</f>
        <v>-11971.830985915496</v>
      </c>
      <c r="Q136" s="242"/>
      <c r="R136" s="243"/>
      <c r="S136" s="244"/>
    </row>
    <row r="137" spans="1:19" ht="17.25" thickBot="1">
      <c r="A137" s="162" t="s">
        <v>250</v>
      </c>
      <c r="B137" s="126">
        <v>58.8</v>
      </c>
      <c r="C137" s="77">
        <v>-0.1978171896</v>
      </c>
      <c r="D137" s="15">
        <v>52</v>
      </c>
      <c r="E137" s="32">
        <f t="shared" si="70"/>
        <v>-0.11564625850340132</v>
      </c>
      <c r="F137" s="18">
        <f>IF(ISNUMBER(D137), $B145 * E137, "")</f>
        <v>-11564.625850340131</v>
      </c>
      <c r="G137" s="31">
        <v>53.9</v>
      </c>
      <c r="H137" s="32">
        <f t="shared" si="71"/>
        <v>-8.3333333333333315E-2</v>
      </c>
      <c r="I137" s="101">
        <f>IF(ISNUMBER(G137), $B145 * H137, "")</f>
        <v>-8333.3333333333321</v>
      </c>
      <c r="J137" s="15">
        <v>53</v>
      </c>
      <c r="K137" s="32">
        <f t="shared" si="72"/>
        <v>-9.8639455782312882E-2</v>
      </c>
      <c r="L137" s="18">
        <f>IF(ISNUMBER(J137), $B145 * K137, "")</f>
        <v>-9863.9455782312889</v>
      </c>
      <c r="M137" s="31">
        <v>53</v>
      </c>
      <c r="N137" s="32">
        <f t="shared" si="73"/>
        <v>-9.8639455782312882E-2</v>
      </c>
      <c r="O137" s="18">
        <f>IF(ISNUMBER(M137), $B145 * N137, "")</f>
        <v>-9863.9455782312889</v>
      </c>
      <c r="Q137" s="235"/>
      <c r="R137" s="235"/>
      <c r="S137" s="235"/>
    </row>
    <row r="138" spans="1:19" ht="17.25" thickBot="1">
      <c r="A138" s="162" t="s">
        <v>214</v>
      </c>
      <c r="B138" s="126">
        <v>9.1199999999999992</v>
      </c>
      <c r="C138" s="77">
        <v>-0.2</v>
      </c>
      <c r="D138" s="15">
        <v>8.0299999999999994</v>
      </c>
      <c r="E138" s="32">
        <f t="shared" si="70"/>
        <v>-0.11951754385964912</v>
      </c>
      <c r="F138" s="18">
        <f>IF(ISNUMBER(D138), $B145 * E138, "")</f>
        <v>-11951.754385964912</v>
      </c>
      <c r="G138" s="31">
        <v>8.23</v>
      </c>
      <c r="H138" s="32">
        <f t="shared" si="71"/>
        <v>-9.7587719298245487E-2</v>
      </c>
      <c r="I138" s="101">
        <f>IF(ISNUMBER(G138), $B145 * H138, "")</f>
        <v>-9758.7719298245484</v>
      </c>
      <c r="J138" s="15">
        <v>8.15</v>
      </c>
      <c r="K138" s="32">
        <f t="shared" si="72"/>
        <v>-0.1063596491228069</v>
      </c>
      <c r="L138" s="18">
        <f>IF(ISNUMBER(J138), $B145 * K138, "")</f>
        <v>-10635.96491228069</v>
      </c>
      <c r="M138" s="31">
        <v>8.2200000000000006</v>
      </c>
      <c r="N138" s="32">
        <f t="shared" si="73"/>
        <v>-9.8684210526315638E-2</v>
      </c>
      <c r="O138" s="18">
        <f>IF(ISNUMBER(M138), $B145 * N138, "")</f>
        <v>-9868.4210526315637</v>
      </c>
      <c r="Q138" s="245"/>
      <c r="R138" s="245"/>
      <c r="S138" s="245"/>
    </row>
    <row r="139" spans="1:19" ht="17.25" thickBot="1">
      <c r="A139" s="163" t="s">
        <v>266</v>
      </c>
      <c r="B139" s="128">
        <v>56.6</v>
      </c>
      <c r="C139" s="78">
        <v>-0.2402684564</v>
      </c>
      <c r="D139" s="20">
        <v>51</v>
      </c>
      <c r="E139" s="21">
        <f t="shared" si="70"/>
        <v>-9.8939929328621931E-2</v>
      </c>
      <c r="F139" s="22">
        <f>IF(ISNUMBER(D139), $B145 * E139, "")</f>
        <v>-9893.9929328621929</v>
      </c>
      <c r="G139" s="30">
        <v>51.4</v>
      </c>
      <c r="H139" s="21">
        <f t="shared" si="71"/>
        <v>-9.1872791519434671E-2</v>
      </c>
      <c r="I139" s="105">
        <f>IF(ISNUMBER(G139), $B145 * H139, "")</f>
        <v>-9187.2791519434668</v>
      </c>
      <c r="J139" s="20">
        <v>50.9</v>
      </c>
      <c r="K139" s="21">
        <f t="shared" si="72"/>
        <v>-0.10070671378091878</v>
      </c>
      <c r="L139" s="22">
        <f>IF(ISNUMBER(J139), $B145 * K139, "")</f>
        <v>-10070.671378091878</v>
      </c>
      <c r="M139" s="30">
        <v>50.5</v>
      </c>
      <c r="N139" s="21">
        <f t="shared" si="73"/>
        <v>-0.10777385159010602</v>
      </c>
      <c r="O139" s="22">
        <f>IF(ISNUMBER(M139), $B145 * N139, "")</f>
        <v>-10777.385159010602</v>
      </c>
      <c r="Q139" s="245"/>
      <c r="R139" s="245"/>
      <c r="S139" s="245"/>
    </row>
    <row r="140" spans="1:19" ht="17.25" thickBot="1">
      <c r="A140" s="162" t="s">
        <v>236</v>
      </c>
      <c r="B140" s="129">
        <v>21.8</v>
      </c>
      <c r="C140" s="80">
        <v>-0.31230283910000001</v>
      </c>
      <c r="D140" s="106">
        <v>16.399999999999999</v>
      </c>
      <c r="E140" s="107">
        <f>IF(ISNUMBER(D140), (D140 - $B140) / $B140, "")</f>
        <v>-0.24770642201834872</v>
      </c>
      <c r="F140" s="108">
        <f>IF(ISNUMBER(D140), $B145 * E140, "")</f>
        <v>-24770.642201834871</v>
      </c>
      <c r="G140" s="109">
        <v>16.8</v>
      </c>
      <c r="H140" s="107">
        <f>IF(ISNUMBER(G140), (G140 - $B140) / $B140, "")</f>
        <v>-0.2293577981651376</v>
      </c>
      <c r="I140" s="110">
        <f>IF(ISNUMBER(G140), $B145 * H140, "")</f>
        <v>-22935.779816513761</v>
      </c>
      <c r="J140" s="106">
        <v>16.7</v>
      </c>
      <c r="K140" s="107">
        <f>IF(ISNUMBER(J140), (J140 - $B140) / $B140, "")</f>
        <v>-0.23394495412844044</v>
      </c>
      <c r="L140" s="108">
        <f>IF(ISNUMBER(J140), $B145 * K140, "")</f>
        <v>-23394.495412844044</v>
      </c>
      <c r="M140" s="109">
        <v>16.899999999999999</v>
      </c>
      <c r="N140" s="107">
        <f>IF(ISNUMBER(M140), (M140 - $B140) / $B140, "")</f>
        <v>-0.22477064220183496</v>
      </c>
      <c r="O140" s="108">
        <f>IF(ISNUMBER(M140), $B145 * N140, "")</f>
        <v>-22477.064220183496</v>
      </c>
      <c r="Q140" s="235"/>
      <c r="R140" s="235"/>
      <c r="S140" s="235"/>
    </row>
    <row r="141" spans="1:19" ht="17.25" thickBot="1">
      <c r="A141" s="162" t="s">
        <v>218</v>
      </c>
      <c r="B141" s="126">
        <v>5.68</v>
      </c>
      <c r="C141" s="77">
        <v>-0.31566265059999998</v>
      </c>
      <c r="D141" s="15">
        <v>4.5599999999999996</v>
      </c>
      <c r="E141" s="32">
        <f t="shared" ref="E141:E144" si="74">IF(ISNUMBER(D141), (D141 - $B141) / $B141, "")</f>
        <v>-0.19718309859154931</v>
      </c>
      <c r="F141" s="18">
        <f>IF(ISNUMBER(D141), $B145 * E141, "")</f>
        <v>-19718.309859154931</v>
      </c>
      <c r="G141" s="31">
        <v>4.8499999999999996</v>
      </c>
      <c r="H141" s="32">
        <f t="shared" ref="H141:H144" si="75">IF(ISNUMBER(G141), (G141 - $B141) / $B141, "")</f>
        <v>-0.14612676056338031</v>
      </c>
      <c r="I141" s="101">
        <f>IF(ISNUMBER(G141), $B145 * H141, "")</f>
        <v>-14612.67605633803</v>
      </c>
      <c r="J141" s="15">
        <v>4.84</v>
      </c>
      <c r="K141" s="32">
        <f t="shared" ref="K141:K144" si="76">IF(ISNUMBER(J141), (J141 - $B141) / $B141, "")</f>
        <v>-0.14788732394366194</v>
      </c>
      <c r="L141" s="18">
        <f>IF(ISNUMBER(J141), $B145 * K141, "")</f>
        <v>-14788.732394366194</v>
      </c>
      <c r="M141" s="31">
        <v>4.8499999999999996</v>
      </c>
      <c r="N141" s="32">
        <f t="shared" ref="N141:N144" si="77">IF(ISNUMBER(M141), (M141 - $B141) / $B141, "")</f>
        <v>-0.14612676056338031</v>
      </c>
      <c r="O141" s="18">
        <f>IF(ISNUMBER(M141), $B145 * N141, "")</f>
        <v>-14612.67605633803</v>
      </c>
      <c r="Q141" s="235"/>
      <c r="R141" s="235"/>
      <c r="S141" s="235"/>
    </row>
    <row r="142" spans="1:19" ht="17.25" thickBot="1">
      <c r="A142" s="162" t="s">
        <v>254</v>
      </c>
      <c r="B142" s="126">
        <v>22.5</v>
      </c>
      <c r="C142" s="77">
        <v>-0.31610942250000001</v>
      </c>
      <c r="D142" s="15">
        <v>17.100000000000001</v>
      </c>
      <c r="E142" s="32">
        <f t="shared" si="74"/>
        <v>-0.23999999999999994</v>
      </c>
      <c r="F142" s="18">
        <f>IF(ISNUMBER(D142), $B145 * E142, "")</f>
        <v>-23999.999999999993</v>
      </c>
      <c r="G142" s="31">
        <v>18.600000000000001</v>
      </c>
      <c r="H142" s="32">
        <f t="shared" si="75"/>
        <v>-0.17333333333333328</v>
      </c>
      <c r="I142" s="101">
        <f>IF(ISNUMBER(G142), $B145 * H142, "")</f>
        <v>-17333.333333333328</v>
      </c>
      <c r="J142" s="15">
        <v>18</v>
      </c>
      <c r="K142" s="32">
        <f t="shared" si="76"/>
        <v>-0.2</v>
      </c>
      <c r="L142" s="18">
        <f>IF(ISNUMBER(J142), $B145 * K142, "")</f>
        <v>-20000</v>
      </c>
      <c r="M142" s="31">
        <v>17.899999999999999</v>
      </c>
      <c r="N142" s="32">
        <f t="shared" si="77"/>
        <v>-0.20444444444444451</v>
      </c>
      <c r="O142" s="18">
        <f>IF(ISNUMBER(M142), $B145 * N142, "")</f>
        <v>-20444.444444444453</v>
      </c>
      <c r="Q142" s="235"/>
      <c r="R142" s="235"/>
      <c r="S142" s="235"/>
    </row>
    <row r="143" spans="1:19">
      <c r="A143" s="162" t="s">
        <v>122</v>
      </c>
      <c r="B143" s="126">
        <v>27</v>
      </c>
      <c r="C143" s="77">
        <v>-0.3198992443</v>
      </c>
      <c r="D143" s="15">
        <v>19.8</v>
      </c>
      <c r="E143" s="32">
        <f t="shared" si="74"/>
        <v>-0.26666666666666666</v>
      </c>
      <c r="F143" s="18">
        <f>IF(ISNUMBER(D143), $B145 * E143, "")</f>
        <v>-26666.666666666668</v>
      </c>
      <c r="G143" s="31">
        <v>21</v>
      </c>
      <c r="H143" s="32">
        <f t="shared" si="75"/>
        <v>-0.22222222222222221</v>
      </c>
      <c r="I143" s="101">
        <f>IF(ISNUMBER(G143), $B145 * H143, "")</f>
        <v>-22222.222222222223</v>
      </c>
      <c r="J143" s="15">
        <v>20.7</v>
      </c>
      <c r="K143" s="32">
        <f t="shared" si="76"/>
        <v>-0.23333333333333336</v>
      </c>
      <c r="L143" s="18">
        <f>IF(ISNUMBER(J143), $B145 * K143, "")</f>
        <v>-23333.333333333336</v>
      </c>
      <c r="M143" s="31">
        <v>20.8</v>
      </c>
      <c r="N143" s="32">
        <f t="shared" si="77"/>
        <v>-0.2296296296296296</v>
      </c>
      <c r="O143" s="18">
        <f>IF(ISNUMBER(M143), $B145 * N143, "")</f>
        <v>-22962.96296296296</v>
      </c>
      <c r="Q143" s="224"/>
      <c r="R143" s="225"/>
      <c r="S143" s="226"/>
    </row>
    <row r="144" spans="1:19" ht="17.25" thickBot="1">
      <c r="A144" s="130" t="s">
        <v>172</v>
      </c>
      <c r="B144" s="131">
        <v>5.4</v>
      </c>
      <c r="C144" s="79">
        <v>-0.32075471700000002</v>
      </c>
      <c r="D144" s="24">
        <v>4.21</v>
      </c>
      <c r="E144" s="25">
        <f t="shared" si="74"/>
        <v>-0.22037037037037044</v>
      </c>
      <c r="F144" s="104">
        <f>IF(ISNUMBER(D144), $B145 * E144, "")</f>
        <v>-22037.037037037044</v>
      </c>
      <c r="G144" s="102">
        <v>4.5999999999999996</v>
      </c>
      <c r="H144" s="25">
        <f t="shared" si="75"/>
        <v>-0.14814814814814828</v>
      </c>
      <c r="I144" s="103">
        <f>IF(ISNUMBER(G144), $B145 * H144, "")</f>
        <v>-14814.814814814828</v>
      </c>
      <c r="J144" s="24">
        <v>4.38</v>
      </c>
      <c r="K144" s="25">
        <f t="shared" si="76"/>
        <v>-0.18888888888888897</v>
      </c>
      <c r="L144" s="104">
        <f>IF(ISNUMBER(J144), $B145 * K144, "")</f>
        <v>-18888.888888888898</v>
      </c>
      <c r="M144" s="102">
        <v>4.4400000000000004</v>
      </c>
      <c r="N144" s="25">
        <f t="shared" si="77"/>
        <v>-0.17777777777777776</v>
      </c>
      <c r="O144" s="104">
        <f>IF(ISNUMBER(M144), $B145 * N144, "")</f>
        <v>-17777.777777777777</v>
      </c>
      <c r="Q144" s="227"/>
      <c r="R144" s="228"/>
      <c r="S144" s="229"/>
    </row>
    <row r="145" spans="1:19" ht="17.25" thickBot="1">
      <c r="A145" s="132" t="s">
        <v>300</v>
      </c>
      <c r="B145" s="288">
        <f>$B$37</f>
        <v>100000</v>
      </c>
      <c r="C145" s="289"/>
      <c r="D145" s="26" t="s">
        <v>301</v>
      </c>
      <c r="E145" s="27">
        <f>IF(COUNT(E125:E144), SUM(E125:E144) / COUNT(E125:E144), 0)</f>
        <v>-0.12753966233724087</v>
      </c>
      <c r="F145" s="28">
        <f>SUM(F125:F144)</f>
        <v>-255079.32467448176</v>
      </c>
      <c r="G145" s="26" t="s">
        <v>301</v>
      </c>
      <c r="H145" s="27">
        <f>IF(COUNT(H125:H144), SUM(H125:H144) / COUNT(H125:H144), 0)</f>
        <v>-0.10912567239109638</v>
      </c>
      <c r="I145" s="28">
        <f>SUM(I125:I144)</f>
        <v>-218251.34478219275</v>
      </c>
      <c r="J145" s="26" t="s">
        <v>301</v>
      </c>
      <c r="K145" s="27">
        <f>IF(COUNT(K125:K144), SUM(K125:K144) / COUNT(K125:K144), 0)</f>
        <v>-0.11387724687764607</v>
      </c>
      <c r="L145" s="28">
        <f>SUM(L125:L144)</f>
        <v>-227754.49375529218</v>
      </c>
      <c r="M145" s="26" t="s">
        <v>301</v>
      </c>
      <c r="N145" s="27">
        <f>IF(COUNT(N125:N144), SUM(N125:N144) / COUNT(N125:N144), 0)</f>
        <v>-0.11268963189003907</v>
      </c>
      <c r="O145" s="28">
        <f>SUM(O125:O144)</f>
        <v>-225379.26378007815</v>
      </c>
      <c r="Q145" s="230"/>
      <c r="R145" s="231"/>
      <c r="S145" s="232"/>
    </row>
    <row r="147" spans="1:19" ht="17.25" thickBot="1"/>
    <row r="148" spans="1:19" ht="17.25" thickBot="1">
      <c r="A148" s="246" t="s">
        <v>289</v>
      </c>
      <c r="B148" s="247"/>
      <c r="C148" s="247"/>
      <c r="D148" s="247"/>
      <c r="E148" s="247"/>
      <c r="F148" s="247"/>
      <c r="G148" s="247"/>
      <c r="H148" s="247"/>
      <c r="I148" s="247"/>
      <c r="J148" s="247"/>
      <c r="K148" s="247"/>
      <c r="L148" s="247"/>
      <c r="M148" s="247"/>
      <c r="N148" s="247"/>
      <c r="O148" s="248"/>
      <c r="Q148" s="245"/>
      <c r="R148" s="245"/>
      <c r="S148" s="245"/>
    </row>
    <row r="149" spans="1:19" ht="17.25" thickBot="1">
      <c r="A149" s="208" t="s">
        <v>297</v>
      </c>
      <c r="B149" s="246" t="s">
        <v>49</v>
      </c>
      <c r="C149" s="248"/>
      <c r="D149" s="246" t="s">
        <v>58</v>
      </c>
      <c r="E149" s="247"/>
      <c r="F149" s="248"/>
      <c r="G149" s="249">
        <f>_xlfn.IFNA(VLOOKUP(B149, 현재가테이블!$B$2:$D$200, 2, FALSE), "-")</f>
        <v>45335000</v>
      </c>
      <c r="H149" s="250"/>
      <c r="I149" s="251"/>
      <c r="J149" s="246" t="s">
        <v>59</v>
      </c>
      <c r="K149" s="247"/>
      <c r="L149" s="248"/>
      <c r="M149" s="252">
        <f>_xlfn.IFNA(VLOOKUP(B149, 현재가테이블!$B$2:$D$200, 3, FALSE), "-")</f>
        <v>-2.27209037E-2</v>
      </c>
      <c r="N149" s="253"/>
      <c r="O149" s="254"/>
      <c r="Q149" s="245"/>
      <c r="R149" s="245"/>
      <c r="S149" s="245"/>
    </row>
    <row r="150" spans="1:19" ht="17.25" thickBot="1">
      <c r="A150" s="290" t="s">
        <v>55</v>
      </c>
      <c r="B150" s="286" t="str">
        <f>TEXT($G$1, "[$-ko-KR]yyyy-mm-dd(ddd) ") &amp; "오전 00:00"</f>
        <v>2021-06-13(일) 오전 00:00</v>
      </c>
      <c r="C150" s="287"/>
      <c r="D150" s="259" t="str">
        <f>TEXT($G$1, "[$-ko-KR]yyyy-mm-dd(ddd) ") &amp; "오후 14:00"</f>
        <v>2021-06-13(일) 오후 14:00</v>
      </c>
      <c r="E150" s="260"/>
      <c r="F150" s="261"/>
      <c r="G150" s="259" t="str">
        <f>TEXT($G$1, "[$-ko-KR]yyyy-mm-dd(ddd) ") &amp; "오후 19:00"</f>
        <v>2021-06-13(일) 오후 19:00</v>
      </c>
      <c r="H150" s="260"/>
      <c r="I150" s="261"/>
      <c r="J150" s="259" t="str">
        <f>TEXT($G$1, "[$-ko-KR]yyyy-mm-dd(ddd) ") &amp; "오후 21:00"</f>
        <v>2021-06-13(일) 오후 21:00</v>
      </c>
      <c r="K150" s="260"/>
      <c r="L150" s="261"/>
      <c r="M150" s="259" t="str">
        <f>TEXT($G$1+1, "[$-ko-KR]yyyy-mm-dd(ddd) ") &amp; "오전 00:00"</f>
        <v>2021-06-14(월) 오전 00:00</v>
      </c>
      <c r="N150" s="260"/>
      <c r="O150" s="261"/>
      <c r="Q150" s="245"/>
      <c r="R150" s="245"/>
      <c r="S150" s="245"/>
    </row>
    <row r="151" spans="1:19" ht="17.25" thickBot="1">
      <c r="A151" s="291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209" t="s">
        <v>58</v>
      </c>
      <c r="H151" s="210" t="s">
        <v>298</v>
      </c>
      <c r="I151" s="211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5"/>
      <c r="R151" s="235"/>
      <c r="S151" s="235"/>
    </row>
    <row r="152" spans="1:19" ht="17.25" thickBot="1">
      <c r="A152" s="161" t="s">
        <v>284</v>
      </c>
      <c r="B152" s="124">
        <v>197</v>
      </c>
      <c r="C152" s="76">
        <v>-7.5117370899999994E-2</v>
      </c>
      <c r="D152" s="13">
        <v>187</v>
      </c>
      <c r="E152" s="14">
        <f>IF(ISNUMBER(D152), (D152 - $B152) / $B152, "")</f>
        <v>-5.0761421319796954E-2</v>
      </c>
      <c r="F152" s="16">
        <f>IF(ISNUMBER(D152), $B172 * E152, "")</f>
        <v>-5076.1421319796955</v>
      </c>
      <c r="G152" s="29">
        <v>188</v>
      </c>
      <c r="H152" s="14">
        <f>IF(ISNUMBER(G152), (G152 - $B152) / $B152, "")</f>
        <v>-4.5685279187817257E-2</v>
      </c>
      <c r="I152" s="100">
        <f>IF(ISNUMBER(G152), $B172 * H152, "")</f>
        <v>-4568.5279187817259</v>
      </c>
      <c r="J152" s="13">
        <v>187</v>
      </c>
      <c r="K152" s="14">
        <f>IF(ISNUMBER(J152), (J152 - $B152) / $B152, "")</f>
        <v>-5.0761421319796954E-2</v>
      </c>
      <c r="L152" s="16">
        <f>IF(ISNUMBER(J152), $B172 * K152, "")</f>
        <v>-5076.1421319796955</v>
      </c>
      <c r="M152" s="29">
        <v>185</v>
      </c>
      <c r="N152" s="14">
        <f>IF(ISNUMBER(M152), (M152 - $B152) / $B152, "")</f>
        <v>-6.0913705583756347E-2</v>
      </c>
      <c r="O152" s="16">
        <f>IF(ISNUMBER(M152), $B172 * N152, "")</f>
        <v>-6091.3705583756346</v>
      </c>
      <c r="Q152" s="245"/>
      <c r="R152" s="245"/>
      <c r="S152" s="245"/>
    </row>
    <row r="153" spans="1:19" ht="17.25" thickBot="1">
      <c r="A153" s="162" t="s">
        <v>54</v>
      </c>
      <c r="B153" s="126">
        <v>216</v>
      </c>
      <c r="C153" s="77">
        <v>-8.0851063799999998E-2</v>
      </c>
      <c r="D153" s="15">
        <v>213</v>
      </c>
      <c r="E153" s="32">
        <f t="shared" ref="E153:E156" si="78">IF(ISNUMBER(D153), (D153 - $B153) / $B153, "")</f>
        <v>-1.3888888888888888E-2</v>
      </c>
      <c r="F153" s="18">
        <f>IF(ISNUMBER(D153), $B172 * E153, "")</f>
        <v>-1388.8888888888889</v>
      </c>
      <c r="G153" s="31">
        <v>215</v>
      </c>
      <c r="H153" s="32">
        <f t="shared" ref="H153:H156" si="79">IF(ISNUMBER(G153), (G153 - $B153) / $B153, "")</f>
        <v>-4.6296296296296294E-3</v>
      </c>
      <c r="I153" s="101">
        <f>IF(ISNUMBER(G153), $B172 * H153, "")</f>
        <v>-462.96296296296293</v>
      </c>
      <c r="J153" s="15">
        <v>214</v>
      </c>
      <c r="K153" s="32">
        <f t="shared" ref="K153:K156" si="80">IF(ISNUMBER(J153), (J153 - $B153) / $B153, "")</f>
        <v>-9.2592592592592587E-3</v>
      </c>
      <c r="L153" s="18">
        <f>IF(ISNUMBER(J153), $B172 * K153, "")</f>
        <v>-925.92592592592587</v>
      </c>
      <c r="M153" s="31">
        <v>211</v>
      </c>
      <c r="N153" s="32">
        <f t="shared" ref="N153:N156" si="81">IF(ISNUMBER(M153), (M153 - $B153) / $B153, "")</f>
        <v>-2.3148148148148147E-2</v>
      </c>
      <c r="O153" s="18">
        <f>IF(ISNUMBER(M153), $B172 * N153, "")</f>
        <v>-2314.8148148148148</v>
      </c>
      <c r="Q153" s="245"/>
      <c r="R153" s="245"/>
      <c r="S153" s="245"/>
    </row>
    <row r="154" spans="1:19" ht="17.25" thickBot="1">
      <c r="A154" s="162" t="s">
        <v>258</v>
      </c>
      <c r="B154" s="126">
        <v>380</v>
      </c>
      <c r="C154" s="77">
        <v>-8.2125603899999997E-2</v>
      </c>
      <c r="D154" s="15">
        <v>387</v>
      </c>
      <c r="E154" s="32">
        <f t="shared" si="78"/>
        <v>1.8421052631578946E-2</v>
      </c>
      <c r="F154" s="18">
        <f>IF(ISNUMBER(D154), $B172 * E154, "")</f>
        <v>1842.1052631578946</v>
      </c>
      <c r="G154" s="31">
        <v>401</v>
      </c>
      <c r="H154" s="32">
        <f t="shared" si="79"/>
        <v>5.526315789473684E-2</v>
      </c>
      <c r="I154" s="101">
        <f>IF(ISNUMBER(G154), $B172 * H154, "")</f>
        <v>5526.3157894736842</v>
      </c>
      <c r="J154" s="15">
        <v>448</v>
      </c>
      <c r="K154" s="32">
        <f t="shared" si="80"/>
        <v>0.17894736842105263</v>
      </c>
      <c r="L154" s="18">
        <f>IF(ISNUMBER(J154), $B172 * K154, "")</f>
        <v>17894.736842105263</v>
      </c>
      <c r="M154" s="31">
        <v>409</v>
      </c>
      <c r="N154" s="32">
        <f t="shared" si="81"/>
        <v>7.6315789473684212E-2</v>
      </c>
      <c r="O154" s="18">
        <f>IF(ISNUMBER(M154), $B172 * N154, "")</f>
        <v>7631.5789473684208</v>
      </c>
      <c r="Q154" s="235"/>
      <c r="R154" s="235"/>
      <c r="S154" s="235"/>
    </row>
    <row r="155" spans="1:19" ht="17.25" thickBot="1">
      <c r="A155" s="162" t="s">
        <v>216</v>
      </c>
      <c r="B155" s="126">
        <v>231</v>
      </c>
      <c r="C155" s="77">
        <v>-8.6956521699999997E-2</v>
      </c>
      <c r="D155" s="15">
        <v>244</v>
      </c>
      <c r="E155" s="32">
        <f t="shared" si="78"/>
        <v>5.627705627705628E-2</v>
      </c>
      <c r="F155" s="18">
        <f>IF(ISNUMBER(D155), $B172 * E155, "")</f>
        <v>5627.7056277056281</v>
      </c>
      <c r="G155" s="31">
        <v>252</v>
      </c>
      <c r="H155" s="32">
        <f t="shared" si="79"/>
        <v>9.0909090909090912E-2</v>
      </c>
      <c r="I155" s="101">
        <f>IF(ISNUMBER(G155), $B172 * H155, "")</f>
        <v>9090.9090909090919</v>
      </c>
      <c r="J155" s="15">
        <v>252</v>
      </c>
      <c r="K155" s="32">
        <f t="shared" si="80"/>
        <v>9.0909090909090912E-2</v>
      </c>
      <c r="L155" s="18">
        <f>IF(ISNUMBER(J155), $B172 * K155, "")</f>
        <v>9090.9090909090919</v>
      </c>
      <c r="M155" s="31">
        <v>250</v>
      </c>
      <c r="N155" s="32">
        <f t="shared" si="81"/>
        <v>8.2251082251082255E-2</v>
      </c>
      <c r="O155" s="18">
        <f>IF(ISNUMBER(M155), $B172 * N155, "")</f>
        <v>8225.1082251082262</v>
      </c>
      <c r="Q155" s="235"/>
      <c r="R155" s="235"/>
      <c r="S155" s="235"/>
    </row>
    <row r="156" spans="1:19" ht="17.25" thickBot="1">
      <c r="A156" s="163" t="s">
        <v>170</v>
      </c>
      <c r="B156" s="128">
        <v>237</v>
      </c>
      <c r="C156" s="78">
        <v>-9.5419847299999999E-2</v>
      </c>
      <c r="D156" s="20">
        <v>231</v>
      </c>
      <c r="E156" s="21">
        <f t="shared" si="78"/>
        <v>-2.5316455696202531E-2</v>
      </c>
      <c r="F156" s="22">
        <f>IF(ISNUMBER(D156), $B172 * E156, "")</f>
        <v>-2531.6455696202529</v>
      </c>
      <c r="G156" s="30">
        <v>232</v>
      </c>
      <c r="H156" s="21">
        <f t="shared" si="79"/>
        <v>-2.1097046413502109E-2</v>
      </c>
      <c r="I156" s="105">
        <f>IF(ISNUMBER(G156), $B172 * H156, "")</f>
        <v>-2109.7046413502107</v>
      </c>
      <c r="J156" s="20">
        <v>232</v>
      </c>
      <c r="K156" s="21">
        <f t="shared" si="80"/>
        <v>-2.1097046413502109E-2</v>
      </c>
      <c r="L156" s="22">
        <f>IF(ISNUMBER(J156), $B172 * K156, "")</f>
        <v>-2109.7046413502107</v>
      </c>
      <c r="M156" s="30">
        <v>256</v>
      </c>
      <c r="N156" s="21">
        <f t="shared" si="81"/>
        <v>8.0168776371308023E-2</v>
      </c>
      <c r="O156" s="22">
        <f>IF(ISNUMBER(M156), $B172 * N156, "")</f>
        <v>8016.8776371308022</v>
      </c>
      <c r="Q156" s="235"/>
      <c r="R156" s="235"/>
      <c r="S156" s="235"/>
    </row>
    <row r="157" spans="1:19" ht="17.25" thickBot="1">
      <c r="A157" s="162" t="s">
        <v>192</v>
      </c>
      <c r="B157" s="129">
        <v>909</v>
      </c>
      <c r="C157" s="80">
        <v>-9.5522388099999994E-2</v>
      </c>
      <c r="D157" s="106">
        <v>976</v>
      </c>
      <c r="E157" s="107">
        <f>IF(ISNUMBER(D157), (D157 - $B157) / $B157, "")</f>
        <v>7.3707370737073702E-2</v>
      </c>
      <c r="F157" s="108">
        <f>IF(ISNUMBER(D157), $B172 * E157, "")</f>
        <v>7370.7370737073697</v>
      </c>
      <c r="G157" s="109">
        <v>973</v>
      </c>
      <c r="H157" s="107">
        <f>IF(ISNUMBER(G157), (G157 - $B157) / $B157, "")</f>
        <v>7.0407040704070403E-2</v>
      </c>
      <c r="I157" s="110">
        <f>IF(ISNUMBER(G157), $B172 * H157, "")</f>
        <v>7040.7040704070405</v>
      </c>
      <c r="J157" s="106">
        <v>979</v>
      </c>
      <c r="K157" s="107">
        <f>IF(ISNUMBER(J157), (J157 - $B157) / $B157, "")</f>
        <v>7.7007700770077014E-2</v>
      </c>
      <c r="L157" s="108">
        <f>IF(ISNUMBER(J157), $B172 * K157, "")</f>
        <v>7700.7700770077017</v>
      </c>
      <c r="M157" s="109">
        <v>957</v>
      </c>
      <c r="N157" s="107">
        <f>IF(ISNUMBER(M157), (M157 - $B157) / $B157, "")</f>
        <v>5.2805280528052806E-2</v>
      </c>
      <c r="O157" s="108">
        <f>IF(ISNUMBER(M157), $B172 * N157, "")</f>
        <v>5280.5280528052808</v>
      </c>
      <c r="Q157" s="235"/>
      <c r="R157" s="235"/>
      <c r="S157" s="235"/>
    </row>
    <row r="158" spans="1:19" ht="17.25" thickBot="1">
      <c r="A158" s="162" t="s">
        <v>182</v>
      </c>
      <c r="B158" s="126">
        <v>226</v>
      </c>
      <c r="C158" s="77">
        <v>-9.6000000000000002E-2</v>
      </c>
      <c r="D158" s="15">
        <v>221</v>
      </c>
      <c r="E158" s="32">
        <f t="shared" ref="E158:E161" si="82">IF(ISNUMBER(D158), (D158 - $B158) / $B158, "")</f>
        <v>-2.2123893805309734E-2</v>
      </c>
      <c r="F158" s="18">
        <f>IF(ISNUMBER(D158), $B172 * E158, "")</f>
        <v>-2212.3893805309735</v>
      </c>
      <c r="G158" s="31">
        <v>225</v>
      </c>
      <c r="H158" s="32">
        <f t="shared" ref="H158:H161" si="83">IF(ISNUMBER(G158), (G158 - $B158) / $B158, "")</f>
        <v>-4.4247787610619468E-3</v>
      </c>
      <c r="I158" s="101">
        <f>IF(ISNUMBER(G158), $B172 * H158, "")</f>
        <v>-442.47787610619469</v>
      </c>
      <c r="J158" s="15">
        <v>225</v>
      </c>
      <c r="K158" s="32">
        <f t="shared" ref="K158:K161" si="84">IF(ISNUMBER(J158), (J158 - $B158) / $B158, "")</f>
        <v>-4.4247787610619468E-3</v>
      </c>
      <c r="L158" s="18">
        <f>IF(ISNUMBER(J158), $B172 * K158, "")</f>
        <v>-442.47787610619469</v>
      </c>
      <c r="M158" s="31">
        <v>222</v>
      </c>
      <c r="N158" s="32">
        <f t="shared" ref="N158:N161" si="85">IF(ISNUMBER(M158), (M158 - $B158) / $B158, "")</f>
        <v>-1.7699115044247787E-2</v>
      </c>
      <c r="O158" s="18">
        <f>IF(ISNUMBER(M158), $B172 * N158, "")</f>
        <v>-1769.9115044247787</v>
      </c>
      <c r="Q158" s="235"/>
      <c r="R158" s="235"/>
      <c r="S158" s="235"/>
    </row>
    <row r="159" spans="1:19" ht="17.25" thickBot="1">
      <c r="A159" s="162" t="s">
        <v>256</v>
      </c>
      <c r="B159" s="126">
        <v>138</v>
      </c>
      <c r="C159" s="77">
        <v>-9.8039215700000001E-2</v>
      </c>
      <c r="D159" s="15">
        <v>132</v>
      </c>
      <c r="E159" s="32">
        <f t="shared" si="82"/>
        <v>-4.3478260869565216E-2</v>
      </c>
      <c r="F159" s="18">
        <f>IF(ISNUMBER(D159), $B172 * E159, "")</f>
        <v>-4347.826086956522</v>
      </c>
      <c r="G159" s="31">
        <v>133</v>
      </c>
      <c r="H159" s="32">
        <f t="shared" si="83"/>
        <v>-3.6231884057971016E-2</v>
      </c>
      <c r="I159" s="101">
        <f>IF(ISNUMBER(G159), $B172 * H159, "")</f>
        <v>-3623.1884057971015</v>
      </c>
      <c r="J159" s="15">
        <v>135</v>
      </c>
      <c r="K159" s="32">
        <f t="shared" si="84"/>
        <v>-2.1739130434782608E-2</v>
      </c>
      <c r="L159" s="18">
        <f>IF(ISNUMBER(J159), $B172 * K159, "")</f>
        <v>-2173.913043478261</v>
      </c>
      <c r="M159" s="31">
        <v>135</v>
      </c>
      <c r="N159" s="32">
        <f t="shared" si="85"/>
        <v>-2.1739130434782608E-2</v>
      </c>
      <c r="O159" s="18">
        <f>IF(ISNUMBER(M159), $B172 * N159, "")</f>
        <v>-2173.913043478261</v>
      </c>
      <c r="Q159" s="235"/>
      <c r="R159" s="235"/>
      <c r="S159" s="235"/>
    </row>
    <row r="160" spans="1:19" ht="17.25" thickBot="1">
      <c r="A160" s="162" t="s">
        <v>246</v>
      </c>
      <c r="B160" s="126">
        <v>236</v>
      </c>
      <c r="C160" s="77">
        <v>-9.9236641200000003E-2</v>
      </c>
      <c r="D160" s="15">
        <v>248</v>
      </c>
      <c r="E160" s="32">
        <f t="shared" si="82"/>
        <v>5.0847457627118647E-2</v>
      </c>
      <c r="F160" s="18">
        <f>IF(ISNUMBER(D160), $B172 * E160, "")</f>
        <v>5084.7457627118647</v>
      </c>
      <c r="G160" s="31">
        <v>253</v>
      </c>
      <c r="H160" s="32">
        <f t="shared" si="83"/>
        <v>7.2033898305084748E-2</v>
      </c>
      <c r="I160" s="101">
        <f>IF(ISNUMBER(G160), $B172 * H160, "")</f>
        <v>7203.3898305084749</v>
      </c>
      <c r="J160" s="15">
        <v>251</v>
      </c>
      <c r="K160" s="32">
        <f t="shared" si="84"/>
        <v>6.3559322033898302E-2</v>
      </c>
      <c r="L160" s="18">
        <f>IF(ISNUMBER(J160), $B172 * K160, "")</f>
        <v>6355.9322033898306</v>
      </c>
      <c r="M160" s="31">
        <v>250</v>
      </c>
      <c r="N160" s="32">
        <f t="shared" si="85"/>
        <v>5.9322033898305086E-2</v>
      </c>
      <c r="O160" s="18">
        <f>IF(ISNUMBER(M160), $B172 * N160, "")</f>
        <v>5932.203389830509</v>
      </c>
      <c r="Q160" s="33"/>
      <c r="R160" s="33"/>
    </row>
    <row r="161" spans="1:19" ht="17.25" thickBot="1">
      <c r="A161" s="130" t="s">
        <v>200</v>
      </c>
      <c r="B161" s="131">
        <v>151</v>
      </c>
      <c r="C161" s="79">
        <v>-0.12716763010000001</v>
      </c>
      <c r="D161" s="24">
        <v>158</v>
      </c>
      <c r="E161" s="25">
        <f t="shared" si="82"/>
        <v>4.6357615894039736E-2</v>
      </c>
      <c r="F161" s="104">
        <f>IF(ISNUMBER(D161), $B172 * E161, "")</f>
        <v>4635.7615894039736</v>
      </c>
      <c r="G161" s="102">
        <v>161</v>
      </c>
      <c r="H161" s="25">
        <f t="shared" si="83"/>
        <v>6.6225165562913912E-2</v>
      </c>
      <c r="I161" s="103">
        <f>IF(ISNUMBER(G161), $B172 * H161, "")</f>
        <v>6622.5165562913917</v>
      </c>
      <c r="J161" s="24">
        <v>161</v>
      </c>
      <c r="K161" s="25">
        <f t="shared" si="84"/>
        <v>6.6225165562913912E-2</v>
      </c>
      <c r="L161" s="104">
        <f>IF(ISNUMBER(J161), $B172 * K161, "")</f>
        <v>6622.5165562913917</v>
      </c>
      <c r="M161" s="102">
        <v>160</v>
      </c>
      <c r="N161" s="25">
        <f t="shared" si="85"/>
        <v>5.9602649006622516E-2</v>
      </c>
      <c r="O161" s="104">
        <f>IF(ISNUMBER(M161), $B172 * N161, "")</f>
        <v>5960.2649006622514</v>
      </c>
      <c r="Q161" s="236"/>
      <c r="R161" s="237"/>
      <c r="S161" s="238"/>
    </row>
    <row r="162" spans="1:19">
      <c r="A162" s="161" t="s">
        <v>116</v>
      </c>
      <c r="B162" s="124">
        <v>313</v>
      </c>
      <c r="C162" s="76">
        <v>-0.13055555560000001</v>
      </c>
      <c r="D162" s="13">
        <v>303</v>
      </c>
      <c r="E162" s="14">
        <f>IF(ISNUMBER(D162), (D162 - $B162) / $B162, "")</f>
        <v>-3.1948881789137379E-2</v>
      </c>
      <c r="F162" s="16">
        <f>IF(ISNUMBER(D162), $B172 * E162, "")</f>
        <v>-3194.8881789137381</v>
      </c>
      <c r="G162" s="29">
        <v>305</v>
      </c>
      <c r="H162" s="14">
        <f>IF(ISNUMBER(G162), (G162 - $B162) / $B162, "")</f>
        <v>-2.5559105431309903E-2</v>
      </c>
      <c r="I162" s="100">
        <f>IF(ISNUMBER(G162), $B172 * H162, "")</f>
        <v>-2555.9105431309904</v>
      </c>
      <c r="J162" s="13">
        <v>303</v>
      </c>
      <c r="K162" s="14">
        <f>IF(ISNUMBER(J162), (J162 - $B162) / $B162, "")</f>
        <v>-3.1948881789137379E-2</v>
      </c>
      <c r="L162" s="16">
        <f>IF(ISNUMBER(J162), $B172 * K162, "")</f>
        <v>-3194.8881789137381</v>
      </c>
      <c r="M162" s="29">
        <v>297</v>
      </c>
      <c r="N162" s="14">
        <f>IF(ISNUMBER(M162), (M162 - $B162) / $B162, "")</f>
        <v>-5.1118210862619806E-2</v>
      </c>
      <c r="O162" s="16">
        <f>IF(ISNUMBER(M162), $B172 * N162, "")</f>
        <v>-5111.8210862619808</v>
      </c>
      <c r="Q162" s="239"/>
      <c r="R162" s="240"/>
      <c r="S162" s="241"/>
    </row>
    <row r="163" spans="1:19" ht="17.25" thickBot="1">
      <c r="A163" s="162" t="s">
        <v>262</v>
      </c>
      <c r="B163" s="126">
        <v>458</v>
      </c>
      <c r="C163" s="77">
        <v>-0.13257575760000001</v>
      </c>
      <c r="D163" s="15">
        <v>442</v>
      </c>
      <c r="E163" s="32">
        <f t="shared" ref="E163:E166" si="86">IF(ISNUMBER(D163), (D163 - $B163) / $B163, "")</f>
        <v>-3.4934497816593885E-2</v>
      </c>
      <c r="F163" s="18">
        <f>IF(ISNUMBER(D163), $B172 * E163, "")</f>
        <v>-3493.4497816593885</v>
      </c>
      <c r="G163" s="31">
        <v>445</v>
      </c>
      <c r="H163" s="32">
        <f t="shared" ref="H163:H166" si="87">IF(ISNUMBER(G163), (G163 - $B163) / $B163, "")</f>
        <v>-2.8384279475982533E-2</v>
      </c>
      <c r="I163" s="101">
        <f>IF(ISNUMBER(G163), $B172 * H163, "")</f>
        <v>-2838.4279475982535</v>
      </c>
      <c r="J163" s="15">
        <v>452</v>
      </c>
      <c r="K163" s="32">
        <f t="shared" ref="K163:K166" si="88">IF(ISNUMBER(J163), (J163 - $B163) / $B163, "")</f>
        <v>-1.3100436681222707E-2</v>
      </c>
      <c r="L163" s="18">
        <f>IF(ISNUMBER(J163), $B172 * K163, "")</f>
        <v>-1310.0436681222707</v>
      </c>
      <c r="M163" s="31">
        <v>453</v>
      </c>
      <c r="N163" s="32">
        <f t="shared" ref="N163:N166" si="89">IF(ISNUMBER(M163), (M163 - $B163) / $B163, "")</f>
        <v>-1.0917030567685589E-2</v>
      </c>
      <c r="O163" s="18">
        <f>IF(ISNUMBER(M163), $B172 * N163, "")</f>
        <v>-1091.703056768559</v>
      </c>
      <c r="Q163" s="242"/>
      <c r="R163" s="243"/>
      <c r="S163" s="244"/>
    </row>
    <row r="164" spans="1:19" ht="17.25" thickBot="1">
      <c r="A164" s="162" t="s">
        <v>112</v>
      </c>
      <c r="B164" s="126">
        <v>132</v>
      </c>
      <c r="C164" s="77">
        <v>-0.14838709680000001</v>
      </c>
      <c r="D164" s="15">
        <v>124</v>
      </c>
      <c r="E164" s="32">
        <f t="shared" si="86"/>
        <v>-6.0606060606060608E-2</v>
      </c>
      <c r="F164" s="18">
        <f>IF(ISNUMBER(D164), $B172 * E164, "")</f>
        <v>-6060.606060606061</v>
      </c>
      <c r="G164" s="31">
        <v>124</v>
      </c>
      <c r="H164" s="32">
        <f t="shared" si="87"/>
        <v>-6.0606060606060608E-2</v>
      </c>
      <c r="I164" s="101">
        <f>IF(ISNUMBER(G164), $B172 * H164, "")</f>
        <v>-6060.606060606061</v>
      </c>
      <c r="J164" s="15">
        <v>125</v>
      </c>
      <c r="K164" s="32">
        <f t="shared" si="88"/>
        <v>-5.3030303030303032E-2</v>
      </c>
      <c r="L164" s="18">
        <f>IF(ISNUMBER(J164), $B172 * K164, "")</f>
        <v>-5303.030303030303</v>
      </c>
      <c r="M164" s="31">
        <v>124</v>
      </c>
      <c r="N164" s="32">
        <f t="shared" si="89"/>
        <v>-6.0606060606060608E-2</v>
      </c>
      <c r="O164" s="18">
        <f>IF(ISNUMBER(M164), $B172 * N164, "")</f>
        <v>-6060.606060606061</v>
      </c>
      <c r="Q164" s="235"/>
      <c r="R164" s="235"/>
      <c r="S164" s="235"/>
    </row>
    <row r="165" spans="1:19" ht="17.25" thickBot="1">
      <c r="A165" s="162" t="s">
        <v>82</v>
      </c>
      <c r="B165" s="126">
        <v>810</v>
      </c>
      <c r="C165" s="77">
        <v>-0.1553701773</v>
      </c>
      <c r="D165" s="15">
        <v>766</v>
      </c>
      <c r="E165" s="32">
        <f t="shared" si="86"/>
        <v>-5.4320987654320987E-2</v>
      </c>
      <c r="F165" s="18">
        <f>IF(ISNUMBER(D165), $B172 * E165, "")</f>
        <v>-5432.0987654320988</v>
      </c>
      <c r="G165" s="31">
        <v>783</v>
      </c>
      <c r="H165" s="32">
        <f t="shared" si="87"/>
        <v>-3.3333333333333333E-2</v>
      </c>
      <c r="I165" s="101">
        <f>IF(ISNUMBER(G165), $B172 * H165, "")</f>
        <v>-3333.3333333333335</v>
      </c>
      <c r="J165" s="15">
        <v>784</v>
      </c>
      <c r="K165" s="32">
        <f t="shared" si="88"/>
        <v>-3.2098765432098768E-2</v>
      </c>
      <c r="L165" s="18">
        <f>IF(ISNUMBER(J165), $B172 * K165, "")</f>
        <v>-3209.8765432098767</v>
      </c>
      <c r="M165" s="31">
        <v>761</v>
      </c>
      <c r="N165" s="32">
        <f t="shared" si="89"/>
        <v>-6.0493827160493827E-2</v>
      </c>
      <c r="O165" s="18">
        <f>IF(ISNUMBER(M165), $B172 * N165, "")</f>
        <v>-6049.3827160493829</v>
      </c>
      <c r="Q165" s="245"/>
      <c r="R165" s="245"/>
      <c r="S165" s="245"/>
    </row>
    <row r="166" spans="1:19" ht="17.25" thickBot="1">
      <c r="A166" s="163" t="s">
        <v>226</v>
      </c>
      <c r="B166" s="128">
        <v>200</v>
      </c>
      <c r="C166" s="78">
        <v>-0.1902834008</v>
      </c>
      <c r="D166" s="20">
        <v>185</v>
      </c>
      <c r="E166" s="21">
        <f t="shared" si="86"/>
        <v>-7.4999999999999997E-2</v>
      </c>
      <c r="F166" s="22">
        <f>IF(ISNUMBER(D166), $B172 * E166, "")</f>
        <v>-7500</v>
      </c>
      <c r="G166" s="30">
        <v>186</v>
      </c>
      <c r="H166" s="21">
        <f t="shared" si="87"/>
        <v>-7.0000000000000007E-2</v>
      </c>
      <c r="I166" s="105">
        <f>IF(ISNUMBER(G166), $B172 * H166, "")</f>
        <v>-7000.0000000000009</v>
      </c>
      <c r="J166" s="20">
        <v>182</v>
      </c>
      <c r="K166" s="21">
        <f t="shared" si="88"/>
        <v>-0.09</v>
      </c>
      <c r="L166" s="22">
        <f>IF(ISNUMBER(J166), $B172 * K166, "")</f>
        <v>-9000</v>
      </c>
      <c r="M166" s="30">
        <v>185</v>
      </c>
      <c r="N166" s="21">
        <f t="shared" si="89"/>
        <v>-7.4999999999999997E-2</v>
      </c>
      <c r="O166" s="22">
        <f>IF(ISNUMBER(M166), $B172 * N166, "")</f>
        <v>-7500</v>
      </c>
      <c r="Q166" s="245"/>
      <c r="R166" s="245"/>
      <c r="S166" s="245"/>
    </row>
    <row r="167" spans="1:19" ht="17.25" thickBot="1">
      <c r="A167" s="162" t="s">
        <v>174</v>
      </c>
      <c r="B167" s="129">
        <v>115</v>
      </c>
      <c r="C167" s="80">
        <v>-0.1958041958</v>
      </c>
      <c r="D167" s="106">
        <v>109</v>
      </c>
      <c r="E167" s="107">
        <f>IF(ISNUMBER(D167), (D167 - $B167) / $B167, "")</f>
        <v>-5.2173913043478258E-2</v>
      </c>
      <c r="F167" s="108">
        <f>IF(ISNUMBER(D167), $B172 * E167, "")</f>
        <v>-5217.391304347826</v>
      </c>
      <c r="G167" s="109">
        <v>105</v>
      </c>
      <c r="H167" s="107">
        <f>IF(ISNUMBER(G167), (G167 - $B167) / $B167, "")</f>
        <v>-8.6956521739130432E-2</v>
      </c>
      <c r="I167" s="110">
        <f>IF(ISNUMBER(G167), $B172 * H167, "")</f>
        <v>-8695.652173913044</v>
      </c>
      <c r="J167" s="106">
        <v>104</v>
      </c>
      <c r="K167" s="107">
        <f>IF(ISNUMBER(J167), (J167 - $B167) / $B167, "")</f>
        <v>-9.5652173913043481E-2</v>
      </c>
      <c r="L167" s="108">
        <f>IF(ISNUMBER(J167), $B172 * K167, "")</f>
        <v>-9565.217391304348</v>
      </c>
      <c r="M167" s="109">
        <v>104</v>
      </c>
      <c r="N167" s="107">
        <f>IF(ISNUMBER(M167), (M167 - $B167) / $B167, "")</f>
        <v>-9.5652173913043481E-2</v>
      </c>
      <c r="O167" s="108">
        <f>IF(ISNUMBER(M167), $B172 * N167, "")</f>
        <v>-9565.217391304348</v>
      </c>
      <c r="Q167" s="235"/>
      <c r="R167" s="235"/>
      <c r="S167" s="235"/>
    </row>
    <row r="168" spans="1:19" ht="17.25" thickBot="1">
      <c r="A168" s="162" t="s">
        <v>162</v>
      </c>
      <c r="B168" s="126">
        <v>535</v>
      </c>
      <c r="C168" s="77">
        <v>-0.2464788732</v>
      </c>
      <c r="D168" s="15">
        <v>421</v>
      </c>
      <c r="E168" s="32">
        <f t="shared" ref="E168:E171" si="90">IF(ISNUMBER(D168), (D168 - $B168) / $B168, "")</f>
        <v>-0.21308411214953271</v>
      </c>
      <c r="F168" s="18">
        <f>IF(ISNUMBER(D168), $B172 * E168, "")</f>
        <v>-21308.41121495327</v>
      </c>
      <c r="G168" s="31">
        <v>452</v>
      </c>
      <c r="H168" s="32">
        <f t="shared" ref="H168:H171" si="91">IF(ISNUMBER(G168), (G168 - $B168) / $B168, "")</f>
        <v>-0.15514018691588785</v>
      </c>
      <c r="I168" s="101">
        <f>IF(ISNUMBER(G168), $B172 * H168, "")</f>
        <v>-15514.018691588784</v>
      </c>
      <c r="J168" s="15">
        <v>445</v>
      </c>
      <c r="K168" s="32">
        <f t="shared" ref="K168:K171" si="92">IF(ISNUMBER(J168), (J168 - $B168) / $B168, "")</f>
        <v>-0.16822429906542055</v>
      </c>
      <c r="L168" s="18">
        <f>IF(ISNUMBER(J168), $B172 * K168, "")</f>
        <v>-16822.429906542056</v>
      </c>
      <c r="M168" s="31">
        <v>452</v>
      </c>
      <c r="N168" s="32">
        <f t="shared" ref="N168:N171" si="93">IF(ISNUMBER(M168), (M168 - $B168) / $B168, "")</f>
        <v>-0.15514018691588785</v>
      </c>
      <c r="O168" s="18">
        <f>IF(ISNUMBER(M168), $B172 * N168, "")</f>
        <v>-15514.018691588784</v>
      </c>
      <c r="Q168" s="235"/>
      <c r="R168" s="235"/>
      <c r="S168" s="235"/>
    </row>
    <row r="169" spans="1:19" ht="17.25" thickBot="1">
      <c r="A169" s="162" t="s">
        <v>234</v>
      </c>
      <c r="B169" s="126">
        <v>313</v>
      </c>
      <c r="C169" s="77">
        <v>-0.2918552036</v>
      </c>
      <c r="D169" s="15">
        <v>269</v>
      </c>
      <c r="E169" s="32">
        <f t="shared" si="90"/>
        <v>-0.14057507987220447</v>
      </c>
      <c r="F169" s="18">
        <f>IF(ISNUMBER(D169), $B172 * E169, "")</f>
        <v>-14057.507987220446</v>
      </c>
      <c r="G169" s="31">
        <v>284</v>
      </c>
      <c r="H169" s="32">
        <f t="shared" si="91"/>
        <v>-9.2651757188498399E-2</v>
      </c>
      <c r="I169" s="101">
        <f>IF(ISNUMBER(G169), $B172 * H169, "")</f>
        <v>-9265.1757188498395</v>
      </c>
      <c r="J169" s="15">
        <v>284</v>
      </c>
      <c r="K169" s="32">
        <f t="shared" si="92"/>
        <v>-9.2651757188498399E-2</v>
      </c>
      <c r="L169" s="18">
        <f>IF(ISNUMBER(J169), $B172 * K169, "")</f>
        <v>-9265.1757188498395</v>
      </c>
      <c r="M169" s="31">
        <v>285</v>
      </c>
      <c r="N169" s="32">
        <f t="shared" si="93"/>
        <v>-8.9456869009584661E-2</v>
      </c>
      <c r="O169" s="18">
        <f>IF(ISNUMBER(M169), $B172 * N169, "")</f>
        <v>-8945.6869009584661</v>
      </c>
      <c r="Q169" s="235"/>
      <c r="R169" s="235"/>
      <c r="S169" s="235"/>
    </row>
    <row r="170" spans="1:19">
      <c r="A170" s="162" t="s">
        <v>252</v>
      </c>
      <c r="B170" s="126">
        <v>116</v>
      </c>
      <c r="C170" s="77">
        <v>-0.29268292680000002</v>
      </c>
      <c r="D170" s="15">
        <v>88.5</v>
      </c>
      <c r="E170" s="32">
        <f t="shared" si="90"/>
        <v>-0.23706896551724138</v>
      </c>
      <c r="F170" s="18">
        <f>IF(ISNUMBER(D170), $B172 * E170, "")</f>
        <v>-23706.896551724138</v>
      </c>
      <c r="G170" s="31">
        <v>89.3</v>
      </c>
      <c r="H170" s="32">
        <f t="shared" si="91"/>
        <v>-0.23017241379310346</v>
      </c>
      <c r="I170" s="101">
        <f>IF(ISNUMBER(G170), $B172 * H170, "")</f>
        <v>-23017.241379310348</v>
      </c>
      <c r="J170" s="15">
        <v>89.1</v>
      </c>
      <c r="K170" s="32">
        <f t="shared" si="92"/>
        <v>-0.23189655172413798</v>
      </c>
      <c r="L170" s="18">
        <f>IF(ISNUMBER(J170), $B172 * K170, "")</f>
        <v>-23189.655172413797</v>
      </c>
      <c r="M170" s="31">
        <v>89.9</v>
      </c>
      <c r="N170" s="32">
        <f t="shared" si="93"/>
        <v>-0.22499999999999995</v>
      </c>
      <c r="O170" s="18">
        <f>IF(ISNUMBER(M170), $B172 * N170, "")</f>
        <v>-22499.999999999996</v>
      </c>
      <c r="Q170" s="224"/>
      <c r="R170" s="225"/>
      <c r="S170" s="226"/>
    </row>
    <row r="171" spans="1:19" ht="17.25" thickBot="1">
      <c r="A171" s="130" t="s">
        <v>208</v>
      </c>
      <c r="B171" s="131">
        <v>103</v>
      </c>
      <c r="C171" s="79">
        <v>-0.30872483220000002</v>
      </c>
      <c r="D171" s="24">
        <v>78.2</v>
      </c>
      <c r="E171" s="25">
        <f t="shared" si="90"/>
        <v>-0.24077669902912618</v>
      </c>
      <c r="F171" s="104">
        <f>IF(ISNUMBER(D171), $B172 * E171, "")</f>
        <v>-24077.669902912618</v>
      </c>
      <c r="G171" s="102">
        <v>82.1</v>
      </c>
      <c r="H171" s="25">
        <f t="shared" si="91"/>
        <v>-0.20291262135922336</v>
      </c>
      <c r="I171" s="103">
        <f>IF(ISNUMBER(G171), $B172 * H171, "")</f>
        <v>-20291.262135922338</v>
      </c>
      <c r="J171" s="24">
        <v>82.1</v>
      </c>
      <c r="K171" s="25">
        <f t="shared" si="92"/>
        <v>-0.20291262135922336</v>
      </c>
      <c r="L171" s="104">
        <f>IF(ISNUMBER(J171), $B172 * K171, "")</f>
        <v>-20291.262135922338</v>
      </c>
      <c r="M171" s="102">
        <v>84.9</v>
      </c>
      <c r="N171" s="25">
        <f t="shared" si="93"/>
        <v>-0.17572815533980576</v>
      </c>
      <c r="O171" s="104">
        <f>IF(ISNUMBER(M171), $B172 * N171, "")</f>
        <v>-17572.815533980578</v>
      </c>
      <c r="Q171" s="227"/>
      <c r="R171" s="228"/>
      <c r="S171" s="229"/>
    </row>
    <row r="172" spans="1:19" ht="17.25" thickBot="1">
      <c r="A172" s="132" t="s">
        <v>300</v>
      </c>
      <c r="B172" s="288">
        <f>$B$37</f>
        <v>100000</v>
      </c>
      <c r="C172" s="289"/>
      <c r="D172" s="26" t="s">
        <v>301</v>
      </c>
      <c r="E172" s="27">
        <f>IF(COUNT(E152:E171), SUM(E152:E171) / COUNT(E152:E171), 0)</f>
        <v>-5.2522378244529599E-2</v>
      </c>
      <c r="F172" s="28">
        <f>SUM(F152:F171)</f>
        <v>-105044.75648905917</v>
      </c>
      <c r="G172" s="26" t="s">
        <v>301</v>
      </c>
      <c r="H172" s="27">
        <f>IF(COUNT(H152:H171), SUM(H152:H171) / COUNT(H152:H171), 0)</f>
        <v>-3.7147327225830751E-2</v>
      </c>
      <c r="I172" s="28">
        <f>SUM(I152:I171)</f>
        <v>-74294.65445166151</v>
      </c>
      <c r="J172" s="26" t="s">
        <v>301</v>
      </c>
      <c r="K172" s="27">
        <f>IF(COUNT(K152:K171), SUM(K152:K171) / COUNT(K152:K171), 0)</f>
        <v>-3.2107438933722789E-2</v>
      </c>
      <c r="L172" s="28">
        <f>SUM(L152:L171)</f>
        <v>-64214.877867445568</v>
      </c>
      <c r="M172" s="26" t="s">
        <v>301</v>
      </c>
      <c r="N172" s="27">
        <f>IF(COUNT(N152:N171), SUM(N152:N171) / COUNT(N152:N171), 0)</f>
        <v>-3.5607350102853076E-2</v>
      </c>
      <c r="O172" s="28">
        <f>SUM(O152:O171)</f>
        <v>-71214.700205706147</v>
      </c>
      <c r="Q172" s="230"/>
      <c r="R172" s="231"/>
      <c r="S172" s="232"/>
    </row>
    <row r="174" spans="1:19" ht="17.25" thickBot="1"/>
    <row r="175" spans="1:19" ht="17.25" thickBot="1">
      <c r="A175" s="246" t="s">
        <v>285</v>
      </c>
      <c r="B175" s="247"/>
      <c r="C175" s="247"/>
      <c r="D175" s="247"/>
      <c r="E175" s="247"/>
      <c r="F175" s="247"/>
      <c r="G175" s="247"/>
      <c r="H175" s="247"/>
      <c r="I175" s="247"/>
      <c r="J175" s="247"/>
      <c r="K175" s="247"/>
      <c r="L175" s="247"/>
      <c r="M175" s="247"/>
      <c r="N175" s="247"/>
      <c r="O175" s="248"/>
      <c r="Q175" s="245"/>
      <c r="R175" s="245"/>
      <c r="S175" s="245"/>
    </row>
    <row r="176" spans="1:19" ht="17.25" thickBot="1">
      <c r="A176" s="208" t="s">
        <v>297</v>
      </c>
      <c r="B176" s="246" t="s">
        <v>49</v>
      </c>
      <c r="C176" s="248"/>
      <c r="D176" s="246" t="s">
        <v>58</v>
      </c>
      <c r="E176" s="247"/>
      <c r="F176" s="248"/>
      <c r="G176" s="249">
        <f>_xlfn.IFNA(VLOOKUP(B176, 현재가테이블!$B$2:$D$200, 2, FALSE), "-")</f>
        <v>45335000</v>
      </c>
      <c r="H176" s="250"/>
      <c r="I176" s="251"/>
      <c r="J176" s="246" t="s">
        <v>59</v>
      </c>
      <c r="K176" s="247"/>
      <c r="L176" s="248"/>
      <c r="M176" s="252">
        <f>_xlfn.IFNA(VLOOKUP(B176, 현재가테이블!$B$2:$D$200, 3, FALSE), "-")</f>
        <v>-2.27209037E-2</v>
      </c>
      <c r="N176" s="253"/>
      <c r="O176" s="254"/>
      <c r="Q176" s="245"/>
      <c r="R176" s="245"/>
      <c r="S176" s="245"/>
    </row>
    <row r="177" spans="1:19" ht="17.25" thickBot="1">
      <c r="A177" s="290" t="s">
        <v>55</v>
      </c>
      <c r="B177" s="286" t="str">
        <f>TEXT($G$1, "[$-ko-KR]yyyy-mm-dd(ddd) ") &amp; "오전 00:00"</f>
        <v>2021-06-13(일) 오전 00:00</v>
      </c>
      <c r="C177" s="287"/>
      <c r="D177" s="259" t="str">
        <f>TEXT($G$1, "[$-ko-KR]yyyy-mm-dd(ddd) ") &amp; "오후 14:00"</f>
        <v>2021-06-13(일) 오후 14:00</v>
      </c>
      <c r="E177" s="260"/>
      <c r="F177" s="261"/>
      <c r="G177" s="259" t="str">
        <f>TEXT($G$1, "[$-ko-KR]yyyy-mm-dd(ddd) ") &amp; "오후 19:00"</f>
        <v>2021-06-13(일) 오후 19:00</v>
      </c>
      <c r="H177" s="260"/>
      <c r="I177" s="261"/>
      <c r="J177" s="259" t="str">
        <f>TEXT($G$1, "[$-ko-KR]yyyy-mm-dd(ddd) ") &amp; "오후 21:00"</f>
        <v>2021-06-13(일) 오후 21:00</v>
      </c>
      <c r="K177" s="260"/>
      <c r="L177" s="261"/>
      <c r="M177" s="259" t="str">
        <f>TEXT($G$1+1, "[$-ko-KR]yyyy-mm-dd(ddd) ") &amp; "오전 00:00"</f>
        <v>2021-06-14(월) 오전 00:00</v>
      </c>
      <c r="N177" s="260"/>
      <c r="O177" s="261"/>
      <c r="Q177" s="245"/>
      <c r="R177" s="245"/>
      <c r="S177" s="245"/>
    </row>
    <row r="178" spans="1:19" ht="17.25" thickBot="1">
      <c r="A178" s="291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209" t="s">
        <v>58</v>
      </c>
      <c r="H178" s="210" t="s">
        <v>298</v>
      </c>
      <c r="I178" s="211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5"/>
      <c r="R178" s="235"/>
      <c r="S178" s="235"/>
    </row>
    <row r="179" spans="1:19" ht="17.25" thickBot="1">
      <c r="A179" s="161" t="s">
        <v>238</v>
      </c>
      <c r="B179" s="124">
        <v>88</v>
      </c>
      <c r="C179" s="76">
        <v>-0.18518518519999999</v>
      </c>
      <c r="D179" s="13">
        <v>79</v>
      </c>
      <c r="E179" s="14">
        <f>IF(ISNUMBER(D179), (D179 - $B179) / $B179, "")</f>
        <v>-0.10227272727272728</v>
      </c>
      <c r="F179" s="16">
        <f>IF(ISNUMBER(D179), $B199 * E179, "")</f>
        <v>-10227.272727272728</v>
      </c>
      <c r="G179" s="29">
        <v>82.6</v>
      </c>
      <c r="H179" s="14">
        <f>IF(ISNUMBER(G179), (G179 - $B179) / $B179, "")</f>
        <v>-6.1363636363636426E-2</v>
      </c>
      <c r="I179" s="100">
        <f>IF(ISNUMBER(G179), $B199 * H179, "")</f>
        <v>-6136.3636363636424</v>
      </c>
      <c r="J179" s="13">
        <v>81</v>
      </c>
      <c r="K179" s="14">
        <f>IF(ISNUMBER(J179), (J179 - $B179) / $B179, "")</f>
        <v>-7.9545454545454544E-2</v>
      </c>
      <c r="L179" s="16">
        <f>IF(ISNUMBER(J179), $B199 * K179, "")</f>
        <v>-7954.545454545454</v>
      </c>
      <c r="M179" s="29">
        <v>81.2</v>
      </c>
      <c r="N179" s="14">
        <f>IF(ISNUMBER(M179), (M179 - $B179) / $B179, "")</f>
        <v>-7.7272727272727243E-2</v>
      </c>
      <c r="O179" s="16">
        <f>IF(ISNUMBER(M179), $B199 * N179, "")</f>
        <v>-7727.2727272727243</v>
      </c>
      <c r="Q179" s="245"/>
      <c r="R179" s="245"/>
      <c r="S179" s="245"/>
    </row>
    <row r="180" spans="1:19" ht="17.25" thickBot="1">
      <c r="A180" s="162" t="s">
        <v>240</v>
      </c>
      <c r="B180" s="126">
        <v>84.6</v>
      </c>
      <c r="C180" s="77">
        <v>-0.1865384615</v>
      </c>
      <c r="D180" s="15">
        <v>84.5</v>
      </c>
      <c r="E180" s="32">
        <f t="shared" ref="E180:E183" si="94">IF(ISNUMBER(D180), (D180 - $B180) / $B180, "")</f>
        <v>-1.1820330969266469E-3</v>
      </c>
      <c r="F180" s="18">
        <f>IF(ISNUMBER(D180), $B199 * E180, "")</f>
        <v>-118.20330969266469</v>
      </c>
      <c r="G180" s="31">
        <v>80</v>
      </c>
      <c r="H180" s="32">
        <f t="shared" ref="H180:H183" si="95">IF(ISNUMBER(G180), (G180 - $B180) / $B180, "")</f>
        <v>-5.4373522458628781E-2</v>
      </c>
      <c r="I180" s="101">
        <f>IF(ISNUMBER(G180), $B199 * H180, "")</f>
        <v>-5437.3522458628777</v>
      </c>
      <c r="J180" s="15">
        <v>81.8</v>
      </c>
      <c r="K180" s="32">
        <f t="shared" ref="K180:K183" si="96">IF(ISNUMBER(J180), (J180 - $B180) / $B180, "")</f>
        <v>-3.3096926713947962E-2</v>
      </c>
      <c r="L180" s="18">
        <f>IF(ISNUMBER(J180), $B199 * K180, "")</f>
        <v>-3309.692671394796</v>
      </c>
      <c r="M180" s="31">
        <v>81</v>
      </c>
      <c r="N180" s="32">
        <f t="shared" ref="N180:N183" si="97">IF(ISNUMBER(M180), (M180 - $B180) / $B180, "")</f>
        <v>-4.2553191489361639E-2</v>
      </c>
      <c r="O180" s="18">
        <f>IF(ISNUMBER(M180), $B199 * N180, "")</f>
        <v>-4255.3191489361643</v>
      </c>
      <c r="Q180" s="245"/>
      <c r="R180" s="245"/>
      <c r="S180" s="245"/>
    </row>
    <row r="181" spans="1:19" ht="17.25" thickBot="1">
      <c r="A181" s="162" t="s">
        <v>222</v>
      </c>
      <c r="B181" s="126">
        <v>8.2100000000000009</v>
      </c>
      <c r="C181" s="77">
        <v>-0.18712871289999999</v>
      </c>
      <c r="D181" s="15">
        <v>7.87</v>
      </c>
      <c r="E181" s="32">
        <f t="shared" si="94"/>
        <v>-4.1412911084043935E-2</v>
      </c>
      <c r="F181" s="18">
        <f>IF(ISNUMBER(D181), $B199 * E181, "")</f>
        <v>-4141.2911084043935</v>
      </c>
      <c r="G181" s="31">
        <v>7.38</v>
      </c>
      <c r="H181" s="32">
        <f t="shared" si="95"/>
        <v>-0.10109622411693067</v>
      </c>
      <c r="I181" s="101">
        <f>IF(ISNUMBER(G181), $B199 * H181, "")</f>
        <v>-10109.622411693068</v>
      </c>
      <c r="J181" s="15">
        <v>7.68</v>
      </c>
      <c r="K181" s="32">
        <f t="shared" si="96"/>
        <v>-6.4555420219244958E-2</v>
      </c>
      <c r="L181" s="18">
        <f>IF(ISNUMBER(J181), $B199 * K181, "")</f>
        <v>-6455.5420219244961</v>
      </c>
      <c r="M181" s="31">
        <v>7.51</v>
      </c>
      <c r="N181" s="32">
        <f t="shared" si="97"/>
        <v>-8.526187576126687E-2</v>
      </c>
      <c r="O181" s="18">
        <f>IF(ISNUMBER(M181), $B199 * N181, "")</f>
        <v>-8526.1875761266874</v>
      </c>
      <c r="Q181" s="235"/>
      <c r="R181" s="235"/>
      <c r="S181" s="235"/>
    </row>
    <row r="182" spans="1:19" ht="17.25" thickBot="1">
      <c r="A182" s="162" t="s">
        <v>124</v>
      </c>
      <c r="B182" s="126">
        <v>2445</v>
      </c>
      <c r="C182" s="77">
        <v>-0.1877076412</v>
      </c>
      <c r="D182" s="15">
        <v>2175</v>
      </c>
      <c r="E182" s="32">
        <f t="shared" si="94"/>
        <v>-0.11042944785276074</v>
      </c>
      <c r="F182" s="18">
        <f>IF(ISNUMBER(D182), $B199 * E182, "")</f>
        <v>-11042.944785276073</v>
      </c>
      <c r="G182" s="31">
        <v>2230</v>
      </c>
      <c r="H182" s="32">
        <f t="shared" si="95"/>
        <v>-8.7934560327198361E-2</v>
      </c>
      <c r="I182" s="101">
        <f>IF(ISNUMBER(G182), $B199 * H182, "")</f>
        <v>-8793.456032719836</v>
      </c>
      <c r="J182" s="15">
        <v>2220</v>
      </c>
      <c r="K182" s="32">
        <f t="shared" si="96"/>
        <v>-9.202453987730061E-2</v>
      </c>
      <c r="L182" s="18">
        <f>IF(ISNUMBER(J182), $B199 * K182, "")</f>
        <v>-9202.4539877300613</v>
      </c>
      <c r="M182" s="31">
        <v>2220</v>
      </c>
      <c r="N182" s="32">
        <f t="shared" si="97"/>
        <v>-9.202453987730061E-2</v>
      </c>
      <c r="O182" s="18">
        <f>IF(ISNUMBER(M182), $B199 * N182, "")</f>
        <v>-9202.4539877300613</v>
      </c>
      <c r="Q182" s="235"/>
      <c r="R182" s="235"/>
      <c r="S182" s="235"/>
    </row>
    <row r="183" spans="1:19" ht="17.25" thickBot="1">
      <c r="A183" s="163" t="s">
        <v>226</v>
      </c>
      <c r="B183" s="128">
        <v>200</v>
      </c>
      <c r="C183" s="78">
        <v>-0.1902834008</v>
      </c>
      <c r="D183" s="20">
        <v>185</v>
      </c>
      <c r="E183" s="21">
        <f t="shared" si="94"/>
        <v>-7.4999999999999997E-2</v>
      </c>
      <c r="F183" s="22">
        <f>IF(ISNUMBER(D183), $B199 * E183, "")</f>
        <v>-7500</v>
      </c>
      <c r="G183" s="30">
        <v>186</v>
      </c>
      <c r="H183" s="21">
        <f t="shared" si="95"/>
        <v>-7.0000000000000007E-2</v>
      </c>
      <c r="I183" s="105">
        <f>IF(ISNUMBER(G183), $B199 * H183, "")</f>
        <v>-7000.0000000000009</v>
      </c>
      <c r="J183" s="20">
        <v>182</v>
      </c>
      <c r="K183" s="21">
        <f t="shared" si="96"/>
        <v>-0.09</v>
      </c>
      <c r="L183" s="22">
        <f>IF(ISNUMBER(J183), $B199 * K183, "")</f>
        <v>-9000</v>
      </c>
      <c r="M183" s="30">
        <v>185</v>
      </c>
      <c r="N183" s="21">
        <f t="shared" si="97"/>
        <v>-7.4999999999999997E-2</v>
      </c>
      <c r="O183" s="22">
        <f>IF(ISNUMBER(M183), $B199 * N183, "")</f>
        <v>-7500</v>
      </c>
      <c r="Q183" s="235"/>
      <c r="R183" s="235"/>
      <c r="S183" s="235"/>
    </row>
    <row r="184" spans="1:19" ht="17.25" thickBot="1">
      <c r="A184" s="162" t="s">
        <v>67</v>
      </c>
      <c r="B184" s="129">
        <v>3515</v>
      </c>
      <c r="C184" s="80">
        <v>-0.1928817451</v>
      </c>
      <c r="D184" s="106">
        <v>3260</v>
      </c>
      <c r="E184" s="107">
        <f>IF(ISNUMBER(D184), (D184 - $B184) / $B184, "")</f>
        <v>-7.254623044096728E-2</v>
      </c>
      <c r="F184" s="108">
        <f>IF(ISNUMBER(D184), $B199 * E184, "")</f>
        <v>-7254.6230440967283</v>
      </c>
      <c r="G184" s="109">
        <v>3395</v>
      </c>
      <c r="H184" s="107">
        <f>IF(ISNUMBER(G184), (G184 - $B184) / $B184, "")</f>
        <v>-3.4139402560455195E-2</v>
      </c>
      <c r="I184" s="110">
        <f>IF(ISNUMBER(G184), $B199 * H184, "")</f>
        <v>-3413.9402560455196</v>
      </c>
      <c r="J184" s="106">
        <v>3365</v>
      </c>
      <c r="K184" s="107">
        <f>IF(ISNUMBER(J184), (J184 - $B184) / $B184, "")</f>
        <v>-4.2674253200568987E-2</v>
      </c>
      <c r="L184" s="108">
        <f>IF(ISNUMBER(J184), $B199 * K184, "")</f>
        <v>-4267.4253200568992</v>
      </c>
      <c r="M184" s="109">
        <v>3375</v>
      </c>
      <c r="N184" s="107">
        <f>IF(ISNUMBER(M184), (M184 - $B184) / $B184, "")</f>
        <v>-3.9829302987197723E-2</v>
      </c>
      <c r="O184" s="108">
        <f>IF(ISNUMBER(M184), $B199 * N184, "")</f>
        <v>-3982.9302987197725</v>
      </c>
      <c r="Q184" s="235"/>
      <c r="R184" s="235"/>
      <c r="S184" s="235"/>
    </row>
    <row r="185" spans="1:19" ht="17.25" thickBot="1">
      <c r="A185" s="162" t="s">
        <v>174</v>
      </c>
      <c r="B185" s="126">
        <v>115</v>
      </c>
      <c r="C185" s="77">
        <v>-0.1958041958</v>
      </c>
      <c r="D185" s="15">
        <v>109</v>
      </c>
      <c r="E185" s="32">
        <f t="shared" ref="E185:E188" si="98">IF(ISNUMBER(D185), (D185 - $B185) / $B185, "")</f>
        <v>-5.2173913043478258E-2</v>
      </c>
      <c r="F185" s="18">
        <f>IF(ISNUMBER(D185), $B199 * E185, "")</f>
        <v>-5217.391304347826</v>
      </c>
      <c r="G185" s="31">
        <v>105</v>
      </c>
      <c r="H185" s="32">
        <f t="shared" ref="H185:H188" si="99">IF(ISNUMBER(G185), (G185 - $B185) / $B185, "")</f>
        <v>-8.6956521739130432E-2</v>
      </c>
      <c r="I185" s="101">
        <f>IF(ISNUMBER(G185), $B199 * H185, "")</f>
        <v>-8695.652173913044</v>
      </c>
      <c r="J185" s="15">
        <v>104</v>
      </c>
      <c r="K185" s="32">
        <f t="shared" ref="K185:K188" si="100">IF(ISNUMBER(J185), (J185 - $B185) / $B185, "")</f>
        <v>-9.5652173913043481E-2</v>
      </c>
      <c r="L185" s="18">
        <f>IF(ISNUMBER(J185), $B199 * K185, "")</f>
        <v>-9565.217391304348</v>
      </c>
      <c r="M185" s="31">
        <v>104</v>
      </c>
      <c r="N185" s="32">
        <f t="shared" ref="N185:N188" si="101">IF(ISNUMBER(M185), (M185 - $B185) / $B185, "")</f>
        <v>-9.5652173913043481E-2</v>
      </c>
      <c r="O185" s="18">
        <f>IF(ISNUMBER(M185), $B199 * N185, "")</f>
        <v>-9565.217391304348</v>
      </c>
      <c r="Q185" s="235"/>
      <c r="R185" s="235"/>
      <c r="S185" s="235"/>
    </row>
    <row r="186" spans="1:19" ht="17.25" thickBot="1">
      <c r="A186" s="162" t="s">
        <v>210</v>
      </c>
      <c r="B186" s="126">
        <v>85.2</v>
      </c>
      <c r="C186" s="77">
        <v>-0.1962264151</v>
      </c>
      <c r="D186" s="15">
        <v>75.900000000000006</v>
      </c>
      <c r="E186" s="32">
        <f t="shared" si="98"/>
        <v>-0.10915492957746475</v>
      </c>
      <c r="F186" s="18">
        <f>IF(ISNUMBER(D186), $B199 * E186, "")</f>
        <v>-10915.492957746475</v>
      </c>
      <c r="G186" s="31">
        <v>75</v>
      </c>
      <c r="H186" s="32">
        <f t="shared" si="99"/>
        <v>-0.11971830985915496</v>
      </c>
      <c r="I186" s="101">
        <f>IF(ISNUMBER(G186), $B199 * H186, "")</f>
        <v>-11971.830985915496</v>
      </c>
      <c r="J186" s="15">
        <v>75.5</v>
      </c>
      <c r="K186" s="32">
        <f t="shared" si="100"/>
        <v>-0.113849765258216</v>
      </c>
      <c r="L186" s="18">
        <f>IF(ISNUMBER(J186), $B199 * K186, "")</f>
        <v>-11384.976525821599</v>
      </c>
      <c r="M186" s="31">
        <v>75</v>
      </c>
      <c r="N186" s="32">
        <f t="shared" si="101"/>
        <v>-0.11971830985915496</v>
      </c>
      <c r="O186" s="18">
        <f>IF(ISNUMBER(M186), $B199 * N186, "")</f>
        <v>-11971.830985915496</v>
      </c>
      <c r="Q186" s="235"/>
      <c r="R186" s="235"/>
      <c r="S186" s="235"/>
    </row>
    <row r="187" spans="1:19" ht="17.25" thickBot="1">
      <c r="A187" s="162" t="s">
        <v>250</v>
      </c>
      <c r="B187" s="126">
        <v>58.8</v>
      </c>
      <c r="C187" s="77">
        <v>-0.1978171896</v>
      </c>
      <c r="D187" s="15">
        <v>52</v>
      </c>
      <c r="E187" s="32">
        <f t="shared" si="98"/>
        <v>-0.11564625850340132</v>
      </c>
      <c r="F187" s="18">
        <f>IF(ISNUMBER(D187), $B199 * E187, "")</f>
        <v>-11564.625850340131</v>
      </c>
      <c r="G187" s="31">
        <v>53.9</v>
      </c>
      <c r="H187" s="32">
        <f t="shared" si="99"/>
        <v>-8.3333333333333315E-2</v>
      </c>
      <c r="I187" s="101">
        <f>IF(ISNUMBER(G187), $B199 * H187, "")</f>
        <v>-8333.3333333333321</v>
      </c>
      <c r="J187" s="15">
        <v>53</v>
      </c>
      <c r="K187" s="32">
        <f t="shared" si="100"/>
        <v>-9.8639455782312882E-2</v>
      </c>
      <c r="L187" s="18">
        <f>IF(ISNUMBER(J187), $B199 * K187, "")</f>
        <v>-9863.9455782312889</v>
      </c>
      <c r="M187" s="31">
        <v>53</v>
      </c>
      <c r="N187" s="32">
        <f t="shared" si="101"/>
        <v>-9.8639455782312882E-2</v>
      </c>
      <c r="O187" s="18">
        <f>IF(ISNUMBER(M187), $B199 * N187, "")</f>
        <v>-9863.9455782312889</v>
      </c>
      <c r="Q187" s="33"/>
      <c r="R187" s="33"/>
    </row>
    <row r="188" spans="1:19" ht="17.25" thickBot="1">
      <c r="A188" s="130" t="s">
        <v>214</v>
      </c>
      <c r="B188" s="131">
        <v>9.1199999999999992</v>
      </c>
      <c r="C188" s="79">
        <v>-0.2</v>
      </c>
      <c r="D188" s="24">
        <v>8.0299999999999994</v>
      </c>
      <c r="E188" s="25">
        <f t="shared" si="98"/>
        <v>-0.11951754385964912</v>
      </c>
      <c r="F188" s="104">
        <f>IF(ISNUMBER(D188), $B199 * E188, "")</f>
        <v>-11951.754385964912</v>
      </c>
      <c r="G188" s="102">
        <v>8.23</v>
      </c>
      <c r="H188" s="25">
        <f t="shared" si="99"/>
        <v>-9.7587719298245487E-2</v>
      </c>
      <c r="I188" s="103">
        <f>IF(ISNUMBER(G188), $B199 * H188, "")</f>
        <v>-9758.7719298245484</v>
      </c>
      <c r="J188" s="24">
        <v>8.15</v>
      </c>
      <c r="K188" s="25">
        <f t="shared" si="100"/>
        <v>-0.1063596491228069</v>
      </c>
      <c r="L188" s="104">
        <f>IF(ISNUMBER(J188), $B199 * K188, "")</f>
        <v>-10635.96491228069</v>
      </c>
      <c r="M188" s="102">
        <v>8.2200000000000006</v>
      </c>
      <c r="N188" s="25">
        <f t="shared" si="101"/>
        <v>-9.8684210526315638E-2</v>
      </c>
      <c r="O188" s="104">
        <f>IF(ISNUMBER(M188), $B199 * N188, "")</f>
        <v>-9868.4210526315637</v>
      </c>
      <c r="Q188" s="236"/>
      <c r="R188" s="237"/>
      <c r="S188" s="238"/>
    </row>
    <row r="189" spans="1:19">
      <c r="A189" s="161" t="s">
        <v>266</v>
      </c>
      <c r="B189" s="124">
        <v>56.6</v>
      </c>
      <c r="C189" s="76">
        <v>-0.2402684564</v>
      </c>
      <c r="D189" s="13">
        <v>51</v>
      </c>
      <c r="E189" s="14">
        <f>IF(ISNUMBER(D189), (D189 - $B189) / $B189, "")</f>
        <v>-9.8939929328621931E-2</v>
      </c>
      <c r="F189" s="16">
        <f>IF(ISNUMBER(D189), $B199 * E189, "")</f>
        <v>-9893.9929328621929</v>
      </c>
      <c r="G189" s="29">
        <v>51.4</v>
      </c>
      <c r="H189" s="14">
        <f>IF(ISNUMBER(G189), (G189 - $B189) / $B189, "")</f>
        <v>-9.1872791519434671E-2</v>
      </c>
      <c r="I189" s="100">
        <f>IF(ISNUMBER(G189), $B199 * H189, "")</f>
        <v>-9187.2791519434668</v>
      </c>
      <c r="J189" s="13">
        <v>50.9</v>
      </c>
      <c r="K189" s="14">
        <f>IF(ISNUMBER(J189), (J189 - $B189) / $B189, "")</f>
        <v>-0.10070671378091878</v>
      </c>
      <c r="L189" s="16">
        <f>IF(ISNUMBER(J189), $B199 * K189, "")</f>
        <v>-10070.671378091878</v>
      </c>
      <c r="M189" s="29">
        <v>50.5</v>
      </c>
      <c r="N189" s="14">
        <f>IF(ISNUMBER(M189), (M189 - $B189) / $B189, "")</f>
        <v>-0.10777385159010602</v>
      </c>
      <c r="O189" s="16">
        <f>IF(ISNUMBER(M189), $B199 * N189, "")</f>
        <v>-10777.385159010602</v>
      </c>
      <c r="Q189" s="239"/>
      <c r="R189" s="240"/>
      <c r="S189" s="241"/>
    </row>
    <row r="190" spans="1:19" ht="17.25" thickBot="1">
      <c r="A190" s="162" t="s">
        <v>162</v>
      </c>
      <c r="B190" s="126">
        <v>535</v>
      </c>
      <c r="C190" s="77">
        <v>-0.2464788732</v>
      </c>
      <c r="D190" s="15">
        <v>421</v>
      </c>
      <c r="E190" s="32">
        <f t="shared" ref="E190:E193" si="102">IF(ISNUMBER(D190), (D190 - $B190) / $B190, "")</f>
        <v>-0.21308411214953271</v>
      </c>
      <c r="F190" s="18">
        <f>IF(ISNUMBER(D190), $B199 * E190, "")</f>
        <v>-21308.41121495327</v>
      </c>
      <c r="G190" s="31">
        <v>452</v>
      </c>
      <c r="H190" s="32">
        <f t="shared" ref="H190:H193" si="103">IF(ISNUMBER(G190), (G190 - $B190) / $B190, "")</f>
        <v>-0.15514018691588785</v>
      </c>
      <c r="I190" s="101">
        <f>IF(ISNUMBER(G190), $B199 * H190, "")</f>
        <v>-15514.018691588784</v>
      </c>
      <c r="J190" s="15">
        <v>445</v>
      </c>
      <c r="K190" s="32">
        <f t="shared" ref="K190:K193" si="104">IF(ISNUMBER(J190), (J190 - $B190) / $B190, "")</f>
        <v>-0.16822429906542055</v>
      </c>
      <c r="L190" s="18">
        <f>IF(ISNUMBER(J190), $B199 * K190, "")</f>
        <v>-16822.429906542056</v>
      </c>
      <c r="M190" s="31">
        <v>452</v>
      </c>
      <c r="N190" s="32">
        <f t="shared" ref="N190:N193" si="105">IF(ISNUMBER(M190), (M190 - $B190) / $B190, "")</f>
        <v>-0.15514018691588785</v>
      </c>
      <c r="O190" s="18">
        <f>IF(ISNUMBER(M190), $B199 * N190, "")</f>
        <v>-15514.018691588784</v>
      </c>
      <c r="Q190" s="242"/>
      <c r="R190" s="243"/>
      <c r="S190" s="244"/>
    </row>
    <row r="191" spans="1:19" ht="17.25" thickBot="1">
      <c r="A191" s="162" t="s">
        <v>234</v>
      </c>
      <c r="B191" s="126">
        <v>313</v>
      </c>
      <c r="C191" s="77">
        <v>-0.2918552036</v>
      </c>
      <c r="D191" s="15">
        <v>269</v>
      </c>
      <c r="E191" s="32">
        <f t="shared" si="102"/>
        <v>-0.14057507987220447</v>
      </c>
      <c r="F191" s="18">
        <f>IF(ISNUMBER(D191), $B199 * E191, "")</f>
        <v>-14057.507987220446</v>
      </c>
      <c r="G191" s="31">
        <v>284</v>
      </c>
      <c r="H191" s="32">
        <f t="shared" si="103"/>
        <v>-9.2651757188498399E-2</v>
      </c>
      <c r="I191" s="101">
        <f>IF(ISNUMBER(G191), $B199 * H191, "")</f>
        <v>-9265.1757188498395</v>
      </c>
      <c r="J191" s="15">
        <v>284</v>
      </c>
      <c r="K191" s="32">
        <f t="shared" si="104"/>
        <v>-9.2651757188498399E-2</v>
      </c>
      <c r="L191" s="18">
        <f>IF(ISNUMBER(J191), $B199 * K191, "")</f>
        <v>-9265.1757188498395</v>
      </c>
      <c r="M191" s="31">
        <v>285</v>
      </c>
      <c r="N191" s="32">
        <f t="shared" si="105"/>
        <v>-8.9456869009584661E-2</v>
      </c>
      <c r="O191" s="18">
        <f>IF(ISNUMBER(M191), $B199 * N191, "")</f>
        <v>-8945.6869009584661</v>
      </c>
      <c r="Q191" s="235"/>
      <c r="R191" s="235"/>
      <c r="S191" s="235"/>
    </row>
    <row r="192" spans="1:19" ht="17.25" thickBot="1">
      <c r="A192" s="162" t="s">
        <v>252</v>
      </c>
      <c r="B192" s="126">
        <v>116</v>
      </c>
      <c r="C192" s="77">
        <v>-0.29268292680000002</v>
      </c>
      <c r="D192" s="15">
        <v>88.5</v>
      </c>
      <c r="E192" s="32">
        <f t="shared" si="102"/>
        <v>-0.23706896551724138</v>
      </c>
      <c r="F192" s="18">
        <f>IF(ISNUMBER(D192), $B199 * E192, "")</f>
        <v>-23706.896551724138</v>
      </c>
      <c r="G192" s="31">
        <v>89.3</v>
      </c>
      <c r="H192" s="32">
        <f t="shared" si="103"/>
        <v>-0.23017241379310346</v>
      </c>
      <c r="I192" s="101">
        <f>IF(ISNUMBER(G192), $B199 * H192, "")</f>
        <v>-23017.241379310348</v>
      </c>
      <c r="J192" s="15">
        <v>89.1</v>
      </c>
      <c r="K192" s="32">
        <f t="shared" si="104"/>
        <v>-0.23189655172413798</v>
      </c>
      <c r="L192" s="18">
        <f>IF(ISNUMBER(J192), $B199 * K192, "")</f>
        <v>-23189.655172413797</v>
      </c>
      <c r="M192" s="31">
        <v>89.9</v>
      </c>
      <c r="N192" s="32">
        <f t="shared" si="105"/>
        <v>-0.22499999999999995</v>
      </c>
      <c r="O192" s="18">
        <f>IF(ISNUMBER(M192), $B199 * N192, "")</f>
        <v>-22499.999999999996</v>
      </c>
      <c r="Q192" s="245"/>
      <c r="R192" s="245"/>
      <c r="S192" s="245"/>
    </row>
    <row r="193" spans="1:19" ht="17.25" thickBot="1">
      <c r="A193" s="163" t="s">
        <v>208</v>
      </c>
      <c r="B193" s="128">
        <v>103</v>
      </c>
      <c r="C193" s="78">
        <v>-0.30872483220000002</v>
      </c>
      <c r="D193" s="20">
        <v>78.2</v>
      </c>
      <c r="E193" s="21">
        <f t="shared" si="102"/>
        <v>-0.24077669902912618</v>
      </c>
      <c r="F193" s="22">
        <f>IF(ISNUMBER(D193), $B199 * E193, "")</f>
        <v>-24077.669902912618</v>
      </c>
      <c r="G193" s="30">
        <v>82.1</v>
      </c>
      <c r="H193" s="21">
        <f t="shared" si="103"/>
        <v>-0.20291262135922336</v>
      </c>
      <c r="I193" s="105">
        <f>IF(ISNUMBER(G193), $B199 * H193, "")</f>
        <v>-20291.262135922338</v>
      </c>
      <c r="J193" s="20">
        <v>82.1</v>
      </c>
      <c r="K193" s="21">
        <f t="shared" si="104"/>
        <v>-0.20291262135922336</v>
      </c>
      <c r="L193" s="22">
        <f>IF(ISNUMBER(J193), $B199 * K193, "")</f>
        <v>-20291.262135922338</v>
      </c>
      <c r="M193" s="30">
        <v>84.9</v>
      </c>
      <c r="N193" s="21">
        <f t="shared" si="105"/>
        <v>-0.17572815533980576</v>
      </c>
      <c r="O193" s="22">
        <f>IF(ISNUMBER(M193), $B199 * N193, "")</f>
        <v>-17572.815533980578</v>
      </c>
      <c r="Q193" s="245"/>
      <c r="R193" s="245"/>
      <c r="S193" s="245"/>
    </row>
    <row r="194" spans="1:19" ht="17.25" thickBot="1">
      <c r="A194" s="162" t="s">
        <v>236</v>
      </c>
      <c r="B194" s="129">
        <v>21.8</v>
      </c>
      <c r="C194" s="80">
        <v>-0.31230283910000001</v>
      </c>
      <c r="D194" s="106">
        <v>16.399999999999999</v>
      </c>
      <c r="E194" s="107">
        <f>IF(ISNUMBER(D194), (D194 - $B194) / $B194, "")</f>
        <v>-0.24770642201834872</v>
      </c>
      <c r="F194" s="108">
        <f>IF(ISNUMBER(D194), $B199 * E194, "")</f>
        <v>-24770.642201834871</v>
      </c>
      <c r="G194" s="109">
        <v>16.8</v>
      </c>
      <c r="H194" s="107">
        <f>IF(ISNUMBER(G194), (G194 - $B194) / $B194, "")</f>
        <v>-0.2293577981651376</v>
      </c>
      <c r="I194" s="110">
        <f>IF(ISNUMBER(G194), $B199 * H194, "")</f>
        <v>-22935.779816513761</v>
      </c>
      <c r="J194" s="106">
        <v>16.7</v>
      </c>
      <c r="K194" s="107">
        <f>IF(ISNUMBER(J194), (J194 - $B194) / $B194, "")</f>
        <v>-0.23394495412844044</v>
      </c>
      <c r="L194" s="108">
        <f>IF(ISNUMBER(J194), $B199 * K194, "")</f>
        <v>-23394.495412844044</v>
      </c>
      <c r="M194" s="109">
        <v>16.899999999999999</v>
      </c>
      <c r="N194" s="107">
        <f>IF(ISNUMBER(M194), (M194 - $B194) / $B194, "")</f>
        <v>-0.22477064220183496</v>
      </c>
      <c r="O194" s="108">
        <f>IF(ISNUMBER(M194), $B199 * N194, "")</f>
        <v>-22477.064220183496</v>
      </c>
      <c r="Q194" s="235"/>
      <c r="R194" s="235"/>
      <c r="S194" s="235"/>
    </row>
    <row r="195" spans="1:19" ht="17.25" thickBot="1">
      <c r="A195" s="162" t="s">
        <v>218</v>
      </c>
      <c r="B195" s="126">
        <v>5.68</v>
      </c>
      <c r="C195" s="77">
        <v>-0.31566265059999998</v>
      </c>
      <c r="D195" s="15">
        <v>4.5599999999999996</v>
      </c>
      <c r="E195" s="32">
        <f t="shared" ref="E195:E198" si="106">IF(ISNUMBER(D195), (D195 - $B195) / $B195, "")</f>
        <v>-0.19718309859154931</v>
      </c>
      <c r="F195" s="18">
        <f>IF(ISNUMBER(D195), $B199 * E195, "")</f>
        <v>-19718.309859154931</v>
      </c>
      <c r="G195" s="31">
        <v>4.8499999999999996</v>
      </c>
      <c r="H195" s="32">
        <f t="shared" ref="H195:H198" si="107">IF(ISNUMBER(G195), (G195 - $B195) / $B195, "")</f>
        <v>-0.14612676056338031</v>
      </c>
      <c r="I195" s="101">
        <f>IF(ISNUMBER(G195), $B199 * H195, "")</f>
        <v>-14612.67605633803</v>
      </c>
      <c r="J195" s="15">
        <v>4.84</v>
      </c>
      <c r="K195" s="32">
        <f t="shared" ref="K195:K198" si="108">IF(ISNUMBER(J195), (J195 - $B195) / $B195, "")</f>
        <v>-0.14788732394366194</v>
      </c>
      <c r="L195" s="18">
        <f>IF(ISNUMBER(J195), $B199 * K195, "")</f>
        <v>-14788.732394366194</v>
      </c>
      <c r="M195" s="31">
        <v>4.8499999999999996</v>
      </c>
      <c r="N195" s="32">
        <f t="shared" ref="N195:N198" si="109">IF(ISNUMBER(M195), (M195 - $B195) / $B195, "")</f>
        <v>-0.14612676056338031</v>
      </c>
      <c r="O195" s="18">
        <f>IF(ISNUMBER(M195), $B199 * N195, "")</f>
        <v>-14612.67605633803</v>
      </c>
      <c r="Q195" s="235"/>
      <c r="R195" s="235"/>
      <c r="S195" s="235"/>
    </row>
    <row r="196" spans="1:19" ht="17.25" thickBot="1">
      <c r="A196" s="162" t="s">
        <v>254</v>
      </c>
      <c r="B196" s="126">
        <v>22.5</v>
      </c>
      <c r="C196" s="77">
        <v>-0.31610942250000001</v>
      </c>
      <c r="D196" s="15">
        <v>17.100000000000001</v>
      </c>
      <c r="E196" s="32">
        <f t="shared" si="106"/>
        <v>-0.23999999999999994</v>
      </c>
      <c r="F196" s="18">
        <f>IF(ISNUMBER(D196), $B199 * E196, "")</f>
        <v>-23999.999999999993</v>
      </c>
      <c r="G196" s="31">
        <v>18.600000000000001</v>
      </c>
      <c r="H196" s="32">
        <f t="shared" si="107"/>
        <v>-0.17333333333333328</v>
      </c>
      <c r="I196" s="101">
        <f>IF(ISNUMBER(G196), $B199 * H196, "")</f>
        <v>-17333.333333333328</v>
      </c>
      <c r="J196" s="15">
        <v>18</v>
      </c>
      <c r="K196" s="32">
        <f t="shared" si="108"/>
        <v>-0.2</v>
      </c>
      <c r="L196" s="18">
        <f>IF(ISNUMBER(J196), $B199 * K196, "")</f>
        <v>-20000</v>
      </c>
      <c r="M196" s="31">
        <v>17.899999999999999</v>
      </c>
      <c r="N196" s="32">
        <f t="shared" si="109"/>
        <v>-0.20444444444444451</v>
      </c>
      <c r="O196" s="18">
        <f>IF(ISNUMBER(M196), $B199 * N196, "")</f>
        <v>-20444.444444444453</v>
      </c>
      <c r="Q196" s="235"/>
      <c r="R196" s="235"/>
      <c r="S196" s="235"/>
    </row>
    <row r="197" spans="1:19">
      <c r="A197" s="162" t="s">
        <v>122</v>
      </c>
      <c r="B197" s="126">
        <v>27</v>
      </c>
      <c r="C197" s="77">
        <v>-0.3198992443</v>
      </c>
      <c r="D197" s="15">
        <v>19.8</v>
      </c>
      <c r="E197" s="32">
        <f t="shared" si="106"/>
        <v>-0.26666666666666666</v>
      </c>
      <c r="F197" s="18">
        <f>IF(ISNUMBER(D197), $B199 * E197, "")</f>
        <v>-26666.666666666668</v>
      </c>
      <c r="G197" s="31">
        <v>21</v>
      </c>
      <c r="H197" s="32">
        <f t="shared" si="107"/>
        <v>-0.22222222222222221</v>
      </c>
      <c r="I197" s="101">
        <f>IF(ISNUMBER(G197), $B199 * H197, "")</f>
        <v>-22222.222222222223</v>
      </c>
      <c r="J197" s="15">
        <v>20.7</v>
      </c>
      <c r="K197" s="32">
        <f t="shared" si="108"/>
        <v>-0.23333333333333336</v>
      </c>
      <c r="L197" s="18">
        <f>IF(ISNUMBER(J197), $B199 * K197, "")</f>
        <v>-23333.333333333336</v>
      </c>
      <c r="M197" s="31">
        <v>20.8</v>
      </c>
      <c r="N197" s="32">
        <f t="shared" si="109"/>
        <v>-0.2296296296296296</v>
      </c>
      <c r="O197" s="18">
        <f>IF(ISNUMBER(M197), $B199 * N197, "")</f>
        <v>-22962.96296296296</v>
      </c>
      <c r="Q197" s="224"/>
      <c r="R197" s="225"/>
      <c r="S197" s="226"/>
    </row>
    <row r="198" spans="1:19" ht="17.25" thickBot="1">
      <c r="A198" s="130" t="s">
        <v>172</v>
      </c>
      <c r="B198" s="131">
        <v>5.4</v>
      </c>
      <c r="C198" s="79">
        <v>-0.32075471700000002</v>
      </c>
      <c r="D198" s="24">
        <v>4.21</v>
      </c>
      <c r="E198" s="25">
        <f t="shared" si="106"/>
        <v>-0.22037037037037044</v>
      </c>
      <c r="F198" s="104">
        <f>IF(ISNUMBER(D198), $B199 * E198, "")</f>
        <v>-22037.037037037044</v>
      </c>
      <c r="G198" s="102">
        <v>4.5999999999999996</v>
      </c>
      <c r="H198" s="25">
        <f t="shared" si="107"/>
        <v>-0.14814814814814828</v>
      </c>
      <c r="I198" s="103">
        <f>IF(ISNUMBER(G198), $B199 * H198, "")</f>
        <v>-14814.814814814828</v>
      </c>
      <c r="J198" s="24">
        <v>4.38</v>
      </c>
      <c r="K198" s="25">
        <f t="shared" si="108"/>
        <v>-0.18888888888888897</v>
      </c>
      <c r="L198" s="104">
        <f>IF(ISNUMBER(J198), $B199 * K198, "")</f>
        <v>-18888.888888888898</v>
      </c>
      <c r="M198" s="102">
        <v>4.4400000000000004</v>
      </c>
      <c r="N198" s="25">
        <f t="shared" si="109"/>
        <v>-0.17777777777777776</v>
      </c>
      <c r="O198" s="104">
        <f>IF(ISNUMBER(M198), $B199 * N198, "")</f>
        <v>-17777.777777777777</v>
      </c>
      <c r="Q198" s="227"/>
      <c r="R198" s="228"/>
      <c r="S198" s="229"/>
    </row>
    <row r="199" spans="1:19" ht="17.25" thickBot="1">
      <c r="A199" s="132" t="s">
        <v>300</v>
      </c>
      <c r="B199" s="288">
        <f>$B$37</f>
        <v>100000</v>
      </c>
      <c r="C199" s="289"/>
      <c r="D199" s="26" t="s">
        <v>301</v>
      </c>
      <c r="E199" s="27">
        <f>IF(COUNT(E179:E198), SUM(E179:E198) / COUNT(E179:E198), 0)</f>
        <v>-0.14508536691375404</v>
      </c>
      <c r="F199" s="28">
        <f>SUM(F179:F198)</f>
        <v>-290170.73382750811</v>
      </c>
      <c r="G199" s="26" t="s">
        <v>301</v>
      </c>
      <c r="H199" s="27">
        <f>IF(COUNT(H179:H198), SUM(H179:H198) / COUNT(H179:H198), 0)</f>
        <v>-0.12442206316325415</v>
      </c>
      <c r="I199" s="28">
        <f>SUM(I179:I198)</f>
        <v>-248844.12632650833</v>
      </c>
      <c r="J199" s="26" t="s">
        <v>301</v>
      </c>
      <c r="K199" s="27">
        <f>IF(COUNT(K179:K198), SUM(K179:K198) / COUNT(K179:K198), 0)</f>
        <v>-0.13084220410227104</v>
      </c>
      <c r="L199" s="28">
        <f>SUM(L179:L198)</f>
        <v>-261684.40820454204</v>
      </c>
      <c r="M199" s="26" t="s">
        <v>301</v>
      </c>
      <c r="N199" s="27">
        <f>IF(COUNT(N179:N198), SUM(N179:N198) / COUNT(N179:N198), 0)</f>
        <v>-0.1280242052470566</v>
      </c>
      <c r="O199" s="28">
        <f>SUM(O179:O198)</f>
        <v>-256048.41049411328</v>
      </c>
      <c r="Q199" s="230"/>
      <c r="R199" s="231"/>
      <c r="S199" s="232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6EF39D-A54A-40D5-9A94-51E2A4A2884F}">
  <sheetPr codeName="Sheet20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6" t="s">
        <v>0</v>
      </c>
      <c r="B1" s="247"/>
      <c r="C1" s="247"/>
      <c r="D1" s="247"/>
      <c r="E1" s="247"/>
      <c r="F1" s="248"/>
      <c r="G1" s="277">
        <v>44361</v>
      </c>
      <c r="H1" s="278"/>
      <c r="I1" s="279"/>
      <c r="J1" s="246" t="s">
        <v>1</v>
      </c>
      <c r="K1" s="247"/>
      <c r="L1" s="247"/>
      <c r="M1" s="247"/>
      <c r="N1" s="247"/>
      <c r="O1" s="248"/>
      <c r="Q1" s="246" t="s">
        <v>2</v>
      </c>
      <c r="R1" s="248"/>
    </row>
    <row r="2" spans="1:19" ht="17.25" customHeight="1">
      <c r="A2" s="117" t="s">
        <v>3</v>
      </c>
      <c r="B2" s="280" t="s">
        <v>8</v>
      </c>
      <c r="C2" s="281"/>
      <c r="D2" s="281"/>
      <c r="E2" s="281"/>
      <c r="F2" s="282"/>
      <c r="G2" s="274" t="s">
        <v>46</v>
      </c>
      <c r="H2" s="275"/>
      <c r="I2" s="276"/>
      <c r="J2" s="1" t="s">
        <v>3</v>
      </c>
      <c r="K2" s="280" t="s">
        <v>350</v>
      </c>
      <c r="L2" s="281"/>
      <c r="M2" s="281"/>
      <c r="N2" s="281"/>
      <c r="O2" s="282"/>
      <c r="Q2" s="2" t="s">
        <v>6</v>
      </c>
      <c r="R2" s="3">
        <v>0.375</v>
      </c>
    </row>
    <row r="3" spans="1:19" ht="17.25" customHeight="1" thickBot="1">
      <c r="A3" s="118" t="s">
        <v>7</v>
      </c>
      <c r="B3" s="271" t="s">
        <v>358</v>
      </c>
      <c r="C3" s="272"/>
      <c r="D3" s="272"/>
      <c r="E3" s="272"/>
      <c r="F3" s="273"/>
      <c r="G3" s="26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114,315 KRW (5.72%)</v>
      </c>
      <c r="H3" s="268"/>
      <c r="I3" s="269"/>
      <c r="J3" s="4" t="s">
        <v>7</v>
      </c>
      <c r="K3" s="271" t="s">
        <v>351</v>
      </c>
      <c r="L3" s="272"/>
      <c r="M3" s="272"/>
      <c r="N3" s="272"/>
      <c r="O3" s="27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1" t="s">
        <v>16</v>
      </c>
      <c r="C4" s="272"/>
      <c r="D4" s="272"/>
      <c r="E4" s="272"/>
      <c r="F4" s="273"/>
      <c r="G4" s="274" t="s">
        <v>44</v>
      </c>
      <c r="H4" s="275"/>
      <c r="I4" s="276"/>
      <c r="J4" s="4" t="s">
        <v>11</v>
      </c>
      <c r="K4" s="271" t="s">
        <v>352</v>
      </c>
      <c r="L4" s="272"/>
      <c r="M4" s="272"/>
      <c r="N4" s="272"/>
      <c r="O4" s="27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1" t="s">
        <v>349</v>
      </c>
      <c r="C5" s="272"/>
      <c r="D5" s="272"/>
      <c r="E5" s="272"/>
      <c r="F5" s="273"/>
      <c r="G5" s="26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192,487 KRW (9.62%)</v>
      </c>
      <c r="H5" s="268"/>
      <c r="I5" s="269"/>
      <c r="J5" s="4" t="s">
        <v>15</v>
      </c>
      <c r="K5" s="271" t="s">
        <v>353</v>
      </c>
      <c r="L5" s="272"/>
      <c r="M5" s="272"/>
      <c r="N5" s="272"/>
      <c r="O5" s="273"/>
    </row>
    <row r="6" spans="1:19">
      <c r="A6" s="118" t="s">
        <v>18</v>
      </c>
      <c r="B6" s="271"/>
      <c r="C6" s="272"/>
      <c r="D6" s="272"/>
      <c r="E6" s="272"/>
      <c r="F6" s="273"/>
      <c r="G6" s="274" t="s">
        <v>45</v>
      </c>
      <c r="H6" s="275"/>
      <c r="I6" s="276"/>
      <c r="J6" s="4" t="s">
        <v>18</v>
      </c>
      <c r="K6" s="271" t="s">
        <v>354</v>
      </c>
      <c r="L6" s="272"/>
      <c r="M6" s="272"/>
      <c r="N6" s="272"/>
      <c r="O6" s="273"/>
    </row>
    <row r="7" spans="1:19" ht="17.25" thickBot="1">
      <c r="A7" s="118" t="s">
        <v>21</v>
      </c>
      <c r="B7" s="271"/>
      <c r="C7" s="272"/>
      <c r="D7" s="272"/>
      <c r="E7" s="272"/>
      <c r="F7" s="273"/>
      <c r="G7" s="26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118,520 KRW (5.93%)</v>
      </c>
      <c r="H7" s="268"/>
      <c r="I7" s="269"/>
      <c r="J7" s="4" t="s">
        <v>21</v>
      </c>
      <c r="K7" s="271" t="s">
        <v>355</v>
      </c>
      <c r="L7" s="272"/>
      <c r="M7" s="272"/>
      <c r="N7" s="272"/>
      <c r="O7" s="273"/>
    </row>
    <row r="8" spans="1:19" ht="17.25" thickBot="1">
      <c r="A8" s="118" t="s">
        <v>24</v>
      </c>
      <c r="B8" s="271"/>
      <c r="C8" s="272"/>
      <c r="D8" s="272"/>
      <c r="E8" s="272"/>
      <c r="F8" s="273"/>
      <c r="G8" s="274" t="s">
        <v>285</v>
      </c>
      <c r="H8" s="275"/>
      <c r="I8" s="276"/>
      <c r="J8" s="4" t="s">
        <v>24</v>
      </c>
      <c r="K8" s="271"/>
      <c r="L8" s="272"/>
      <c r="M8" s="272"/>
      <c r="N8" s="272"/>
      <c r="O8" s="273"/>
      <c r="Q8" s="246" t="s">
        <v>27</v>
      </c>
      <c r="R8" s="248"/>
    </row>
    <row r="9" spans="1:19" ht="17.25" thickBot="1">
      <c r="A9" s="118" t="s">
        <v>28</v>
      </c>
      <c r="B9" s="271"/>
      <c r="C9" s="272"/>
      <c r="D9" s="272"/>
      <c r="E9" s="272"/>
      <c r="F9" s="273"/>
      <c r="G9" s="26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265,833 KRW (13.29%)</v>
      </c>
      <c r="H9" s="268"/>
      <c r="I9" s="269"/>
      <c r="J9" s="4" t="s">
        <v>28</v>
      </c>
      <c r="K9" s="271"/>
      <c r="L9" s="272"/>
      <c r="M9" s="272"/>
      <c r="N9" s="272"/>
      <c r="O9" s="273"/>
      <c r="Q9" s="2" t="s">
        <v>29</v>
      </c>
      <c r="R9" s="6">
        <v>10</v>
      </c>
    </row>
    <row r="10" spans="1:19">
      <c r="A10" s="118" t="s">
        <v>30</v>
      </c>
      <c r="B10" s="271"/>
      <c r="C10" s="272"/>
      <c r="D10" s="272"/>
      <c r="E10" s="272"/>
      <c r="F10" s="273"/>
      <c r="G10" s="274" t="s">
        <v>47</v>
      </c>
      <c r="H10" s="275"/>
      <c r="I10" s="276"/>
      <c r="J10" s="4" t="s">
        <v>30</v>
      </c>
      <c r="K10" s="271" t="s">
        <v>356</v>
      </c>
      <c r="L10" s="272"/>
      <c r="M10" s="272"/>
      <c r="N10" s="272"/>
      <c r="O10" s="273"/>
      <c r="Q10" s="2" t="s">
        <v>31</v>
      </c>
      <c r="R10" s="6">
        <v>100</v>
      </c>
    </row>
    <row r="11" spans="1:19" ht="17.25" thickBot="1">
      <c r="A11" s="119" t="s">
        <v>32</v>
      </c>
      <c r="B11" s="264" t="s">
        <v>357</v>
      </c>
      <c r="C11" s="265"/>
      <c r="D11" s="265"/>
      <c r="E11" s="265"/>
      <c r="F11" s="266"/>
      <c r="G11" s="26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88,700 KRW (5.91%)</v>
      </c>
      <c r="H11" s="268"/>
      <c r="I11" s="269"/>
      <c r="J11" s="7" t="s">
        <v>32</v>
      </c>
      <c r="K11" s="264" t="s">
        <v>348</v>
      </c>
      <c r="L11" s="265"/>
      <c r="M11" s="265"/>
      <c r="N11" s="265"/>
      <c r="O11" s="266"/>
      <c r="Q11" s="65" t="s">
        <v>33</v>
      </c>
      <c r="R11" s="8">
        <v>1000</v>
      </c>
    </row>
    <row r="12" spans="1:19" ht="17.25" thickBot="1"/>
    <row r="13" spans="1:19" ht="17.25" customHeight="1" thickBot="1">
      <c r="A13" s="246" t="s">
        <v>34</v>
      </c>
      <c r="B13" s="247"/>
      <c r="C13" s="247"/>
      <c r="D13" s="247"/>
      <c r="E13" s="247"/>
      <c r="F13" s="247"/>
      <c r="G13" s="247"/>
      <c r="H13" s="247"/>
      <c r="I13" s="247"/>
      <c r="J13" s="247"/>
      <c r="K13" s="247"/>
      <c r="L13" s="247"/>
      <c r="M13" s="247"/>
      <c r="N13" s="247"/>
      <c r="O13" s="248"/>
      <c r="Q13" s="245"/>
      <c r="R13" s="245"/>
      <c r="S13" s="245"/>
    </row>
    <row r="14" spans="1:19" ht="17.25" customHeight="1" thickBot="1">
      <c r="A14" s="212" t="s">
        <v>35</v>
      </c>
      <c r="B14" s="246" t="s">
        <v>36</v>
      </c>
      <c r="C14" s="248"/>
      <c r="D14" s="246" t="s">
        <v>37</v>
      </c>
      <c r="E14" s="247"/>
      <c r="F14" s="248"/>
      <c r="G14" s="249">
        <f>_xlfn.IFNA(VLOOKUP(B14, 현재가테이블!$B$2:$D$200, 2, FALSE), "-")</f>
        <v>45335000</v>
      </c>
      <c r="H14" s="250"/>
      <c r="I14" s="251"/>
      <c r="J14" s="246" t="s">
        <v>38</v>
      </c>
      <c r="K14" s="247"/>
      <c r="L14" s="248"/>
      <c r="M14" s="252">
        <f>_xlfn.IFNA(VLOOKUP(B14, 현재가테이블!$B$2:$D$200, 3, FALSE), "-")</f>
        <v>-2.27209037E-2</v>
      </c>
      <c r="N14" s="253"/>
      <c r="O14" s="254"/>
      <c r="Q14" s="245"/>
      <c r="R14" s="245"/>
      <c r="S14" s="245"/>
    </row>
    <row r="15" spans="1:19" ht="17.25" customHeight="1" thickBot="1">
      <c r="A15" s="283" t="s">
        <v>39</v>
      </c>
      <c r="B15" s="284" t="str">
        <f>TEXT($G$1, "[$-ko-KR]yyyy-mm-dd(ddd) ") &amp; "오전 00:00"</f>
        <v>2021-06-14(월) 오전 00:00</v>
      </c>
      <c r="C15" s="285"/>
      <c r="D15" s="259" t="str">
        <f>TEXT($G$1, "[$-ko-KR]yyyy-mm-dd(ddd) ") &amp; "오후 14:00"</f>
        <v>2021-06-14(월) 오후 14:00</v>
      </c>
      <c r="E15" s="260"/>
      <c r="F15" s="261"/>
      <c r="G15" s="259" t="str">
        <f>TEXT($G$1, "[$-ko-KR]yyyy-mm-dd(ddd) ") &amp; "오후 19:00"</f>
        <v>2021-06-14(월) 오후 19:00</v>
      </c>
      <c r="H15" s="260"/>
      <c r="I15" s="261"/>
      <c r="J15" s="259" t="str">
        <f>TEXT($G$1, "[$-ko-KR]yyyy-mm-dd(ddd) ") &amp; "오후 21:00"</f>
        <v>2021-06-14(월) 오후 21:00</v>
      </c>
      <c r="K15" s="260"/>
      <c r="L15" s="261"/>
      <c r="M15" s="259" t="str">
        <f>TEXT($G$1+1, "[$-ko-KR]yyyy-mm-dd(ddd) ") &amp; "오전 00:00"</f>
        <v>2021-06-15(화) 오전 00:00</v>
      </c>
      <c r="N15" s="260"/>
      <c r="O15" s="261"/>
      <c r="Q15" s="245"/>
      <c r="R15" s="245"/>
      <c r="S15" s="245"/>
    </row>
    <row r="16" spans="1:19" ht="17.25" customHeight="1" thickBot="1">
      <c r="A16" s="28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3" t="s">
        <v>37</v>
      </c>
      <c r="H16" s="214" t="s">
        <v>40</v>
      </c>
      <c r="I16" s="21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5"/>
      <c r="R16" s="235"/>
      <c r="S16" s="235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75.900000000000006</v>
      </c>
      <c r="C17" s="76">
        <f>IF(NOT(ISBLANK(_xlfn.IFNA(VLOOKUP($A17, $A$40:$O$199, 3, FALSE), ))), _xlfn.IFNA(VLOOKUP($A17, $A$40:$O$199, 3, FALSE), ), "")</f>
        <v>-7.8431373000000006E-3</v>
      </c>
      <c r="D17" s="13">
        <f>IF(NOT(ISBLANK(_xlfn.IFNA(VLOOKUP($A17, $A$40:$O$199, 4, FALSE), ))), _xlfn.IFNA(VLOOKUP($A17, $A$40:$O$199, 4, FALSE), ), "")</f>
        <v>76.8</v>
      </c>
      <c r="E17" s="14">
        <f>IF(NOT(ISBLANK(_xlfn.IFNA(VLOOKUP($A17, $A$40:$O$199, 5, FALSE), ))), _xlfn.IFNA(VLOOKUP($A17, $A$40:$O$199, 5, FALSE), ), "")</f>
        <v>1.1857707509881309E-2</v>
      </c>
      <c r="F17" s="16">
        <f>IF(NOT(ISBLANK(_xlfn.IFNA(VLOOKUP($A17, $A$40:$O$199, 6, FALSE), ))), _xlfn.IFNA(VLOOKUP($A17, $A$40:$O$199, 6, FALSE), ), "")</f>
        <v>1185.7707509881309</v>
      </c>
      <c r="G17" s="29">
        <f>IF(NOT(ISBLANK(_xlfn.IFNA(VLOOKUP($A17, $A$40:$O$199, 7, FALSE), ))), _xlfn.IFNA(VLOOKUP($A17, $A$40:$O$199, 7, FALSE), ), "")</f>
        <v>83.4</v>
      </c>
      <c r="H17" s="14">
        <f>IF(NOT(ISBLANK(_xlfn.IFNA(VLOOKUP($A17, $A$40:$O$199, 8, FALSE), ))), _xlfn.IFNA(VLOOKUP($A17, $A$40:$O$199, 8, FALSE), ), "")</f>
        <v>9.8814229249011856E-2</v>
      </c>
      <c r="I17" s="100">
        <f>IF(NOT(ISBLANK(_xlfn.IFNA(VLOOKUP($A17, $A$40:$O$199, 9, FALSE), ))), _xlfn.IFNA(VLOOKUP($A17, $A$40:$O$199, 9, FALSE), ), "")</f>
        <v>9881.422924901186</v>
      </c>
      <c r="J17" s="13">
        <f>IF(NOT(ISBLANK(_xlfn.IFNA(VLOOKUP($A17, $A$40:$O$199, 10, FALSE), ))), _xlfn.IFNA(VLOOKUP($A17, $A$40:$O$199, 10, FALSE), ), "")</f>
        <v>80.8</v>
      </c>
      <c r="K17" s="14">
        <f>IF(NOT(ISBLANK(_xlfn.IFNA(VLOOKUP($A17, $A$40:$O$199, 11, FALSE), ))), _xlfn.IFNA(VLOOKUP($A17, $A$40:$O$199, 11, FALSE), ), "")</f>
        <v>6.4558629776020962E-2</v>
      </c>
      <c r="L17" s="16">
        <f>IF(NOT(ISBLANK(_xlfn.IFNA(VLOOKUP($A17, $A$40:$O$199, 12, FALSE), ))), _xlfn.IFNA(VLOOKUP($A17, $A$40:$O$199, 12, FALSE), ), "")</f>
        <v>6455.8629776020962</v>
      </c>
      <c r="M17" s="29">
        <f>IF(NOT(ISBLANK(_xlfn.IFNA(VLOOKUP($A17, $A$40:$O$199, 13, FALSE), ))), _xlfn.IFNA(VLOOKUP($A17, $A$40:$O$199, 13, FALSE), ), "")</f>
        <v>81.400000000000006</v>
      </c>
      <c r="N17" s="14">
        <f>IF(NOT(ISBLANK(_xlfn.IFNA(VLOOKUP($A17, $A$40:$O$199, 14, FALSE), ))), _xlfn.IFNA(VLOOKUP($A17, $A$40:$O$199, 14, FALSE), ), "")</f>
        <v>7.2463768115942018E-2</v>
      </c>
      <c r="O17" s="16">
        <f>IF(NOT(ISBLANK(_xlfn.IFNA(VLOOKUP($A17, $A$40:$O$199, 15, FALSE), ))), _xlfn.IFNA(VLOOKUP($A17, $A$40:$O$199, 15, FALSE), ), "")</f>
        <v>7246.3768115942021</v>
      </c>
      <c r="Q17" s="245"/>
      <c r="R17" s="245"/>
      <c r="S17" s="245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50.7</v>
      </c>
      <c r="C18" s="77">
        <f t="shared" ref="C18:C36" si="1">IF(NOT(ISBLANK(_xlfn.IFNA(VLOOKUP($A18, $A$40:$O$199, 3, FALSE), ))), _xlfn.IFNA(VLOOKUP($A18, $A$40:$O$199, 3, FALSE), ), "")</f>
        <v>-7.6502732200000007E-2</v>
      </c>
      <c r="D18" s="15">
        <f t="shared" ref="D18:D36" si="2">IF(NOT(ISBLANK(_xlfn.IFNA(VLOOKUP($A18, $A$40:$O$199, 4, FALSE), ))), _xlfn.IFNA(VLOOKUP($A18, $A$40:$O$199, 4, FALSE), ), "")</f>
        <v>55.9</v>
      </c>
      <c r="E18" s="32">
        <f t="shared" ref="E18:E36" si="3">IF(NOT(ISBLANK(_xlfn.IFNA(VLOOKUP($A18, $A$40:$O$199, 5, FALSE), ))), _xlfn.IFNA(VLOOKUP($A18, $A$40:$O$199, 5, FALSE), ), "")</f>
        <v>0.10256410256410248</v>
      </c>
      <c r="F18" s="18">
        <f t="shared" ref="F18:F36" si="4">IF(NOT(ISBLANK(_xlfn.IFNA(VLOOKUP($A18, $A$40:$O$199, 6, FALSE), ))), _xlfn.IFNA(VLOOKUP($A18, $A$40:$O$199, 6, FALSE), ), "")</f>
        <v>10256.410256410249</v>
      </c>
      <c r="G18" s="31">
        <f t="shared" ref="G18:G36" si="5">IF(NOT(ISBLANK(_xlfn.IFNA(VLOOKUP($A18, $A$40:$O$199, 7, FALSE), ))), _xlfn.IFNA(VLOOKUP($A18, $A$40:$O$199, 7, FALSE), ), "")</f>
        <v>56.5</v>
      </c>
      <c r="H18" s="32">
        <f t="shared" ref="H18:H36" si="6">IF(NOT(ISBLANK(_xlfn.IFNA(VLOOKUP($A18, $A$40:$O$199, 8, FALSE), ))), _xlfn.IFNA(VLOOKUP($A18, $A$40:$O$199, 8, FALSE), ), "")</f>
        <v>0.11439842209072972</v>
      </c>
      <c r="I18" s="101">
        <f t="shared" ref="I18:I36" si="7">IF(NOT(ISBLANK(_xlfn.IFNA(VLOOKUP($A18, $A$40:$O$199, 9, FALSE), ))), _xlfn.IFNA(VLOOKUP($A18, $A$40:$O$199, 9, FALSE), ), "")</f>
        <v>11439.842209072971</v>
      </c>
      <c r="J18" s="15">
        <f t="shared" ref="J18:J36" si="8">IF(NOT(ISBLANK(_xlfn.IFNA(VLOOKUP($A18, $A$40:$O$199, 10, FALSE), ))), _xlfn.IFNA(VLOOKUP($A18, $A$40:$O$199, 10, FALSE), ), "")</f>
        <v>55.6</v>
      </c>
      <c r="K18" s="32">
        <f t="shared" ref="K18:K36" si="9">IF(NOT(ISBLANK(_xlfn.IFNA(VLOOKUP($A18, $A$40:$O$199, 11, FALSE), ))), _xlfn.IFNA(VLOOKUP($A18, $A$40:$O$199, 11, FALSE), ), "")</f>
        <v>9.6646942800788921E-2</v>
      </c>
      <c r="L18" s="18">
        <f t="shared" ref="L18:L36" si="10">IF(NOT(ISBLANK(_xlfn.IFNA(VLOOKUP($A18, $A$40:$O$199, 12, FALSE), ))), _xlfn.IFNA(VLOOKUP($A18, $A$40:$O$199, 12, FALSE), ), "")</f>
        <v>9664.6942800788929</v>
      </c>
      <c r="M18" s="31">
        <f t="shared" ref="M18:M36" si="11">IF(NOT(ISBLANK(_xlfn.IFNA(VLOOKUP($A18, $A$40:$O$199, 13, FALSE), ))), _xlfn.IFNA(VLOOKUP($A18, $A$40:$O$199, 13, FALSE), ), "")</f>
        <v>56.5</v>
      </c>
      <c r="N18" s="32">
        <f t="shared" ref="N18:N36" si="12">IF(NOT(ISBLANK(_xlfn.IFNA(VLOOKUP($A18, $A$40:$O$199, 14, FALSE), ))), _xlfn.IFNA(VLOOKUP($A18, $A$40:$O$199, 14, FALSE), ), "")</f>
        <v>0.11439842209072972</v>
      </c>
      <c r="O18" s="18">
        <f t="shared" ref="O18:O36" si="13">IF(NOT(ISBLANK(_xlfn.IFNA(VLOOKUP($A18, $A$40:$O$199, 15, FALSE), ))), _xlfn.IFNA(VLOOKUP($A18, $A$40:$O$199, 15, FALSE), ), "")</f>
        <v>11439.842209072971</v>
      </c>
      <c r="Q18" s="245"/>
      <c r="R18" s="245"/>
      <c r="S18" s="245"/>
    </row>
    <row r="19" spans="1:19" ht="17.25" customHeight="1" thickBot="1">
      <c r="A19" s="162" t="s">
        <v>202</v>
      </c>
      <c r="B19" s="126">
        <f t="shared" si="0"/>
        <v>81</v>
      </c>
      <c r="C19" s="77">
        <f t="shared" si="1"/>
        <v>-9.5982142899999998E-2</v>
      </c>
      <c r="D19" s="15">
        <f t="shared" si="2"/>
        <v>89</v>
      </c>
      <c r="E19" s="32">
        <f t="shared" si="3"/>
        <v>9.8765432098765427E-2</v>
      </c>
      <c r="F19" s="18">
        <f t="shared" si="4"/>
        <v>9876.5432098765432</v>
      </c>
      <c r="G19" s="31">
        <f t="shared" si="5"/>
        <v>89.6</v>
      </c>
      <c r="H19" s="32">
        <f t="shared" si="6"/>
        <v>0.10617283950617278</v>
      </c>
      <c r="I19" s="101">
        <f t="shared" si="7"/>
        <v>10617.283950617277</v>
      </c>
      <c r="J19" s="15">
        <f t="shared" si="8"/>
        <v>88.8</v>
      </c>
      <c r="K19" s="32">
        <f t="shared" si="9"/>
        <v>9.6296296296296255E-2</v>
      </c>
      <c r="L19" s="18">
        <f t="shared" si="10"/>
        <v>9629.6296296296259</v>
      </c>
      <c r="M19" s="31">
        <f t="shared" si="11"/>
        <v>91.1</v>
      </c>
      <c r="N19" s="32">
        <f t="shared" si="12"/>
        <v>0.12469135802469129</v>
      </c>
      <c r="O19" s="18">
        <f t="shared" si="13"/>
        <v>12469.135802469129</v>
      </c>
      <c r="Q19" s="235"/>
      <c r="R19" s="235"/>
      <c r="S19" s="235"/>
    </row>
    <row r="20" spans="1:19" ht="17.25" customHeight="1" thickBot="1">
      <c r="A20" s="162" t="s">
        <v>120</v>
      </c>
      <c r="B20" s="126">
        <f t="shared" si="0"/>
        <v>131</v>
      </c>
      <c r="C20" s="77">
        <f t="shared" si="1"/>
        <v>7.6923076999999996E-3</v>
      </c>
      <c r="D20" s="15">
        <f t="shared" si="2"/>
        <v>136</v>
      </c>
      <c r="E20" s="32">
        <f t="shared" si="3"/>
        <v>3.8167938931297711E-2</v>
      </c>
      <c r="F20" s="18">
        <f t="shared" si="4"/>
        <v>3816.7938931297713</v>
      </c>
      <c r="G20" s="31">
        <f t="shared" si="5"/>
        <v>137</v>
      </c>
      <c r="H20" s="32">
        <f t="shared" si="6"/>
        <v>4.5801526717557252E-2</v>
      </c>
      <c r="I20" s="101">
        <f t="shared" si="7"/>
        <v>4580.1526717557254</v>
      </c>
      <c r="J20" s="15">
        <f t="shared" si="8"/>
        <v>136</v>
      </c>
      <c r="K20" s="32">
        <f t="shared" si="9"/>
        <v>3.8167938931297711E-2</v>
      </c>
      <c r="L20" s="18">
        <f t="shared" si="10"/>
        <v>3816.7938931297713</v>
      </c>
      <c r="M20" s="31">
        <f t="shared" si="11"/>
        <v>139</v>
      </c>
      <c r="N20" s="32">
        <f t="shared" si="12"/>
        <v>6.1068702290076333E-2</v>
      </c>
      <c r="O20" s="18">
        <f t="shared" si="13"/>
        <v>6106.8702290076335</v>
      </c>
      <c r="Q20" s="235"/>
      <c r="R20" s="235"/>
      <c r="S20" s="235"/>
    </row>
    <row r="21" spans="1:19" ht="17.25" customHeight="1" thickBot="1">
      <c r="A21" s="163" t="s">
        <v>246</v>
      </c>
      <c r="B21" s="128">
        <f t="shared" si="0"/>
        <v>250</v>
      </c>
      <c r="C21" s="78">
        <f t="shared" si="1"/>
        <v>-0.11032028469999999</v>
      </c>
      <c r="D21" s="20">
        <f t="shared" si="2"/>
        <v>260</v>
      </c>
      <c r="E21" s="21">
        <f t="shared" si="3"/>
        <v>0.04</v>
      </c>
      <c r="F21" s="22">
        <f t="shared" si="4"/>
        <v>4000</v>
      </c>
      <c r="G21" s="30">
        <f t="shared" si="5"/>
        <v>257</v>
      </c>
      <c r="H21" s="21">
        <f t="shared" si="6"/>
        <v>2.8000000000000001E-2</v>
      </c>
      <c r="I21" s="105">
        <f t="shared" si="7"/>
        <v>2800</v>
      </c>
      <c r="J21" s="20">
        <f t="shared" si="8"/>
        <v>254</v>
      </c>
      <c r="K21" s="21">
        <f t="shared" si="9"/>
        <v>1.6E-2</v>
      </c>
      <c r="L21" s="22">
        <f t="shared" si="10"/>
        <v>1600</v>
      </c>
      <c r="M21" s="30">
        <f t="shared" si="11"/>
        <v>262</v>
      </c>
      <c r="N21" s="21">
        <f t="shared" si="12"/>
        <v>4.8000000000000001E-2</v>
      </c>
      <c r="O21" s="22">
        <f t="shared" si="13"/>
        <v>4800</v>
      </c>
      <c r="Q21" s="235"/>
      <c r="R21" s="235"/>
      <c r="S21" s="235"/>
    </row>
    <row r="22" spans="1:19" ht="17.25" customHeight="1" thickBot="1">
      <c r="A22" s="162" t="s">
        <v>216</v>
      </c>
      <c r="B22" s="129">
        <f t="shared" si="0"/>
        <v>250</v>
      </c>
      <c r="C22" s="80">
        <f t="shared" si="1"/>
        <v>6.3829787200000002E-2</v>
      </c>
      <c r="D22" s="106">
        <f t="shared" si="2"/>
        <v>243</v>
      </c>
      <c r="E22" s="107">
        <f t="shared" si="3"/>
        <v>-2.8000000000000001E-2</v>
      </c>
      <c r="F22" s="108">
        <f t="shared" si="4"/>
        <v>-2800</v>
      </c>
      <c r="G22" s="109">
        <f t="shared" si="5"/>
        <v>243</v>
      </c>
      <c r="H22" s="107">
        <f t="shared" si="6"/>
        <v>-2.8000000000000001E-2</v>
      </c>
      <c r="I22" s="110">
        <f t="shared" si="7"/>
        <v>-2800</v>
      </c>
      <c r="J22" s="106">
        <f t="shared" si="8"/>
        <v>243</v>
      </c>
      <c r="K22" s="107">
        <f t="shared" si="9"/>
        <v>-2.8000000000000001E-2</v>
      </c>
      <c r="L22" s="108">
        <f t="shared" si="10"/>
        <v>-2800</v>
      </c>
      <c r="M22" s="109">
        <f t="shared" si="11"/>
        <v>248</v>
      </c>
      <c r="N22" s="107">
        <f t="shared" si="12"/>
        <v>-8.0000000000000002E-3</v>
      </c>
      <c r="O22" s="108">
        <f t="shared" si="13"/>
        <v>-800</v>
      </c>
      <c r="Q22" s="235"/>
      <c r="R22" s="235"/>
      <c r="S22" s="235"/>
    </row>
    <row r="23" spans="1:19" ht="17.25" customHeight="1" thickBot="1">
      <c r="A23" s="162" t="s">
        <v>170</v>
      </c>
      <c r="B23" s="126">
        <f t="shared" si="0"/>
        <v>256</v>
      </c>
      <c r="C23" s="77">
        <f t="shared" si="1"/>
        <v>5.7851239700000001E-2</v>
      </c>
      <c r="D23" s="15">
        <f t="shared" si="2"/>
        <v>238</v>
      </c>
      <c r="E23" s="32">
        <f t="shared" si="3"/>
        <v>-7.03125E-2</v>
      </c>
      <c r="F23" s="18">
        <f t="shared" si="4"/>
        <v>-7031.25</v>
      </c>
      <c r="G23" s="31">
        <f t="shared" si="5"/>
        <v>242</v>
      </c>
      <c r="H23" s="32">
        <f t="shared" si="6"/>
        <v>-5.46875E-2</v>
      </c>
      <c r="I23" s="101">
        <f t="shared" si="7"/>
        <v>-5468.75</v>
      </c>
      <c r="J23" s="15">
        <f t="shared" si="8"/>
        <v>242</v>
      </c>
      <c r="K23" s="32">
        <f t="shared" si="9"/>
        <v>-5.46875E-2</v>
      </c>
      <c r="L23" s="18">
        <f t="shared" si="10"/>
        <v>-5468.75</v>
      </c>
      <c r="M23" s="31">
        <f t="shared" si="11"/>
        <v>247</v>
      </c>
      <c r="N23" s="32">
        <f t="shared" si="12"/>
        <v>-3.515625E-2</v>
      </c>
      <c r="O23" s="18">
        <f t="shared" si="13"/>
        <v>-3515.625</v>
      </c>
      <c r="Q23" s="235"/>
      <c r="R23" s="235"/>
      <c r="S23" s="235"/>
    </row>
    <row r="24" spans="1:19" ht="17.25" customHeight="1" thickBot="1">
      <c r="A24" s="162" t="s">
        <v>192</v>
      </c>
      <c r="B24" s="126">
        <f t="shared" si="0"/>
        <v>957</v>
      </c>
      <c r="C24" s="77">
        <f t="shared" si="1"/>
        <v>4.7045951900000001E-2</v>
      </c>
      <c r="D24" s="15">
        <f t="shared" si="2"/>
        <v>1015</v>
      </c>
      <c r="E24" s="32">
        <f t="shared" si="3"/>
        <v>6.0606060606060608E-2</v>
      </c>
      <c r="F24" s="18">
        <f t="shared" si="4"/>
        <v>6060.606060606061</v>
      </c>
      <c r="G24" s="31">
        <f t="shared" si="5"/>
        <v>991</v>
      </c>
      <c r="H24" s="32">
        <f t="shared" si="6"/>
        <v>3.5527690700104496E-2</v>
      </c>
      <c r="I24" s="101">
        <f t="shared" si="7"/>
        <v>3552.7690700104495</v>
      </c>
      <c r="J24" s="15">
        <f t="shared" si="8"/>
        <v>980</v>
      </c>
      <c r="K24" s="32">
        <f t="shared" si="9"/>
        <v>2.4033437826541274E-2</v>
      </c>
      <c r="L24" s="18">
        <f t="shared" si="10"/>
        <v>2403.3437826541276</v>
      </c>
      <c r="M24" s="31">
        <f t="shared" si="11"/>
        <v>999</v>
      </c>
      <c r="N24" s="32">
        <f t="shared" si="12"/>
        <v>4.3887147335423198E-2</v>
      </c>
      <c r="O24" s="18">
        <f t="shared" si="13"/>
        <v>4388.7147335423197</v>
      </c>
      <c r="Q24" s="235"/>
      <c r="R24" s="235"/>
      <c r="S24" s="235"/>
    </row>
    <row r="25" spans="1:19" ht="17.25" customHeight="1" thickBot="1">
      <c r="A25" s="162" t="s">
        <v>114</v>
      </c>
      <c r="B25" s="126">
        <f t="shared" si="0"/>
        <v>9475</v>
      </c>
      <c r="C25" s="77">
        <f t="shared" si="1"/>
        <v>3.7219485500000003E-2</v>
      </c>
      <c r="D25" s="15">
        <f t="shared" si="2"/>
        <v>10020</v>
      </c>
      <c r="E25" s="32">
        <f t="shared" si="3"/>
        <v>5.7519788918205805E-2</v>
      </c>
      <c r="F25" s="18">
        <f t="shared" si="4"/>
        <v>5751.9788918205804</v>
      </c>
      <c r="G25" s="31">
        <f t="shared" si="5"/>
        <v>10420</v>
      </c>
      <c r="H25" s="32">
        <f t="shared" si="6"/>
        <v>9.9736147757255936E-2</v>
      </c>
      <c r="I25" s="101">
        <f t="shared" si="7"/>
        <v>9973.6147757255931</v>
      </c>
      <c r="J25" s="15">
        <f t="shared" si="8"/>
        <v>10510</v>
      </c>
      <c r="K25" s="32">
        <f t="shared" si="9"/>
        <v>0.10923482849604221</v>
      </c>
      <c r="L25" s="18">
        <f t="shared" si="10"/>
        <v>10923.482849604221</v>
      </c>
      <c r="M25" s="31">
        <f t="shared" si="11"/>
        <v>10570</v>
      </c>
      <c r="N25" s="32">
        <f t="shared" si="12"/>
        <v>0.11556728232189974</v>
      </c>
      <c r="O25" s="18">
        <f t="shared" si="13"/>
        <v>11556.728232189973</v>
      </c>
      <c r="Q25" s="33"/>
      <c r="R25" s="33"/>
    </row>
    <row r="26" spans="1:19" ht="17.25" customHeight="1" thickBot="1">
      <c r="A26" s="130" t="s">
        <v>186</v>
      </c>
      <c r="B26" s="131">
        <f t="shared" si="0"/>
        <v>14</v>
      </c>
      <c r="C26" s="79">
        <f t="shared" si="1"/>
        <v>3.7037037000000002E-2</v>
      </c>
      <c r="D26" s="24">
        <f t="shared" si="2"/>
        <v>14.6</v>
      </c>
      <c r="E26" s="25">
        <f t="shared" si="3"/>
        <v>4.285714285714283E-2</v>
      </c>
      <c r="F26" s="104">
        <f t="shared" si="4"/>
        <v>4285.7142857142826</v>
      </c>
      <c r="G26" s="102">
        <f t="shared" si="5"/>
        <v>14.6</v>
      </c>
      <c r="H26" s="25">
        <f t="shared" si="6"/>
        <v>4.285714285714283E-2</v>
      </c>
      <c r="I26" s="103">
        <f t="shared" si="7"/>
        <v>4285.7142857142826</v>
      </c>
      <c r="J26" s="24">
        <f t="shared" si="8"/>
        <v>14.5</v>
      </c>
      <c r="K26" s="25">
        <f t="shared" si="9"/>
        <v>3.5714285714285712E-2</v>
      </c>
      <c r="L26" s="104">
        <f t="shared" si="10"/>
        <v>3571.4285714285711</v>
      </c>
      <c r="M26" s="102">
        <f t="shared" si="11"/>
        <v>14.9</v>
      </c>
      <c r="N26" s="25">
        <f t="shared" si="12"/>
        <v>6.4285714285714307E-2</v>
      </c>
      <c r="O26" s="104">
        <f t="shared" si="13"/>
        <v>6428.5714285714303</v>
      </c>
      <c r="Q26" s="236"/>
      <c r="R26" s="237"/>
      <c r="S26" s="238"/>
    </row>
    <row r="27" spans="1:19" ht="17.25" customHeight="1">
      <c r="A27" s="161" t="s">
        <v>274</v>
      </c>
      <c r="B27" s="124">
        <f t="shared" si="0"/>
        <v>7110</v>
      </c>
      <c r="C27" s="76">
        <f t="shared" si="1"/>
        <v>7.6457229400000007E-2</v>
      </c>
      <c r="D27" s="13">
        <f t="shared" si="2"/>
        <v>7825</v>
      </c>
      <c r="E27" s="14">
        <f t="shared" si="3"/>
        <v>0.10056258790436005</v>
      </c>
      <c r="F27" s="16">
        <f t="shared" si="4"/>
        <v>10056.258790436006</v>
      </c>
      <c r="G27" s="29">
        <f t="shared" si="5"/>
        <v>7635</v>
      </c>
      <c r="H27" s="14">
        <f t="shared" si="6"/>
        <v>7.3839662447257384E-2</v>
      </c>
      <c r="I27" s="100">
        <f t="shared" si="7"/>
        <v>7383.9662447257388</v>
      </c>
      <c r="J27" s="13">
        <f t="shared" si="8"/>
        <v>7465</v>
      </c>
      <c r="K27" s="14">
        <f t="shared" si="9"/>
        <v>4.9929676511954992E-2</v>
      </c>
      <c r="L27" s="16">
        <f t="shared" si="10"/>
        <v>4992.9676511954995</v>
      </c>
      <c r="M27" s="29">
        <f t="shared" si="11"/>
        <v>7875</v>
      </c>
      <c r="N27" s="14">
        <f t="shared" si="12"/>
        <v>0.10759493670886076</v>
      </c>
      <c r="O27" s="16">
        <f t="shared" si="13"/>
        <v>10759.493670886077</v>
      </c>
      <c r="Q27" s="239"/>
      <c r="R27" s="240"/>
      <c r="S27" s="241"/>
    </row>
    <row r="28" spans="1:19" ht="17.25" customHeight="1" thickBot="1">
      <c r="A28" s="162" t="s">
        <v>146</v>
      </c>
      <c r="B28" s="126">
        <f t="shared" si="0"/>
        <v>9075</v>
      </c>
      <c r="C28" s="77">
        <f t="shared" si="1"/>
        <v>3.0079455200000001E-2</v>
      </c>
      <c r="D28" s="15">
        <f t="shared" si="2"/>
        <v>9090</v>
      </c>
      <c r="E28" s="32">
        <f t="shared" si="3"/>
        <v>1.652892561983471E-3</v>
      </c>
      <c r="F28" s="18">
        <f t="shared" si="4"/>
        <v>165.28925619834709</v>
      </c>
      <c r="G28" s="31">
        <f t="shared" si="5"/>
        <v>9095</v>
      </c>
      <c r="H28" s="32">
        <f t="shared" si="6"/>
        <v>2.2038567493112946E-3</v>
      </c>
      <c r="I28" s="101">
        <f t="shared" si="7"/>
        <v>220.38567493112944</v>
      </c>
      <c r="J28" s="15">
        <f t="shared" si="8"/>
        <v>9070</v>
      </c>
      <c r="K28" s="32">
        <f t="shared" si="9"/>
        <v>-5.5096418732782364E-4</v>
      </c>
      <c r="L28" s="18">
        <f t="shared" si="10"/>
        <v>-55.096418732782361</v>
      </c>
      <c r="M28" s="31">
        <f t="shared" si="11"/>
        <v>9320</v>
      </c>
      <c r="N28" s="32">
        <f t="shared" si="12"/>
        <v>2.6997245179063361E-2</v>
      </c>
      <c r="O28" s="18">
        <f t="shared" si="13"/>
        <v>2699.7245179063361</v>
      </c>
      <c r="Q28" s="242"/>
      <c r="R28" s="243"/>
      <c r="S28" s="244"/>
    </row>
    <row r="29" spans="1:19" ht="17.25" customHeight="1" thickBot="1">
      <c r="A29" s="162" t="s">
        <v>270</v>
      </c>
      <c r="B29" s="126">
        <f t="shared" si="0"/>
        <v>309</v>
      </c>
      <c r="C29" s="77">
        <f t="shared" si="1"/>
        <v>2.3178807900000001E-2</v>
      </c>
      <c r="D29" s="15">
        <f t="shared" si="2"/>
        <v>317</v>
      </c>
      <c r="E29" s="32">
        <f t="shared" si="3"/>
        <v>2.5889967637540454E-2</v>
      </c>
      <c r="F29" s="18">
        <f t="shared" si="4"/>
        <v>2588.9967637540453</v>
      </c>
      <c r="G29" s="31">
        <f t="shared" si="5"/>
        <v>324</v>
      </c>
      <c r="H29" s="32">
        <f t="shared" si="6"/>
        <v>4.8543689320388349E-2</v>
      </c>
      <c r="I29" s="101">
        <f t="shared" si="7"/>
        <v>4854.3689320388348</v>
      </c>
      <c r="J29" s="15">
        <f t="shared" si="8"/>
        <v>329</v>
      </c>
      <c r="K29" s="32">
        <f t="shared" si="9"/>
        <v>6.4724919093851127E-2</v>
      </c>
      <c r="L29" s="18">
        <f t="shared" si="10"/>
        <v>6472.4919093851131</v>
      </c>
      <c r="M29" s="31">
        <f t="shared" si="11"/>
        <v>338</v>
      </c>
      <c r="N29" s="32">
        <f t="shared" si="12"/>
        <v>9.3851132686084138E-2</v>
      </c>
      <c r="O29" s="18">
        <f t="shared" si="13"/>
        <v>9385.1132686084129</v>
      </c>
      <c r="Q29" s="235"/>
      <c r="R29" s="235"/>
      <c r="S29" s="235"/>
    </row>
    <row r="30" spans="1:19" ht="17.25" customHeight="1" thickBot="1">
      <c r="A30" s="162" t="s">
        <v>276</v>
      </c>
      <c r="B30" s="126">
        <f t="shared" si="0"/>
        <v>2430</v>
      </c>
      <c r="C30" s="77">
        <f t="shared" si="1"/>
        <v>2.10084034E-2</v>
      </c>
      <c r="D30" s="15">
        <f t="shared" si="2"/>
        <v>2445</v>
      </c>
      <c r="E30" s="32">
        <f t="shared" si="3"/>
        <v>6.1728395061728392E-3</v>
      </c>
      <c r="F30" s="18">
        <f t="shared" si="4"/>
        <v>617.28395061728395</v>
      </c>
      <c r="G30" s="31">
        <f t="shared" si="5"/>
        <v>2450</v>
      </c>
      <c r="H30" s="32">
        <f t="shared" si="6"/>
        <v>8.23045267489712E-3</v>
      </c>
      <c r="I30" s="101">
        <f t="shared" si="7"/>
        <v>823.04526748971205</v>
      </c>
      <c r="J30" s="15">
        <f t="shared" si="8"/>
        <v>2460</v>
      </c>
      <c r="K30" s="32">
        <f t="shared" si="9"/>
        <v>1.2345679012345678E-2</v>
      </c>
      <c r="L30" s="18">
        <f t="shared" si="10"/>
        <v>1234.5679012345679</v>
      </c>
      <c r="M30" s="31">
        <f t="shared" si="11"/>
        <v>2530</v>
      </c>
      <c r="N30" s="32">
        <f t="shared" si="12"/>
        <v>4.1152263374485597E-2</v>
      </c>
      <c r="O30" s="18">
        <f t="shared" si="13"/>
        <v>4115.2263374485601</v>
      </c>
      <c r="Q30" s="245"/>
      <c r="R30" s="245"/>
      <c r="S30" s="245"/>
    </row>
    <row r="31" spans="1:19" ht="17.25" customHeight="1" thickBot="1">
      <c r="A31" s="163" t="s">
        <v>272</v>
      </c>
      <c r="B31" s="128">
        <f t="shared" si="0"/>
        <v>1235</v>
      </c>
      <c r="C31" s="78">
        <f t="shared" si="1"/>
        <v>2.0661156999999999E-2</v>
      </c>
      <c r="D31" s="20">
        <f t="shared" si="2"/>
        <v>1225</v>
      </c>
      <c r="E31" s="21">
        <f t="shared" si="3"/>
        <v>-8.0971659919028341E-3</v>
      </c>
      <c r="F31" s="22">
        <f t="shared" si="4"/>
        <v>-809.71659919028343</v>
      </c>
      <c r="G31" s="30">
        <f t="shared" si="5"/>
        <v>1230</v>
      </c>
      <c r="H31" s="21">
        <f t="shared" si="6"/>
        <v>-4.048582995951417E-3</v>
      </c>
      <c r="I31" s="105">
        <f t="shared" si="7"/>
        <v>-404.85829959514172</v>
      </c>
      <c r="J31" s="20">
        <f t="shared" si="8"/>
        <v>1230</v>
      </c>
      <c r="K31" s="21">
        <f t="shared" si="9"/>
        <v>-4.048582995951417E-3</v>
      </c>
      <c r="L31" s="22">
        <f t="shared" si="10"/>
        <v>-404.85829959514172</v>
      </c>
      <c r="M31" s="30">
        <f t="shared" si="11"/>
        <v>1255</v>
      </c>
      <c r="N31" s="21">
        <f t="shared" si="12"/>
        <v>1.6194331983805668E-2</v>
      </c>
      <c r="O31" s="22">
        <f t="shared" si="13"/>
        <v>1619.4331983805669</v>
      </c>
      <c r="Q31" s="245"/>
      <c r="R31" s="245"/>
      <c r="S31" s="24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5"/>
      <c r="R32" s="235"/>
      <c r="S32" s="235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5"/>
      <c r="R33" s="235"/>
      <c r="S33" s="235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5"/>
      <c r="R34" s="235"/>
      <c r="S34" s="235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4"/>
      <c r="R35" s="225"/>
      <c r="S35" s="22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7"/>
      <c r="R36" s="228"/>
      <c r="S36" s="229"/>
    </row>
    <row r="37" spans="1:19" ht="17.25" customHeight="1" thickBot="1">
      <c r="A37" s="132" t="s">
        <v>42</v>
      </c>
      <c r="B37" s="288">
        <v>100000</v>
      </c>
      <c r="C37" s="289"/>
      <c r="D37" s="26" t="s">
        <v>43</v>
      </c>
      <c r="E37" s="27">
        <f>IF(COUNT(E17:E36), SUM(E17:E36) / COUNT(E17:E36), 0)</f>
        <v>3.2013786340240678E-2</v>
      </c>
      <c r="F37" s="28">
        <f>SUM(F17:F36)</f>
        <v>48020.67951036102</v>
      </c>
      <c r="G37" s="26" t="s">
        <v>43</v>
      </c>
      <c r="H37" s="27">
        <f>IF(COUNT(H17:H36), SUM(H17:H36) / COUNT(H17:H36), 0)</f>
        <v>4.1159305138258502E-2</v>
      </c>
      <c r="I37" s="28">
        <f>SUM(I17:I36)</f>
        <v>61738.957707387752</v>
      </c>
      <c r="J37" s="26" t="s">
        <v>43</v>
      </c>
      <c r="K37" s="27">
        <f>IF(COUNT(K17:K36), SUM(K17:K36) / COUNT(K17:K36), 0)</f>
        <v>3.4691039151743035E-2</v>
      </c>
      <c r="L37" s="28">
        <f>SUM(L17:L36)</f>
        <v>52036.558727614552</v>
      </c>
      <c r="M37" s="26" t="s">
        <v>43</v>
      </c>
      <c r="N37" s="27">
        <f>IF(COUNT(N17:N36), SUM(N17:N36) / COUNT(N17:N36), 0)</f>
        <v>5.9133070293118407E-2</v>
      </c>
      <c r="O37" s="28">
        <f>SUM(O17:O36)</f>
        <v>88699.605439677602</v>
      </c>
      <c r="Q37" s="230"/>
      <c r="R37" s="231"/>
      <c r="S37" s="232"/>
    </row>
    <row r="38" spans="1:19" ht="17.25" customHeight="1"/>
    <row r="39" spans="1:19" ht="17.25" customHeight="1" thickBot="1"/>
    <row r="40" spans="1:19" ht="17.25" customHeight="1" thickBot="1">
      <c r="A40" s="246" t="s">
        <v>44</v>
      </c>
      <c r="B40" s="247"/>
      <c r="C40" s="247"/>
      <c r="D40" s="247"/>
      <c r="E40" s="247"/>
      <c r="F40" s="247"/>
      <c r="G40" s="247"/>
      <c r="H40" s="247"/>
      <c r="I40" s="247"/>
      <c r="J40" s="247"/>
      <c r="K40" s="247"/>
      <c r="L40" s="247"/>
      <c r="M40" s="247"/>
      <c r="N40" s="247"/>
      <c r="O40" s="248"/>
      <c r="Q40" s="245"/>
      <c r="R40" s="245"/>
      <c r="S40" s="245"/>
    </row>
    <row r="41" spans="1:19" ht="17.25" customHeight="1" thickBot="1">
      <c r="A41" s="212" t="s">
        <v>297</v>
      </c>
      <c r="B41" s="246" t="s">
        <v>49</v>
      </c>
      <c r="C41" s="248"/>
      <c r="D41" s="246" t="s">
        <v>58</v>
      </c>
      <c r="E41" s="247"/>
      <c r="F41" s="248"/>
      <c r="G41" s="249">
        <f>_xlfn.IFNA(VLOOKUP(B41, 현재가테이블!$B$2:$D$200, 2, FALSE), "-")</f>
        <v>45335000</v>
      </c>
      <c r="H41" s="250"/>
      <c r="I41" s="251"/>
      <c r="J41" s="246" t="s">
        <v>59</v>
      </c>
      <c r="K41" s="247"/>
      <c r="L41" s="248"/>
      <c r="M41" s="252">
        <f>_xlfn.IFNA(VLOOKUP(B41, 현재가테이블!$B$2:$D$200, 3, FALSE), "-")</f>
        <v>-2.27209037E-2</v>
      </c>
      <c r="N41" s="253"/>
      <c r="O41" s="254"/>
      <c r="Q41" s="245"/>
      <c r="R41" s="245"/>
      <c r="S41" s="245"/>
    </row>
    <row r="42" spans="1:19" ht="17.25" customHeight="1" thickBot="1">
      <c r="A42" s="290" t="s">
        <v>55</v>
      </c>
      <c r="B42" s="286" t="str">
        <f>TEXT($G$1, "[$-ko-KR]yyyy-mm-dd(ddd) ") &amp; "오전 00:00"</f>
        <v>2021-06-14(월) 오전 00:00</v>
      </c>
      <c r="C42" s="287"/>
      <c r="D42" s="259" t="str">
        <f>TEXT($G$1, "[$-ko-KR]yyyy-mm-dd(ddd) ") &amp; "오후 14:00"</f>
        <v>2021-06-14(월) 오후 14:00</v>
      </c>
      <c r="E42" s="260"/>
      <c r="F42" s="261"/>
      <c r="G42" s="259" t="str">
        <f>TEXT($G$1, "[$-ko-KR]yyyy-mm-dd(ddd) ") &amp; "오후 19:00"</f>
        <v>2021-06-14(월) 오후 19:00</v>
      </c>
      <c r="H42" s="260"/>
      <c r="I42" s="261"/>
      <c r="J42" s="259" t="str">
        <f>TEXT($G$1, "[$-ko-KR]yyyy-mm-dd(ddd) ") &amp; "오후 21:00"</f>
        <v>2021-06-14(월) 오후 21:00</v>
      </c>
      <c r="K42" s="260"/>
      <c r="L42" s="261"/>
      <c r="M42" s="259" t="str">
        <f>TEXT($G$1+1, "[$-ko-KR]yyyy-mm-dd(ddd) ") &amp; "오전 00:00"</f>
        <v>2021-06-15(화) 오전 00:00</v>
      </c>
      <c r="N42" s="260"/>
      <c r="O42" s="261"/>
      <c r="Q42" s="245"/>
      <c r="R42" s="245"/>
      <c r="S42" s="245"/>
    </row>
    <row r="43" spans="1:19" ht="17.25" customHeight="1" thickBot="1">
      <c r="A43" s="291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213" t="s">
        <v>58</v>
      </c>
      <c r="H43" s="214" t="s">
        <v>298</v>
      </c>
      <c r="I43" s="215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5"/>
      <c r="R43" s="235"/>
      <c r="S43" s="235"/>
    </row>
    <row r="44" spans="1:19" ht="17.25" customHeight="1" thickBot="1">
      <c r="A44" s="161" t="s">
        <v>186</v>
      </c>
      <c r="B44" s="124">
        <v>14</v>
      </c>
      <c r="C44" s="76">
        <v>3.7037037000000002E-2</v>
      </c>
      <c r="D44" s="13">
        <v>14.6</v>
      </c>
      <c r="E44" s="14">
        <f>IF(ISNUMBER(D44), (D44 - $B44) / $B44, "")</f>
        <v>4.285714285714283E-2</v>
      </c>
      <c r="F44" s="16">
        <f>IF(ISNUMBER(D44), $B64 * E44, "")</f>
        <v>4285.7142857142826</v>
      </c>
      <c r="G44" s="29">
        <v>14.6</v>
      </c>
      <c r="H44" s="14">
        <f>IF(ISNUMBER(G44), (G44 - $B44) / $B44, "")</f>
        <v>4.285714285714283E-2</v>
      </c>
      <c r="I44" s="100">
        <f>IF(ISNUMBER(G44), $B64 * H44, "")</f>
        <v>4285.7142857142826</v>
      </c>
      <c r="J44" s="13">
        <v>14.5</v>
      </c>
      <c r="K44" s="14">
        <f>IF(ISNUMBER(J44), (J44 - $B44) / $B44, "")</f>
        <v>3.5714285714285712E-2</v>
      </c>
      <c r="L44" s="16">
        <f>IF(ISNUMBER(J44), $B64 * K44, "")</f>
        <v>3571.4285714285711</v>
      </c>
      <c r="M44" s="29">
        <v>14.9</v>
      </c>
      <c r="N44" s="14">
        <f>IF(ISNUMBER(M44), (M44 - $B44) / $B44, "")</f>
        <v>6.4285714285714307E-2</v>
      </c>
      <c r="O44" s="16">
        <f>IF(ISNUMBER(M44), $B64 * N44, "")</f>
        <v>6428.5714285714303</v>
      </c>
      <c r="Q44" s="245"/>
      <c r="R44" s="245"/>
      <c r="S44" s="245"/>
    </row>
    <row r="45" spans="1:19" ht="17.25" customHeight="1" thickBot="1">
      <c r="A45" s="162" t="s">
        <v>65</v>
      </c>
      <c r="B45" s="126">
        <v>30.7</v>
      </c>
      <c r="C45" s="77">
        <v>-3.2467531999999999E-3</v>
      </c>
      <c r="D45" s="15">
        <v>31.7</v>
      </c>
      <c r="E45" s="32">
        <f t="shared" ref="E45:E48" si="14">IF(ISNUMBER(D45), (D45 - $B45) / $B45, "")</f>
        <v>3.2573289902280131E-2</v>
      </c>
      <c r="F45" s="18">
        <f>IF(ISNUMBER(D45), $B64 * E45, "")</f>
        <v>3257.328990228013</v>
      </c>
      <c r="G45" s="31">
        <v>31.7</v>
      </c>
      <c r="H45" s="32">
        <f t="shared" ref="H45:H48" si="15">IF(ISNUMBER(G45), (G45 - $B45) / $B45, "")</f>
        <v>3.2573289902280131E-2</v>
      </c>
      <c r="I45" s="101">
        <f>IF(ISNUMBER(G45), $B64 * H45, "")</f>
        <v>3257.328990228013</v>
      </c>
      <c r="J45" s="15">
        <v>31.7</v>
      </c>
      <c r="K45" s="32">
        <f t="shared" ref="K45:K48" si="16">IF(ISNUMBER(J45), (J45 - $B45) / $B45, "")</f>
        <v>3.2573289902280131E-2</v>
      </c>
      <c r="L45" s="18">
        <f>IF(ISNUMBER(J45), $B64 * K45, "")</f>
        <v>3257.328990228013</v>
      </c>
      <c r="M45" s="31">
        <v>33</v>
      </c>
      <c r="N45" s="32">
        <f t="shared" ref="N45:N48" si="17">IF(ISNUMBER(M45), (M45 - $B45) / $B45, "")</f>
        <v>7.4918566775244319E-2</v>
      </c>
      <c r="O45" s="18">
        <f>IF(ISNUMBER(M45), $B64 * N45, "")</f>
        <v>7491.8566775244317</v>
      </c>
      <c r="Q45" s="245"/>
      <c r="R45" s="245"/>
      <c r="S45" s="245"/>
    </row>
    <row r="46" spans="1:19" ht="17.25" customHeight="1" thickBot="1">
      <c r="A46" s="162" t="s">
        <v>100</v>
      </c>
      <c r="B46" s="126">
        <v>3.89</v>
      </c>
      <c r="C46" s="77">
        <v>-5.1150895000000004E-3</v>
      </c>
      <c r="D46" s="15">
        <v>4</v>
      </c>
      <c r="E46" s="32">
        <f t="shared" si="14"/>
        <v>2.8277634961439556E-2</v>
      </c>
      <c r="F46" s="18">
        <f>IF(ISNUMBER(D46), $B64 * E46, "")</f>
        <v>2827.7634961439558</v>
      </c>
      <c r="G46" s="31">
        <v>4.01</v>
      </c>
      <c r="H46" s="32">
        <f t="shared" si="15"/>
        <v>3.08483290488431E-2</v>
      </c>
      <c r="I46" s="101">
        <f>IF(ISNUMBER(G46), $B64 * H46, "")</f>
        <v>3084.8329048843102</v>
      </c>
      <c r="J46" s="15">
        <v>3.98</v>
      </c>
      <c r="K46" s="32">
        <f t="shared" si="16"/>
        <v>2.3136246786632352E-2</v>
      </c>
      <c r="L46" s="18">
        <f>IF(ISNUMBER(J46), $B64 * K46, "")</f>
        <v>2313.624678663235</v>
      </c>
      <c r="M46" s="31">
        <v>4.08</v>
      </c>
      <c r="N46" s="32">
        <f t="shared" si="17"/>
        <v>4.8843187660668363E-2</v>
      </c>
      <c r="O46" s="18">
        <f>IF(ISNUMBER(M46), $B64 * N46, "")</f>
        <v>4884.3187660668364</v>
      </c>
      <c r="Q46" s="235"/>
      <c r="R46" s="235"/>
      <c r="S46" s="235"/>
    </row>
    <row r="47" spans="1:19" ht="17.25" customHeight="1" thickBot="1">
      <c r="A47" s="162" t="s">
        <v>152</v>
      </c>
      <c r="B47" s="126">
        <v>17.3</v>
      </c>
      <c r="C47" s="77">
        <v>-5.7471264000000001E-3</v>
      </c>
      <c r="D47" s="15">
        <v>18.2</v>
      </c>
      <c r="E47" s="32">
        <f t="shared" si="14"/>
        <v>5.2023121387283155E-2</v>
      </c>
      <c r="F47" s="18">
        <f>IF(ISNUMBER(D47), $B64 * E47, "")</f>
        <v>5202.3121387283154</v>
      </c>
      <c r="G47" s="31">
        <v>18.2</v>
      </c>
      <c r="H47" s="32">
        <f t="shared" si="15"/>
        <v>5.2023121387283155E-2</v>
      </c>
      <c r="I47" s="101">
        <f>IF(ISNUMBER(G47), $B64 * H47, "")</f>
        <v>5202.3121387283154</v>
      </c>
      <c r="J47" s="15">
        <v>18</v>
      </c>
      <c r="K47" s="32">
        <f t="shared" si="16"/>
        <v>4.0462427745664699E-2</v>
      </c>
      <c r="L47" s="18">
        <f>IF(ISNUMBER(J47), $B64 * K47, "")</f>
        <v>4046.24277456647</v>
      </c>
      <c r="M47" s="31">
        <v>18.399999999999999</v>
      </c>
      <c r="N47" s="32">
        <f t="shared" si="17"/>
        <v>6.3583815028901605E-2</v>
      </c>
      <c r="O47" s="18">
        <f>IF(ISNUMBER(M47), $B64 * N47, "")</f>
        <v>6358.3815028901608</v>
      </c>
      <c r="Q47" s="235"/>
      <c r="R47" s="235"/>
      <c r="S47" s="235"/>
    </row>
    <row r="48" spans="1:19" ht="17.25" customHeight="1" thickBot="1">
      <c r="A48" s="163" t="s">
        <v>156</v>
      </c>
      <c r="B48" s="128">
        <v>78.599999999999994</v>
      </c>
      <c r="C48" s="78">
        <v>-7.5757576E-3</v>
      </c>
      <c r="D48" s="20">
        <v>81.2</v>
      </c>
      <c r="E48" s="21">
        <f t="shared" si="14"/>
        <v>3.307888040712479E-2</v>
      </c>
      <c r="F48" s="22">
        <f>IF(ISNUMBER(D48), $B64 * E48, "")</f>
        <v>3307.8880407124789</v>
      </c>
      <c r="G48" s="30">
        <v>81.3</v>
      </c>
      <c r="H48" s="21">
        <f t="shared" si="15"/>
        <v>3.4351145038167975E-2</v>
      </c>
      <c r="I48" s="105">
        <f>IF(ISNUMBER(G48), $B64 * H48, "")</f>
        <v>3435.1145038167974</v>
      </c>
      <c r="J48" s="20">
        <v>81</v>
      </c>
      <c r="K48" s="21">
        <f t="shared" si="16"/>
        <v>3.0534351145038243E-2</v>
      </c>
      <c r="L48" s="22">
        <f>IF(ISNUMBER(J48), $B64 * K48, "")</f>
        <v>3053.4351145038245</v>
      </c>
      <c r="M48" s="30">
        <v>83</v>
      </c>
      <c r="N48" s="21">
        <f t="shared" si="17"/>
        <v>5.5979643765903385E-2</v>
      </c>
      <c r="O48" s="22">
        <f>IF(ISNUMBER(M48), $B64 * N48, "")</f>
        <v>5597.9643765903384</v>
      </c>
      <c r="Q48" s="235"/>
      <c r="R48" s="235"/>
      <c r="S48" s="235"/>
    </row>
    <row r="49" spans="1:19" ht="17.25" customHeight="1" thickBot="1">
      <c r="A49" s="162" t="s">
        <v>134</v>
      </c>
      <c r="B49" s="129">
        <v>75.900000000000006</v>
      </c>
      <c r="C49" s="80">
        <v>-7.8431373000000006E-3</v>
      </c>
      <c r="D49" s="106">
        <v>76.8</v>
      </c>
      <c r="E49" s="107">
        <f>IF(ISNUMBER(D49), (D49 - $B49) / $B49, "")</f>
        <v>1.1857707509881309E-2</v>
      </c>
      <c r="F49" s="108">
        <f>IF(ISNUMBER(D49), $B64 * E49, "")</f>
        <v>1185.7707509881309</v>
      </c>
      <c r="G49" s="109">
        <v>83.4</v>
      </c>
      <c r="H49" s="107">
        <f>IF(ISNUMBER(G49), (G49 - $B49) / $B49, "")</f>
        <v>9.8814229249011856E-2</v>
      </c>
      <c r="I49" s="110">
        <f>IF(ISNUMBER(G49), $B64 * H49, "")</f>
        <v>9881.422924901186</v>
      </c>
      <c r="J49" s="106">
        <v>80.8</v>
      </c>
      <c r="K49" s="107">
        <f>IF(ISNUMBER(J49), (J49 - $B49) / $B49, "")</f>
        <v>6.4558629776020962E-2</v>
      </c>
      <c r="L49" s="108">
        <f>IF(ISNUMBER(J49), $B64 * K49, "")</f>
        <v>6455.8629776020962</v>
      </c>
      <c r="M49" s="109">
        <v>81.400000000000006</v>
      </c>
      <c r="N49" s="107">
        <f>IF(ISNUMBER(M49), (M49 - $B49) / $B49, "")</f>
        <v>7.2463768115942018E-2</v>
      </c>
      <c r="O49" s="108">
        <f>IF(ISNUMBER(M49), $B64 * N49, "")</f>
        <v>7246.3768115942021</v>
      </c>
      <c r="Q49" s="235"/>
      <c r="R49" s="235"/>
      <c r="S49" s="235"/>
    </row>
    <row r="50" spans="1:19" ht="17.25" customHeight="1" thickBot="1">
      <c r="A50" s="162" t="s">
        <v>72</v>
      </c>
      <c r="B50" s="126">
        <v>18</v>
      </c>
      <c r="C50" s="77">
        <v>-1.6393442599999999E-2</v>
      </c>
      <c r="D50" s="15">
        <v>18.2</v>
      </c>
      <c r="E50" s="32">
        <f t="shared" ref="E50:E53" si="18">IF(ISNUMBER(D50), (D50 - $B50) / $B50, "")</f>
        <v>1.1111111111111072E-2</v>
      </c>
      <c r="F50" s="18">
        <f>IF(ISNUMBER(D50), $B64 * E50, "")</f>
        <v>1111.1111111111072</v>
      </c>
      <c r="G50" s="31">
        <v>18.399999999999999</v>
      </c>
      <c r="H50" s="32">
        <f t="shared" ref="H50:H53" si="19">IF(ISNUMBER(G50), (G50 - $B50) / $B50, "")</f>
        <v>2.2222222222222143E-2</v>
      </c>
      <c r="I50" s="101">
        <f>IF(ISNUMBER(G50), $B64 * H50, "")</f>
        <v>2222.2222222222144</v>
      </c>
      <c r="J50" s="15">
        <v>18.3</v>
      </c>
      <c r="K50" s="32">
        <f t="shared" ref="K50:K53" si="20">IF(ISNUMBER(J50), (J50 - $B50) / $B50, "")</f>
        <v>1.6666666666666705E-2</v>
      </c>
      <c r="L50" s="18">
        <f>IF(ISNUMBER(J50), $B64 * K50, "")</f>
        <v>1666.6666666666704</v>
      </c>
      <c r="M50" s="31">
        <v>19</v>
      </c>
      <c r="N50" s="32">
        <f t="shared" ref="N50:N53" si="21">IF(ISNUMBER(M50), (M50 - $B50) / $B50, "")</f>
        <v>5.5555555555555552E-2</v>
      </c>
      <c r="O50" s="18">
        <f>IF(ISNUMBER(M50), $B64 * N50, "")</f>
        <v>5555.5555555555557</v>
      </c>
      <c r="Q50" s="235"/>
      <c r="R50" s="235"/>
      <c r="S50" s="235"/>
    </row>
    <row r="51" spans="1:19" ht="17.25" customHeight="1" thickBot="1">
      <c r="A51" s="162" t="s">
        <v>278</v>
      </c>
      <c r="B51" s="126">
        <v>67.8</v>
      </c>
      <c r="C51" s="77">
        <v>-1.8813314000000001E-2</v>
      </c>
      <c r="D51" s="15">
        <v>69.400000000000006</v>
      </c>
      <c r="E51" s="32">
        <f t="shared" si="18"/>
        <v>2.3598820058997178E-2</v>
      </c>
      <c r="F51" s="18">
        <f>IF(ISNUMBER(D51), $B64 * E51, "")</f>
        <v>2359.882005899718</v>
      </c>
      <c r="G51" s="31">
        <v>69.5</v>
      </c>
      <c r="H51" s="32">
        <f t="shared" si="19"/>
        <v>2.5073746312684407E-2</v>
      </c>
      <c r="I51" s="101">
        <f>IF(ISNUMBER(G51), $B64 * H51, "")</f>
        <v>2507.3746312684407</v>
      </c>
      <c r="J51" s="15">
        <v>69.099999999999994</v>
      </c>
      <c r="K51" s="32">
        <f t="shared" si="20"/>
        <v>1.9174041297935061E-2</v>
      </c>
      <c r="L51" s="18">
        <f>IF(ISNUMBER(J51), $B64 * K51, "")</f>
        <v>1917.4041297935062</v>
      </c>
      <c r="M51" s="31">
        <v>71.2</v>
      </c>
      <c r="N51" s="32">
        <f t="shared" si="21"/>
        <v>5.0147492625368814E-2</v>
      </c>
      <c r="O51" s="18">
        <f>IF(ISNUMBER(M51), $B64 * N51, "")</f>
        <v>5014.7492625368814</v>
      </c>
      <c r="Q51" s="235"/>
      <c r="R51" s="235"/>
      <c r="S51" s="235"/>
    </row>
    <row r="52" spans="1:19" ht="17.25" customHeight="1" thickBot="1">
      <c r="A52" s="162" t="s">
        <v>126</v>
      </c>
      <c r="B52" s="126">
        <v>22.9</v>
      </c>
      <c r="C52" s="77">
        <v>-2.5531914900000001E-2</v>
      </c>
      <c r="D52" s="15">
        <v>24.1</v>
      </c>
      <c r="E52" s="32">
        <f t="shared" si="18"/>
        <v>5.2401746724890959E-2</v>
      </c>
      <c r="F52" s="18">
        <f>IF(ISNUMBER(D52), $B64 * E52, "")</f>
        <v>5240.1746724890954</v>
      </c>
      <c r="G52" s="31">
        <v>24.6</v>
      </c>
      <c r="H52" s="32">
        <f t="shared" si="19"/>
        <v>7.423580786026214E-2</v>
      </c>
      <c r="I52" s="101">
        <f>IF(ISNUMBER(G52), $B64 * H52, "")</f>
        <v>7423.5807860262139</v>
      </c>
      <c r="J52" s="15">
        <v>24.6</v>
      </c>
      <c r="K52" s="32">
        <f t="shared" si="20"/>
        <v>7.423580786026214E-2</v>
      </c>
      <c r="L52" s="18">
        <f>IF(ISNUMBER(J52), $B64 * K52, "")</f>
        <v>7423.5807860262139</v>
      </c>
      <c r="M52" s="31">
        <v>26.3</v>
      </c>
      <c r="N52" s="32">
        <f t="shared" si="21"/>
        <v>0.14847161572052411</v>
      </c>
      <c r="O52" s="18">
        <f>IF(ISNUMBER(M52), $B64 * N52, "")</f>
        <v>14847.161572052411</v>
      </c>
      <c r="Q52" s="33"/>
      <c r="R52" s="33"/>
    </row>
    <row r="53" spans="1:19" ht="17.25" customHeight="1" thickBot="1">
      <c r="A53" s="130" t="s">
        <v>198</v>
      </c>
      <c r="B53" s="131">
        <v>10.6</v>
      </c>
      <c r="C53" s="79">
        <v>-2.7522935799999999E-2</v>
      </c>
      <c r="D53" s="24">
        <v>11.9</v>
      </c>
      <c r="E53" s="25">
        <f t="shared" si="18"/>
        <v>0.12264150943396233</v>
      </c>
      <c r="F53" s="104">
        <f>IF(ISNUMBER(D53), $B64 * E53, "")</f>
        <v>12264.150943396233</v>
      </c>
      <c r="G53" s="102">
        <v>12.1</v>
      </c>
      <c r="H53" s="25">
        <f t="shared" si="19"/>
        <v>0.14150943396226415</v>
      </c>
      <c r="I53" s="103">
        <f>IF(ISNUMBER(G53), $B64 * H53, "")</f>
        <v>14150.943396226414</v>
      </c>
      <c r="J53" s="24">
        <v>12.2</v>
      </c>
      <c r="K53" s="25">
        <f t="shared" si="20"/>
        <v>0.15094339622641506</v>
      </c>
      <c r="L53" s="104">
        <f>IF(ISNUMBER(J53), $B64 * K53, "")</f>
        <v>15094.339622641506</v>
      </c>
      <c r="M53" s="102">
        <v>13.7</v>
      </c>
      <c r="N53" s="25">
        <f t="shared" si="21"/>
        <v>0.29245283018867924</v>
      </c>
      <c r="O53" s="104">
        <f>IF(ISNUMBER(M53), $B64 * N53, "")</f>
        <v>29245.283018867922</v>
      </c>
      <c r="Q53" s="236"/>
      <c r="R53" s="237"/>
      <c r="S53" s="238"/>
    </row>
    <row r="54" spans="1:19" ht="17.25" customHeight="1">
      <c r="A54" s="161" t="s">
        <v>168</v>
      </c>
      <c r="B54" s="124">
        <v>77.7</v>
      </c>
      <c r="C54" s="76">
        <v>-2.7534418000000001E-2</v>
      </c>
      <c r="D54" s="13">
        <v>81.099999999999994</v>
      </c>
      <c r="E54" s="14">
        <f>IF(ISNUMBER(D54), (D54 - $B54) / $B54, "")</f>
        <v>4.3758043758043645E-2</v>
      </c>
      <c r="F54" s="16">
        <f>IF(ISNUMBER(D54), $B64 * E54, "")</f>
        <v>4375.8043758043641</v>
      </c>
      <c r="G54" s="29">
        <v>82.8</v>
      </c>
      <c r="H54" s="14">
        <f>IF(ISNUMBER(G54), (G54 - $B54) / $B54, "")</f>
        <v>6.5637065637065561E-2</v>
      </c>
      <c r="I54" s="100">
        <f>IF(ISNUMBER(G54), $B64 * H54, "")</f>
        <v>6563.7065637065562</v>
      </c>
      <c r="J54" s="13">
        <v>82.1</v>
      </c>
      <c r="K54" s="14">
        <f>IF(ISNUMBER(J54), (J54 - $B54) / $B54, "")</f>
        <v>5.662805662805652E-2</v>
      </c>
      <c r="L54" s="16">
        <f>IF(ISNUMBER(J54), $B64 * K54, "")</f>
        <v>5662.805662805652</v>
      </c>
      <c r="M54" s="29">
        <v>85.7</v>
      </c>
      <c r="N54" s="14">
        <f>IF(ISNUMBER(M54), (M54 - $B54) / $B54, "")</f>
        <v>0.10296010296010295</v>
      </c>
      <c r="O54" s="16">
        <f>IF(ISNUMBER(M54), $B64 * N54, "")</f>
        <v>10296.010296010296</v>
      </c>
      <c r="Q54" s="239"/>
      <c r="R54" s="240"/>
      <c r="S54" s="241"/>
    </row>
    <row r="55" spans="1:19" ht="17.25" customHeight="1" thickBot="1">
      <c r="A55" s="162" t="s">
        <v>240</v>
      </c>
      <c r="B55" s="126">
        <v>81</v>
      </c>
      <c r="C55" s="77">
        <v>-3.1100478500000001E-2</v>
      </c>
      <c r="D55" s="15">
        <v>92.2</v>
      </c>
      <c r="E55" s="32">
        <f t="shared" ref="E55:E58" si="22">IF(ISNUMBER(D55), (D55 - $B55) / $B55, "")</f>
        <v>0.13827160493827165</v>
      </c>
      <c r="F55" s="18">
        <f>IF(ISNUMBER(D55), $B64 * E55, "")</f>
        <v>13827.160493827165</v>
      </c>
      <c r="G55" s="31">
        <v>94</v>
      </c>
      <c r="H55" s="32">
        <f t="shared" ref="H55:H58" si="23">IF(ISNUMBER(G55), (G55 - $B55) / $B55, "")</f>
        <v>0.16049382716049382</v>
      </c>
      <c r="I55" s="101">
        <f>IF(ISNUMBER(G55), $B64 * H55, "")</f>
        <v>16049.382716049382</v>
      </c>
      <c r="J55" s="15">
        <v>90.9</v>
      </c>
      <c r="K55" s="32">
        <f t="shared" ref="K55:K58" si="24">IF(ISNUMBER(J55), (J55 - $B55) / $B55, "")</f>
        <v>0.12222222222222229</v>
      </c>
      <c r="L55" s="18">
        <f>IF(ISNUMBER(J55), $B64 * K55, "")</f>
        <v>12222.222222222228</v>
      </c>
      <c r="M55" s="31">
        <v>90.3</v>
      </c>
      <c r="N55" s="32">
        <f t="shared" ref="N55:N58" si="25">IF(ISNUMBER(M55), (M55 - $B55) / $B55, "")</f>
        <v>0.11481481481481479</v>
      </c>
      <c r="O55" s="18">
        <f>IF(ISNUMBER(M55), $B64 * N55, "")</f>
        <v>11481.481481481478</v>
      </c>
      <c r="Q55" s="242"/>
      <c r="R55" s="243"/>
      <c r="S55" s="244"/>
    </row>
    <row r="56" spans="1:19" ht="17.25" customHeight="1" thickBot="1">
      <c r="A56" s="162" t="s">
        <v>148</v>
      </c>
      <c r="B56" s="126">
        <v>93.8</v>
      </c>
      <c r="C56" s="77">
        <v>-4.0899795500000002E-2</v>
      </c>
      <c r="D56" s="15">
        <v>99.1</v>
      </c>
      <c r="E56" s="32">
        <f t="shared" si="22"/>
        <v>5.6503198294243044E-2</v>
      </c>
      <c r="F56" s="18">
        <f>IF(ISNUMBER(D56), $B64 * E56, "")</f>
        <v>5650.3198294243048</v>
      </c>
      <c r="G56" s="31">
        <v>98.8</v>
      </c>
      <c r="H56" s="32">
        <f t="shared" si="23"/>
        <v>5.3304904051172712E-2</v>
      </c>
      <c r="I56" s="101">
        <f>IF(ISNUMBER(G56), $B64 * H56, "")</f>
        <v>5330.4904051172716</v>
      </c>
      <c r="J56" s="15">
        <v>98.5</v>
      </c>
      <c r="K56" s="32">
        <f t="shared" si="24"/>
        <v>5.010660980810238E-2</v>
      </c>
      <c r="L56" s="18">
        <f>IF(ISNUMBER(J56), $B64 * K56, "")</f>
        <v>5010.6609808102376</v>
      </c>
      <c r="M56" s="31">
        <v>102</v>
      </c>
      <c r="N56" s="32">
        <f t="shared" si="25"/>
        <v>8.7420042643923279E-2</v>
      </c>
      <c r="O56" s="18">
        <f>IF(ISNUMBER(M56), $B64 * N56, "")</f>
        <v>8742.004264392328</v>
      </c>
      <c r="Q56" s="235"/>
      <c r="R56" s="235"/>
      <c r="S56" s="235"/>
    </row>
    <row r="57" spans="1:19" ht="17.25" customHeight="1" thickBot="1">
      <c r="A57" s="162" t="s">
        <v>220</v>
      </c>
      <c r="B57" s="126">
        <v>9.2799999999999994</v>
      </c>
      <c r="C57" s="77">
        <v>-5.59511699E-2</v>
      </c>
      <c r="D57" s="15">
        <v>9.77</v>
      </c>
      <c r="E57" s="32">
        <f t="shared" si="22"/>
        <v>5.2801724137931064E-2</v>
      </c>
      <c r="F57" s="18">
        <f>IF(ISNUMBER(D57), $B64 * E57, "")</f>
        <v>5280.172413793106</v>
      </c>
      <c r="G57" s="31">
        <v>9.82</v>
      </c>
      <c r="H57" s="32">
        <f t="shared" si="23"/>
        <v>5.8189655172413896E-2</v>
      </c>
      <c r="I57" s="101">
        <f>IF(ISNUMBER(G57), $B64 * H57, "")</f>
        <v>5818.9655172413895</v>
      </c>
      <c r="J57" s="15">
        <v>9.84</v>
      </c>
      <c r="K57" s="32">
        <f t="shared" si="24"/>
        <v>6.0344827586206955E-2</v>
      </c>
      <c r="L57" s="18">
        <f>IF(ISNUMBER(J57), $B64 * K57, "")</f>
        <v>6034.4827586206957</v>
      </c>
      <c r="M57" s="31">
        <v>10.199999999999999</v>
      </c>
      <c r="N57" s="32">
        <f t="shared" si="25"/>
        <v>9.9137931034482762E-2</v>
      </c>
      <c r="O57" s="18">
        <f>IF(ISNUMBER(M57), $B64 * N57, "")</f>
        <v>9913.7931034482754</v>
      </c>
      <c r="Q57" s="245"/>
      <c r="R57" s="245"/>
      <c r="S57" s="245"/>
    </row>
    <row r="58" spans="1:19" ht="17.25" customHeight="1" thickBot="1">
      <c r="A58" s="163" t="s">
        <v>238</v>
      </c>
      <c r="B58" s="128">
        <v>81.2</v>
      </c>
      <c r="C58" s="78">
        <v>-5.8004640400000002E-2</v>
      </c>
      <c r="D58" s="20">
        <v>117</v>
      </c>
      <c r="E58" s="21">
        <f t="shared" si="22"/>
        <v>0.44088669950738912</v>
      </c>
      <c r="F58" s="22">
        <f>IF(ISNUMBER(D58), $B64 * E58, "")</f>
        <v>44088.669950738913</v>
      </c>
      <c r="G58" s="30">
        <v>117</v>
      </c>
      <c r="H58" s="21">
        <f t="shared" si="23"/>
        <v>0.44088669950738912</v>
      </c>
      <c r="I58" s="105">
        <f>IF(ISNUMBER(G58), $B64 * H58, "")</f>
        <v>44088.669950738913</v>
      </c>
      <c r="J58" s="20">
        <v>109</v>
      </c>
      <c r="K58" s="21">
        <f t="shared" si="24"/>
        <v>0.3423645320197044</v>
      </c>
      <c r="L58" s="22">
        <f>IF(ISNUMBER(J58), $B64 * K58, "")</f>
        <v>34236.453201970442</v>
      </c>
      <c r="M58" s="30">
        <v>96.1</v>
      </c>
      <c r="N58" s="21">
        <f t="shared" si="25"/>
        <v>0.18349753694581269</v>
      </c>
      <c r="O58" s="22">
        <f>IF(ISNUMBER(M58), $B64 * N58, "")</f>
        <v>18349.753694581268</v>
      </c>
      <c r="Q58" s="245"/>
      <c r="R58" s="245"/>
      <c r="S58" s="245"/>
    </row>
    <row r="59" spans="1:19" ht="17.25" customHeight="1" thickBot="1">
      <c r="A59" s="162" t="s">
        <v>196</v>
      </c>
      <c r="B59" s="129">
        <v>7.79</v>
      </c>
      <c r="C59" s="80">
        <v>-6.0313630899999998E-2</v>
      </c>
      <c r="D59" s="106">
        <v>8.24</v>
      </c>
      <c r="E59" s="107">
        <f>IF(ISNUMBER(D59), (D59 - $B59) / $B59, "")</f>
        <v>5.7766367137355605E-2</v>
      </c>
      <c r="F59" s="108">
        <f>IF(ISNUMBER(D59), $B64 * E59, "")</f>
        <v>5776.6367137355601</v>
      </c>
      <c r="G59" s="109">
        <v>8.42</v>
      </c>
      <c r="H59" s="107">
        <f>IF(ISNUMBER(G59), (G59 - $B59) / $B59, "")</f>
        <v>8.0872913992297804E-2</v>
      </c>
      <c r="I59" s="110">
        <f>IF(ISNUMBER(G59), $B64 * H59, "")</f>
        <v>8087.2913992297808</v>
      </c>
      <c r="J59" s="106">
        <v>8.31</v>
      </c>
      <c r="K59" s="107">
        <f>IF(ISNUMBER(J59), (J59 - $B59) / $B59, "")</f>
        <v>6.6752246469833174E-2</v>
      </c>
      <c r="L59" s="108">
        <f>IF(ISNUMBER(J59), $B64 * K59, "")</f>
        <v>6675.2246469833171</v>
      </c>
      <c r="M59" s="109">
        <v>8.5500000000000007</v>
      </c>
      <c r="N59" s="107">
        <f>IF(ISNUMBER(M59), (M59 - $B59) / $B59, "")</f>
        <v>9.7560975609756184E-2</v>
      </c>
      <c r="O59" s="108">
        <f>IF(ISNUMBER(M59), $B64 * N59, "")</f>
        <v>9756.0975609756188</v>
      </c>
      <c r="Q59" s="235"/>
      <c r="R59" s="235"/>
      <c r="S59" s="235"/>
    </row>
    <row r="60" spans="1:19" ht="17.25" customHeight="1" thickBot="1">
      <c r="A60" s="162" t="s">
        <v>260</v>
      </c>
      <c r="B60" s="126">
        <v>53.8</v>
      </c>
      <c r="C60" s="77">
        <v>-6.1082024399999997E-2</v>
      </c>
      <c r="D60" s="15">
        <v>56.4</v>
      </c>
      <c r="E60" s="32">
        <f t="shared" ref="E60:E63" si="26">IF(ISNUMBER(D60), (D60 - $B60) / $B60, "")</f>
        <v>4.8327137546468432E-2</v>
      </c>
      <c r="F60" s="18">
        <f>IF(ISNUMBER(D60), $B64 * E60, "")</f>
        <v>4832.713754646843</v>
      </c>
      <c r="G60" s="31">
        <v>57.1</v>
      </c>
      <c r="H60" s="32">
        <f t="shared" ref="H60:H63" si="27">IF(ISNUMBER(G60), (G60 - $B60) / $B60, "")</f>
        <v>6.1338289962825358E-2</v>
      </c>
      <c r="I60" s="101">
        <f>IF(ISNUMBER(G60), $B64 * H60, "")</f>
        <v>6133.8289962825356</v>
      </c>
      <c r="J60" s="15">
        <v>56.6</v>
      </c>
      <c r="K60" s="32">
        <f t="shared" ref="K60:K63" si="28">IF(ISNUMBER(J60), (J60 - $B60) / $B60, "")</f>
        <v>5.2044609665427594E-2</v>
      </c>
      <c r="L60" s="18">
        <f>IF(ISNUMBER(J60), $B64 * K60, "")</f>
        <v>5204.4609665427597</v>
      </c>
      <c r="M60" s="31">
        <v>58.4</v>
      </c>
      <c r="N60" s="32">
        <f t="shared" ref="N60:N63" si="29">IF(ISNUMBER(M60), (M60 - $B60) / $B60, "")</f>
        <v>8.5501858736059505E-2</v>
      </c>
      <c r="O60" s="18">
        <f>IF(ISNUMBER(M60), $B64 * N60, "")</f>
        <v>8550.1858736059512</v>
      </c>
      <c r="Q60" s="235"/>
      <c r="R60" s="235"/>
      <c r="S60" s="235"/>
    </row>
    <row r="61" spans="1:19" ht="17.25" customHeight="1" thickBot="1">
      <c r="A61" s="162" t="s">
        <v>282</v>
      </c>
      <c r="B61" s="126">
        <v>51.8</v>
      </c>
      <c r="C61" s="77">
        <v>-6.4981949499999997E-2</v>
      </c>
      <c r="D61" s="15">
        <v>63.4</v>
      </c>
      <c r="E61" s="32">
        <f t="shared" si="26"/>
        <v>0.22393822393822399</v>
      </c>
      <c r="F61" s="18">
        <f>IF(ISNUMBER(D61), $B64 * E61, "")</f>
        <v>22393.8223938224</v>
      </c>
      <c r="G61" s="31">
        <v>71.5</v>
      </c>
      <c r="H61" s="32">
        <f t="shared" si="27"/>
        <v>0.38030888030888038</v>
      </c>
      <c r="I61" s="101">
        <f>IF(ISNUMBER(G61), $B64 * H61, "")</f>
        <v>38030.88803088804</v>
      </c>
      <c r="J61" s="15">
        <v>61.2</v>
      </c>
      <c r="K61" s="32">
        <f t="shared" si="28"/>
        <v>0.18146718146718158</v>
      </c>
      <c r="L61" s="18">
        <f>IF(ISNUMBER(J61), $B64 * K61, "")</f>
        <v>18146.718146718158</v>
      </c>
      <c r="M61" s="31">
        <v>55.4</v>
      </c>
      <c r="N61" s="32">
        <f t="shared" si="29"/>
        <v>6.9498069498069526E-2</v>
      </c>
      <c r="O61" s="18">
        <f>IF(ISNUMBER(M61), $B64 * N61, "")</f>
        <v>6949.8069498069526</v>
      </c>
      <c r="Q61" s="235"/>
      <c r="R61" s="235"/>
      <c r="S61" s="235"/>
    </row>
    <row r="62" spans="1:19" ht="17.25" customHeight="1">
      <c r="A62" s="162" t="s">
        <v>250</v>
      </c>
      <c r="B62" s="126">
        <v>53</v>
      </c>
      <c r="C62" s="77">
        <v>-6.8541300499999999E-2</v>
      </c>
      <c r="D62" s="15">
        <v>63.1</v>
      </c>
      <c r="E62" s="32">
        <f t="shared" si="26"/>
        <v>0.19056603773584907</v>
      </c>
      <c r="F62" s="18">
        <f>IF(ISNUMBER(D62), $B64 * E62, "")</f>
        <v>19056.603773584906</v>
      </c>
      <c r="G62" s="31">
        <v>71.7</v>
      </c>
      <c r="H62" s="32">
        <f t="shared" si="27"/>
        <v>0.35283018867924532</v>
      </c>
      <c r="I62" s="101">
        <f>IF(ISNUMBER(G62), $B64 * H62, "")</f>
        <v>35283.018867924533</v>
      </c>
      <c r="J62" s="15">
        <v>62.6</v>
      </c>
      <c r="K62" s="32">
        <f t="shared" si="28"/>
        <v>0.18113207547169813</v>
      </c>
      <c r="L62" s="18">
        <f>IF(ISNUMBER(J62), $B64 * K62, "")</f>
        <v>18113.207547169812</v>
      </c>
      <c r="M62" s="31">
        <v>58</v>
      </c>
      <c r="N62" s="32">
        <f t="shared" si="29"/>
        <v>9.4339622641509441E-2</v>
      </c>
      <c r="O62" s="18">
        <f>IF(ISNUMBER(M62), $B64 * N62, "")</f>
        <v>9433.962264150945</v>
      </c>
      <c r="Q62" s="224"/>
      <c r="R62" s="225"/>
      <c r="S62" s="226"/>
    </row>
    <row r="63" spans="1:19" ht="17.25" customHeight="1" thickBot="1">
      <c r="A63" s="130" t="s">
        <v>268</v>
      </c>
      <c r="B63" s="131">
        <v>26.8</v>
      </c>
      <c r="C63" s="79">
        <v>-7.5862069000000004E-2</v>
      </c>
      <c r="D63" s="24">
        <v>32.700000000000003</v>
      </c>
      <c r="E63" s="25">
        <f t="shared" si="26"/>
        <v>0.22014925373134336</v>
      </c>
      <c r="F63" s="104">
        <f>IF(ISNUMBER(D63), $B64 * E63, "")</f>
        <v>22014.925373134338</v>
      </c>
      <c r="G63" s="102">
        <v>37.200000000000003</v>
      </c>
      <c r="H63" s="25">
        <f t="shared" si="27"/>
        <v>0.38805970149253738</v>
      </c>
      <c r="I63" s="103">
        <f>IF(ISNUMBER(G63), $B64 * H63, "")</f>
        <v>38805.970149253735</v>
      </c>
      <c r="J63" s="24">
        <v>31.6</v>
      </c>
      <c r="K63" s="25">
        <f t="shared" si="28"/>
        <v>0.17910447761194032</v>
      </c>
      <c r="L63" s="104">
        <f>IF(ISNUMBER(J63), $B64 * K63, "")</f>
        <v>17910.447761194031</v>
      </c>
      <c r="M63" s="102">
        <v>28.5</v>
      </c>
      <c r="N63" s="25">
        <f t="shared" si="29"/>
        <v>6.3432835820895497E-2</v>
      </c>
      <c r="O63" s="104">
        <f>IF(ISNUMBER(M63), $B64 * N63, "")</f>
        <v>6343.2835820895498</v>
      </c>
      <c r="Q63" s="227"/>
      <c r="R63" s="228"/>
      <c r="S63" s="229"/>
    </row>
    <row r="64" spans="1:19" ht="17.25" customHeight="1" thickBot="1">
      <c r="A64" s="132" t="s">
        <v>300</v>
      </c>
      <c r="B64" s="288">
        <f>$B$37</f>
        <v>100000</v>
      </c>
      <c r="C64" s="289"/>
      <c r="D64" s="26" t="s">
        <v>301</v>
      </c>
      <c r="E64" s="27">
        <f>IF(COUNT(E44:E63), SUM(E44:E63) / COUNT(E44:E63), 0)</f>
        <v>9.4169462753961625E-2</v>
      </c>
      <c r="F64" s="28">
        <f>SUM(F44:F63)</f>
        <v>188338.92550792324</v>
      </c>
      <c r="G64" s="26" t="s">
        <v>301</v>
      </c>
      <c r="H64" s="27">
        <f>IF(COUNT(H44:H63), SUM(H44:H63) / COUNT(H44:H63), 0)</f>
        <v>0.12982152969022417</v>
      </c>
      <c r="I64" s="28">
        <f>SUM(I44:I63)</f>
        <v>259643.05938044831</v>
      </c>
      <c r="J64" s="26" t="s">
        <v>301</v>
      </c>
      <c r="K64" s="27">
        <f>IF(COUNT(K44:K63), SUM(K44:K63) / COUNT(K44:K63), 0)</f>
        <v>8.9008299103578714E-2</v>
      </c>
      <c r="L64" s="28">
        <f>SUM(L44:L63)</f>
        <v>178016.59820715743</v>
      </c>
      <c r="M64" s="26" t="s">
        <v>301</v>
      </c>
      <c r="N64" s="27">
        <f>IF(COUNT(N44:N63), SUM(N44:N63) / COUNT(N44:N63), 0)</f>
        <v>9.6243299021396417E-2</v>
      </c>
      <c r="O64" s="28">
        <f>SUM(O44:O63)</f>
        <v>192486.59804279282</v>
      </c>
      <c r="Q64" s="230"/>
      <c r="R64" s="231"/>
      <c r="S64" s="232"/>
    </row>
    <row r="65" spans="1:19" ht="17.25" customHeight="1"/>
    <row r="66" spans="1:19" ht="17.25" customHeight="1" thickBot="1"/>
    <row r="67" spans="1:19" ht="17.25" thickBot="1">
      <c r="A67" s="246" t="s">
        <v>45</v>
      </c>
      <c r="B67" s="247"/>
      <c r="C67" s="247"/>
      <c r="D67" s="247"/>
      <c r="E67" s="247"/>
      <c r="F67" s="247"/>
      <c r="G67" s="247"/>
      <c r="H67" s="247"/>
      <c r="I67" s="247"/>
      <c r="J67" s="247"/>
      <c r="K67" s="247"/>
      <c r="L67" s="247"/>
      <c r="M67" s="247"/>
      <c r="N67" s="247"/>
      <c r="O67" s="248"/>
      <c r="Q67" s="245"/>
      <c r="R67" s="245"/>
      <c r="S67" s="245"/>
    </row>
    <row r="68" spans="1:19" ht="17.25" thickBot="1">
      <c r="A68" s="212" t="s">
        <v>297</v>
      </c>
      <c r="B68" s="246" t="s">
        <v>49</v>
      </c>
      <c r="C68" s="248"/>
      <c r="D68" s="246" t="s">
        <v>58</v>
      </c>
      <c r="E68" s="247"/>
      <c r="F68" s="248"/>
      <c r="G68" s="249">
        <f>_xlfn.IFNA(VLOOKUP(B68, 현재가테이블!$B$2:$D$200, 2, FALSE), "-")</f>
        <v>45335000</v>
      </c>
      <c r="H68" s="250"/>
      <c r="I68" s="251"/>
      <c r="J68" s="246" t="s">
        <v>59</v>
      </c>
      <c r="K68" s="247"/>
      <c r="L68" s="248"/>
      <c r="M68" s="252">
        <f>_xlfn.IFNA(VLOOKUP(B68, 현재가테이블!$B$2:$D$200, 3, FALSE), "-")</f>
        <v>-2.27209037E-2</v>
      </c>
      <c r="N68" s="253"/>
      <c r="O68" s="254"/>
      <c r="Q68" s="245"/>
      <c r="R68" s="245"/>
      <c r="S68" s="245"/>
    </row>
    <row r="69" spans="1:19" ht="17.25" thickBot="1">
      <c r="A69" s="290" t="s">
        <v>55</v>
      </c>
      <c r="B69" s="286" t="str">
        <f>TEXT($G$1, "[$-ko-KR]yyyy-mm-dd(ddd) ") &amp; "오전 00:00"</f>
        <v>2021-06-14(월) 오전 00:00</v>
      </c>
      <c r="C69" s="287"/>
      <c r="D69" s="259" t="str">
        <f>TEXT($G$1, "[$-ko-KR]yyyy-mm-dd(ddd) ") &amp; "오후 14:00"</f>
        <v>2021-06-14(월) 오후 14:00</v>
      </c>
      <c r="E69" s="260"/>
      <c r="F69" s="261"/>
      <c r="G69" s="259" t="str">
        <f>TEXT($G$1, "[$-ko-KR]yyyy-mm-dd(ddd) ") &amp; "오후 19:00"</f>
        <v>2021-06-14(월) 오후 19:00</v>
      </c>
      <c r="H69" s="260"/>
      <c r="I69" s="261"/>
      <c r="J69" s="259" t="str">
        <f>TEXT($G$1, "[$-ko-KR]yyyy-mm-dd(ddd) ") &amp; "오후 21:00"</f>
        <v>2021-06-14(월) 오후 21:00</v>
      </c>
      <c r="K69" s="260"/>
      <c r="L69" s="261"/>
      <c r="M69" s="259" t="str">
        <f>TEXT($G$1+1, "[$-ko-KR]yyyy-mm-dd(ddd) ") &amp; "오전 00:00"</f>
        <v>2021-06-15(화) 오전 00:00</v>
      </c>
      <c r="N69" s="260"/>
      <c r="O69" s="261"/>
      <c r="Q69" s="245"/>
      <c r="R69" s="245"/>
      <c r="S69" s="245"/>
    </row>
    <row r="70" spans="1:19" ht="17.25" thickBot="1">
      <c r="A70" s="291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213" t="s">
        <v>58</v>
      </c>
      <c r="H70" s="214" t="s">
        <v>298</v>
      </c>
      <c r="I70" s="215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5"/>
      <c r="R70" s="235"/>
      <c r="S70" s="235"/>
    </row>
    <row r="71" spans="1:19" ht="17.25" thickBot="1">
      <c r="A71" s="161" t="s">
        <v>142</v>
      </c>
      <c r="B71" s="124">
        <v>589</v>
      </c>
      <c r="C71" s="76">
        <v>0.19715447150000001</v>
      </c>
      <c r="D71" s="13">
        <v>613</v>
      </c>
      <c r="E71" s="14">
        <f>IF(ISNUMBER(D71), (D71 - $B71) / $B71, "")</f>
        <v>4.074702886247878E-2</v>
      </c>
      <c r="F71" s="16">
        <f>IF(ISNUMBER(D71), $B91 * E71, "")</f>
        <v>4074.7028862478783</v>
      </c>
      <c r="G71" s="29">
        <v>616</v>
      </c>
      <c r="H71" s="14">
        <f>IF(ISNUMBER(G71), (G71 - $B71) / $B71, "")</f>
        <v>4.5840407470288627E-2</v>
      </c>
      <c r="I71" s="100">
        <f>IF(ISNUMBER(G71), $B91 * H71, "")</f>
        <v>4584.0407470288628</v>
      </c>
      <c r="J71" s="13">
        <v>619</v>
      </c>
      <c r="K71" s="14">
        <f>IF(ISNUMBER(J71), (J71 - $B71) / $B71, "")</f>
        <v>5.0933786078098474E-2</v>
      </c>
      <c r="L71" s="16">
        <f>IF(ISNUMBER(J71), $B91 * K71, "")</f>
        <v>5093.3786078098474</v>
      </c>
      <c r="M71" s="29">
        <v>638</v>
      </c>
      <c r="N71" s="14">
        <f>IF(ISNUMBER(M71), (M71 - $B71) / $B71, "")</f>
        <v>8.3191850594227498E-2</v>
      </c>
      <c r="O71" s="16">
        <f>IF(ISNUMBER(M71), $B91 * N71, "")</f>
        <v>8319.185059422749</v>
      </c>
      <c r="Q71" s="245"/>
      <c r="R71" s="245"/>
      <c r="S71" s="245"/>
    </row>
    <row r="72" spans="1:19" ht="17.25" thickBot="1">
      <c r="A72" s="162" t="s">
        <v>258</v>
      </c>
      <c r="B72" s="126">
        <v>409</v>
      </c>
      <c r="C72" s="77">
        <v>7.6315789499999995E-2</v>
      </c>
      <c r="D72" s="15">
        <v>405</v>
      </c>
      <c r="E72" s="32">
        <f t="shared" ref="E72:E75" si="30">IF(ISNUMBER(D72), (D72 - $B72) / $B72, "")</f>
        <v>-9.7799511002444987E-3</v>
      </c>
      <c r="F72" s="18">
        <f>IF(ISNUMBER(D72), $B91 * E72, "")</f>
        <v>-977.9951100244499</v>
      </c>
      <c r="G72" s="31">
        <v>408</v>
      </c>
      <c r="H72" s="32">
        <f t="shared" ref="H72:H75" si="31">IF(ISNUMBER(G72), (G72 - $B72) / $B72, "")</f>
        <v>-2.4449877750611247E-3</v>
      </c>
      <c r="I72" s="101">
        <f>IF(ISNUMBER(G72), $B91 * H72, "")</f>
        <v>-244.49877750611248</v>
      </c>
      <c r="J72" s="15">
        <v>407</v>
      </c>
      <c r="K72" s="32">
        <f t="shared" ref="K72:K75" si="32">IF(ISNUMBER(J72), (J72 - $B72) / $B72, "")</f>
        <v>-4.8899755501222494E-3</v>
      </c>
      <c r="L72" s="18">
        <f>IF(ISNUMBER(J72), $B91 * K72, "")</f>
        <v>-488.99755501222495</v>
      </c>
      <c r="M72" s="31">
        <v>419</v>
      </c>
      <c r="N72" s="32">
        <f t="shared" ref="N72:N75" si="33">IF(ISNUMBER(M72), (M72 - $B72) / $B72, "")</f>
        <v>2.4449877750611249E-2</v>
      </c>
      <c r="O72" s="18">
        <f>IF(ISNUMBER(M72), $B91 * N72, "")</f>
        <v>2444.9877750611249</v>
      </c>
      <c r="Q72" s="245"/>
      <c r="R72" s="245"/>
      <c r="S72" s="245"/>
    </row>
    <row r="73" spans="1:19" ht="17.25" thickBot="1">
      <c r="A73" s="162" t="s">
        <v>200</v>
      </c>
      <c r="B73" s="126">
        <v>160</v>
      </c>
      <c r="C73" s="77">
        <v>7.3825503400000006E-2</v>
      </c>
      <c r="D73" s="15">
        <v>157</v>
      </c>
      <c r="E73" s="32">
        <f t="shared" si="30"/>
        <v>-1.8749999999999999E-2</v>
      </c>
      <c r="F73" s="18">
        <f>IF(ISNUMBER(D73), $B91 * E73, "")</f>
        <v>-1875</v>
      </c>
      <c r="G73" s="31">
        <v>159</v>
      </c>
      <c r="H73" s="32">
        <f t="shared" si="31"/>
        <v>-6.2500000000000003E-3</v>
      </c>
      <c r="I73" s="101">
        <f>IF(ISNUMBER(G73), $B91 * H73, "")</f>
        <v>-625</v>
      </c>
      <c r="J73" s="15">
        <v>158</v>
      </c>
      <c r="K73" s="32">
        <f t="shared" si="32"/>
        <v>-1.2500000000000001E-2</v>
      </c>
      <c r="L73" s="18">
        <f>IF(ISNUMBER(J73), $B91 * K73, "")</f>
        <v>-1250</v>
      </c>
      <c r="M73" s="31">
        <v>161</v>
      </c>
      <c r="N73" s="32">
        <f t="shared" si="33"/>
        <v>6.2500000000000003E-3</v>
      </c>
      <c r="O73" s="18">
        <f>IF(ISNUMBER(M73), $B91 * N73, "")</f>
        <v>625</v>
      </c>
      <c r="Q73" s="235"/>
      <c r="R73" s="235"/>
      <c r="S73" s="235"/>
    </row>
    <row r="74" spans="1:19" ht="17.25" thickBot="1">
      <c r="A74" s="162" t="s">
        <v>216</v>
      </c>
      <c r="B74" s="126">
        <v>250</v>
      </c>
      <c r="C74" s="77">
        <v>6.3829787200000002E-2</v>
      </c>
      <c r="D74" s="15">
        <v>243</v>
      </c>
      <c r="E74" s="32">
        <f t="shared" si="30"/>
        <v>-2.8000000000000001E-2</v>
      </c>
      <c r="F74" s="18">
        <f>IF(ISNUMBER(D74), $B91 * E74, "")</f>
        <v>-2800</v>
      </c>
      <c r="G74" s="31">
        <v>243</v>
      </c>
      <c r="H74" s="32">
        <f t="shared" si="31"/>
        <v>-2.8000000000000001E-2</v>
      </c>
      <c r="I74" s="101">
        <f>IF(ISNUMBER(G74), $B91 * H74, "")</f>
        <v>-2800</v>
      </c>
      <c r="J74" s="15">
        <v>243</v>
      </c>
      <c r="K74" s="32">
        <f t="shared" si="32"/>
        <v>-2.8000000000000001E-2</v>
      </c>
      <c r="L74" s="18">
        <f>IF(ISNUMBER(J74), $B91 * K74, "")</f>
        <v>-2800</v>
      </c>
      <c r="M74" s="31">
        <v>248</v>
      </c>
      <c r="N74" s="32">
        <f t="shared" si="33"/>
        <v>-8.0000000000000002E-3</v>
      </c>
      <c r="O74" s="18">
        <f>IF(ISNUMBER(M74), $B91 * N74, "")</f>
        <v>-800</v>
      </c>
      <c r="Q74" s="235"/>
      <c r="R74" s="235"/>
      <c r="S74" s="235"/>
    </row>
    <row r="75" spans="1:19" ht="17.25" thickBot="1">
      <c r="A75" s="163" t="s">
        <v>170</v>
      </c>
      <c r="B75" s="128">
        <v>256</v>
      </c>
      <c r="C75" s="78">
        <v>5.7851239700000001E-2</v>
      </c>
      <c r="D75" s="20">
        <v>238</v>
      </c>
      <c r="E75" s="21">
        <f t="shared" si="30"/>
        <v>-7.03125E-2</v>
      </c>
      <c r="F75" s="22">
        <f>IF(ISNUMBER(D75), $B91 * E75, "")</f>
        <v>-7031.25</v>
      </c>
      <c r="G75" s="30">
        <v>242</v>
      </c>
      <c r="H75" s="21">
        <f t="shared" si="31"/>
        <v>-5.46875E-2</v>
      </c>
      <c r="I75" s="105">
        <f>IF(ISNUMBER(G75), $B91 * H75, "")</f>
        <v>-5468.75</v>
      </c>
      <c r="J75" s="20">
        <v>242</v>
      </c>
      <c r="K75" s="21">
        <f t="shared" si="32"/>
        <v>-5.46875E-2</v>
      </c>
      <c r="L75" s="22">
        <f>IF(ISNUMBER(J75), $B91 * K75, "")</f>
        <v>-5468.75</v>
      </c>
      <c r="M75" s="30">
        <v>247</v>
      </c>
      <c r="N75" s="21">
        <f t="shared" si="33"/>
        <v>-3.515625E-2</v>
      </c>
      <c r="O75" s="22">
        <f>IF(ISNUMBER(M75), $B91 * N75, "")</f>
        <v>-3515.625</v>
      </c>
      <c r="Q75" s="235"/>
      <c r="R75" s="235"/>
      <c r="S75" s="235"/>
    </row>
    <row r="76" spans="1:19" ht="17.25" thickBot="1">
      <c r="A76" s="162" t="s">
        <v>192</v>
      </c>
      <c r="B76" s="129">
        <v>957</v>
      </c>
      <c r="C76" s="80">
        <v>4.7045951900000001E-2</v>
      </c>
      <c r="D76" s="106">
        <v>1015</v>
      </c>
      <c r="E76" s="107">
        <f>IF(ISNUMBER(D76), (D76 - $B76) / $B76, "")</f>
        <v>6.0606060606060608E-2</v>
      </c>
      <c r="F76" s="108">
        <f>IF(ISNUMBER(D76), $B91 * E76, "")</f>
        <v>6060.606060606061</v>
      </c>
      <c r="G76" s="109">
        <v>991</v>
      </c>
      <c r="H76" s="107">
        <f>IF(ISNUMBER(G76), (G76 - $B76) / $B76, "")</f>
        <v>3.5527690700104496E-2</v>
      </c>
      <c r="I76" s="110">
        <f>IF(ISNUMBER(G76), $B91 * H76, "")</f>
        <v>3552.7690700104495</v>
      </c>
      <c r="J76" s="106">
        <v>980</v>
      </c>
      <c r="K76" s="107">
        <f>IF(ISNUMBER(J76), (J76 - $B76) / $B76, "")</f>
        <v>2.4033437826541274E-2</v>
      </c>
      <c r="L76" s="108">
        <f>IF(ISNUMBER(J76), $B91 * K76, "")</f>
        <v>2403.3437826541276</v>
      </c>
      <c r="M76" s="109">
        <v>999</v>
      </c>
      <c r="N76" s="107">
        <f>IF(ISNUMBER(M76), (M76 - $B76) / $B76, "")</f>
        <v>4.3887147335423198E-2</v>
      </c>
      <c r="O76" s="108">
        <f>IF(ISNUMBER(M76), $B91 * N76, "")</f>
        <v>4388.7147335423197</v>
      </c>
      <c r="Q76" s="235"/>
      <c r="R76" s="235"/>
      <c r="S76" s="235"/>
    </row>
    <row r="77" spans="1:19" ht="17.25" thickBot="1">
      <c r="A77" s="162" t="s">
        <v>270</v>
      </c>
      <c r="B77" s="126">
        <v>309</v>
      </c>
      <c r="C77" s="77">
        <v>2.3178807900000001E-2</v>
      </c>
      <c r="D77" s="15">
        <v>317</v>
      </c>
      <c r="E77" s="32">
        <f t="shared" ref="E77:E80" si="34">IF(ISNUMBER(D77), (D77 - $B77) / $B77, "")</f>
        <v>2.5889967637540454E-2</v>
      </c>
      <c r="F77" s="18">
        <f>IF(ISNUMBER(D77), $B91 * E77, "")</f>
        <v>2588.9967637540453</v>
      </c>
      <c r="G77" s="31">
        <v>324</v>
      </c>
      <c r="H77" s="32">
        <f t="shared" ref="H77:H80" si="35">IF(ISNUMBER(G77), (G77 - $B77) / $B77, "")</f>
        <v>4.8543689320388349E-2</v>
      </c>
      <c r="I77" s="101">
        <f>IF(ISNUMBER(G77), $B91 * H77, "")</f>
        <v>4854.3689320388348</v>
      </c>
      <c r="J77" s="15">
        <v>329</v>
      </c>
      <c r="K77" s="32">
        <f t="shared" ref="K77:K80" si="36">IF(ISNUMBER(J77), (J77 - $B77) / $B77, "")</f>
        <v>6.4724919093851127E-2</v>
      </c>
      <c r="L77" s="18">
        <f>IF(ISNUMBER(J77), $B91 * K77, "")</f>
        <v>6472.4919093851131</v>
      </c>
      <c r="M77" s="31">
        <v>338</v>
      </c>
      <c r="N77" s="32">
        <f t="shared" ref="N77:N80" si="37">IF(ISNUMBER(M77), (M77 - $B77) / $B77, "")</f>
        <v>9.3851132686084138E-2</v>
      </c>
      <c r="O77" s="18">
        <f>IF(ISNUMBER(M77), $B91 * N77, "")</f>
        <v>9385.1132686084129</v>
      </c>
      <c r="Q77" s="235"/>
      <c r="R77" s="235"/>
      <c r="S77" s="235"/>
    </row>
    <row r="78" spans="1:19" ht="17.25" thickBot="1">
      <c r="A78" s="162" t="s">
        <v>120</v>
      </c>
      <c r="B78" s="126">
        <v>131</v>
      </c>
      <c r="C78" s="77">
        <v>7.6923076999999996E-3</v>
      </c>
      <c r="D78" s="15">
        <v>136</v>
      </c>
      <c r="E78" s="32">
        <f t="shared" si="34"/>
        <v>3.8167938931297711E-2</v>
      </c>
      <c r="F78" s="18">
        <f>IF(ISNUMBER(D78), $B91 * E78, "")</f>
        <v>3816.7938931297713</v>
      </c>
      <c r="G78" s="31">
        <v>137</v>
      </c>
      <c r="H78" s="32">
        <f t="shared" si="35"/>
        <v>4.5801526717557252E-2</v>
      </c>
      <c r="I78" s="101">
        <f>IF(ISNUMBER(G78), $B91 * H78, "")</f>
        <v>4580.1526717557254</v>
      </c>
      <c r="J78" s="15">
        <v>136</v>
      </c>
      <c r="K78" s="32">
        <f t="shared" si="36"/>
        <v>3.8167938931297711E-2</v>
      </c>
      <c r="L78" s="18">
        <f>IF(ISNUMBER(J78), $B91 * K78, "")</f>
        <v>3816.7938931297713</v>
      </c>
      <c r="M78" s="31">
        <v>139</v>
      </c>
      <c r="N78" s="32">
        <f t="shared" si="37"/>
        <v>6.1068702290076333E-2</v>
      </c>
      <c r="O78" s="18">
        <f>IF(ISNUMBER(M78), $B91 * N78, "")</f>
        <v>6106.8702290076335</v>
      </c>
      <c r="Q78" s="235"/>
      <c r="R78" s="235"/>
      <c r="S78" s="235"/>
    </row>
    <row r="79" spans="1:19" ht="17.25" thickBot="1">
      <c r="A79" s="162" t="s">
        <v>92</v>
      </c>
      <c r="B79" s="126">
        <v>965</v>
      </c>
      <c r="C79" s="77">
        <v>-2.0682523000000001E-3</v>
      </c>
      <c r="D79" s="15">
        <v>1000</v>
      </c>
      <c r="E79" s="32">
        <f t="shared" si="34"/>
        <v>3.6269430051813469E-2</v>
      </c>
      <c r="F79" s="18">
        <f>IF(ISNUMBER(D79), $B91 * E79, "")</f>
        <v>3626.943005181347</v>
      </c>
      <c r="G79" s="31">
        <v>1000</v>
      </c>
      <c r="H79" s="32">
        <f t="shared" si="35"/>
        <v>3.6269430051813469E-2</v>
      </c>
      <c r="I79" s="101">
        <f>IF(ISNUMBER(G79), $B91 * H79, "")</f>
        <v>3626.943005181347</v>
      </c>
      <c r="J79" s="15">
        <v>999</v>
      </c>
      <c r="K79" s="32">
        <f t="shared" si="36"/>
        <v>3.5233160621761656E-2</v>
      </c>
      <c r="L79" s="18">
        <f>IF(ISNUMBER(J79), $B91 * K79, "")</f>
        <v>3523.3160621761654</v>
      </c>
      <c r="M79" s="31">
        <v>1020</v>
      </c>
      <c r="N79" s="32">
        <f t="shared" si="37"/>
        <v>5.6994818652849742E-2</v>
      </c>
      <c r="O79" s="18">
        <f>IF(ISNUMBER(M79), $B91 * N79, "")</f>
        <v>5699.4818652849744</v>
      </c>
      <c r="Q79" s="33"/>
      <c r="R79" s="33"/>
    </row>
    <row r="80" spans="1:19" ht="17.25" thickBot="1">
      <c r="A80" s="130" t="s">
        <v>57</v>
      </c>
      <c r="B80" s="131">
        <v>182</v>
      </c>
      <c r="C80" s="79">
        <v>-5.4644808999999997E-3</v>
      </c>
      <c r="D80" s="24">
        <v>189</v>
      </c>
      <c r="E80" s="25">
        <f t="shared" si="34"/>
        <v>3.8461538461538464E-2</v>
      </c>
      <c r="F80" s="104">
        <f>IF(ISNUMBER(D80), $B91 * E80, "")</f>
        <v>3846.1538461538462</v>
      </c>
      <c r="G80" s="102">
        <v>189</v>
      </c>
      <c r="H80" s="25">
        <f t="shared" si="35"/>
        <v>3.8461538461538464E-2</v>
      </c>
      <c r="I80" s="103">
        <f>IF(ISNUMBER(G80), $B91 * H80, "")</f>
        <v>3846.1538461538462</v>
      </c>
      <c r="J80" s="24">
        <v>188</v>
      </c>
      <c r="K80" s="25">
        <f t="shared" si="36"/>
        <v>3.2967032967032968E-2</v>
      </c>
      <c r="L80" s="104">
        <f>IF(ISNUMBER(J80), $B91 * K80, "")</f>
        <v>3296.7032967032969</v>
      </c>
      <c r="M80" s="102">
        <v>194</v>
      </c>
      <c r="N80" s="25">
        <f t="shared" si="37"/>
        <v>6.5934065934065936E-2</v>
      </c>
      <c r="O80" s="104">
        <f>IF(ISNUMBER(M80), $B91 * N80, "")</f>
        <v>6593.4065934065939</v>
      </c>
      <c r="Q80" s="236"/>
      <c r="R80" s="237"/>
      <c r="S80" s="238"/>
    </row>
    <row r="81" spans="1:19">
      <c r="A81" s="161" t="s">
        <v>296</v>
      </c>
      <c r="B81" s="124">
        <v>360</v>
      </c>
      <c r="C81" s="76">
        <v>-5.5248618999999997E-3</v>
      </c>
      <c r="D81" s="13">
        <v>374</v>
      </c>
      <c r="E81" s="14">
        <f>IF(ISNUMBER(D81), (D81 - $B81) / $B81, "")</f>
        <v>3.888888888888889E-2</v>
      </c>
      <c r="F81" s="16">
        <f>IF(ISNUMBER(D81), $B91 * E81, "")</f>
        <v>3888.8888888888891</v>
      </c>
      <c r="G81" s="29">
        <v>373</v>
      </c>
      <c r="H81" s="14">
        <f>IF(ISNUMBER(G81), (G81 - $B81) / $B81, "")</f>
        <v>3.6111111111111108E-2</v>
      </c>
      <c r="I81" s="100">
        <f>IF(ISNUMBER(G81), $B91 * H81, "")</f>
        <v>3611.1111111111109</v>
      </c>
      <c r="J81" s="13">
        <v>371</v>
      </c>
      <c r="K81" s="14">
        <f>IF(ISNUMBER(J81), (J81 - $B81) / $B81, "")</f>
        <v>3.0555555555555555E-2</v>
      </c>
      <c r="L81" s="16">
        <f>IF(ISNUMBER(J81), $B91 * K81, "")</f>
        <v>3055.5555555555557</v>
      </c>
      <c r="M81" s="29">
        <v>380</v>
      </c>
      <c r="N81" s="14">
        <f>IF(ISNUMBER(M81), (M81 - $B81) / $B81, "")</f>
        <v>5.5555555555555552E-2</v>
      </c>
      <c r="O81" s="16">
        <f>IF(ISNUMBER(M81), $B91 * N81, "")</f>
        <v>5555.5555555555557</v>
      </c>
      <c r="Q81" s="239"/>
      <c r="R81" s="240"/>
      <c r="S81" s="241"/>
    </row>
    <row r="82" spans="1:19" ht="17.25" thickBot="1">
      <c r="A82" s="162" t="s">
        <v>176</v>
      </c>
      <c r="B82" s="126">
        <v>972</v>
      </c>
      <c r="C82" s="77">
        <v>-6.1349693000000002E-3</v>
      </c>
      <c r="D82" s="15">
        <v>1010</v>
      </c>
      <c r="E82" s="32">
        <f t="shared" ref="E82:E85" si="38">IF(ISNUMBER(D82), (D82 - $B82) / $B82, "")</f>
        <v>3.9094650205761319E-2</v>
      </c>
      <c r="F82" s="18">
        <f>IF(ISNUMBER(D82), $B91 * E82, "")</f>
        <v>3909.4650205761318</v>
      </c>
      <c r="G82" s="31">
        <v>997</v>
      </c>
      <c r="H82" s="32">
        <f t="shared" ref="H82:H85" si="39">IF(ISNUMBER(G82), (G82 - $B82) / $B82, "")</f>
        <v>2.5720164609053499E-2</v>
      </c>
      <c r="I82" s="101">
        <f>IF(ISNUMBER(G82), $B91 * H82, "")</f>
        <v>2572.01646090535</v>
      </c>
      <c r="J82" s="15">
        <v>1005</v>
      </c>
      <c r="K82" s="32">
        <f t="shared" ref="K82:K85" si="40">IF(ISNUMBER(J82), (J82 - $B82) / $B82, "")</f>
        <v>3.3950617283950615E-2</v>
      </c>
      <c r="L82" s="18">
        <f>IF(ISNUMBER(J82), $B91 * K82, "")</f>
        <v>3395.0617283950614</v>
      </c>
      <c r="M82" s="31">
        <v>1020</v>
      </c>
      <c r="N82" s="32">
        <f t="shared" ref="N82:N85" si="41">IF(ISNUMBER(M82), (M82 - $B82) / $B82, "")</f>
        <v>4.9382716049382713E-2</v>
      </c>
      <c r="O82" s="18">
        <f>IF(ISNUMBER(M82), $B91 * N82, "")</f>
        <v>4938.2716049382716</v>
      </c>
      <c r="Q82" s="242"/>
      <c r="R82" s="243"/>
      <c r="S82" s="244"/>
    </row>
    <row r="83" spans="1:19" ht="17.25" thickBot="1">
      <c r="A83" s="162" t="s">
        <v>61</v>
      </c>
      <c r="B83" s="126">
        <v>755</v>
      </c>
      <c r="C83" s="77">
        <v>-1.30718954E-2</v>
      </c>
      <c r="D83" s="15">
        <v>784</v>
      </c>
      <c r="E83" s="32">
        <f t="shared" si="38"/>
        <v>3.8410596026490065E-2</v>
      </c>
      <c r="F83" s="18">
        <f>IF(ISNUMBER(D83), $B91 * E83, "")</f>
        <v>3841.0596026490066</v>
      </c>
      <c r="G83" s="31">
        <v>793</v>
      </c>
      <c r="H83" s="32">
        <f t="shared" si="39"/>
        <v>5.0331125827814571E-2</v>
      </c>
      <c r="I83" s="101">
        <f>IF(ISNUMBER(G83), $B91 * H83, "")</f>
        <v>5033.1125827814567</v>
      </c>
      <c r="J83" s="15">
        <v>789</v>
      </c>
      <c r="K83" s="32">
        <f t="shared" si="40"/>
        <v>4.5033112582781455E-2</v>
      </c>
      <c r="L83" s="18">
        <f>IF(ISNUMBER(J83), $B91 * K83, "")</f>
        <v>4503.3112582781459</v>
      </c>
      <c r="M83" s="31">
        <v>816</v>
      </c>
      <c r="N83" s="32">
        <f t="shared" si="41"/>
        <v>8.0794701986754966E-2</v>
      </c>
      <c r="O83" s="18">
        <f>IF(ISNUMBER(M83), $B91 * N83, "")</f>
        <v>8079.4701986754962</v>
      </c>
      <c r="Q83" s="235"/>
      <c r="R83" s="235"/>
      <c r="S83" s="235"/>
    </row>
    <row r="84" spans="1:19" ht="17.25" thickBot="1">
      <c r="A84" s="162" t="s">
        <v>80</v>
      </c>
      <c r="B84" s="126">
        <v>708</v>
      </c>
      <c r="C84" s="77">
        <v>-1.52990264E-2</v>
      </c>
      <c r="D84" s="15">
        <v>737</v>
      </c>
      <c r="E84" s="32">
        <f t="shared" si="38"/>
        <v>4.0960451977401127E-2</v>
      </c>
      <c r="F84" s="18">
        <f>IF(ISNUMBER(D84), $B91 * E84, "")</f>
        <v>4096.0451977401126</v>
      </c>
      <c r="G84" s="31">
        <v>742</v>
      </c>
      <c r="H84" s="32">
        <f t="shared" si="39"/>
        <v>4.8022598870056499E-2</v>
      </c>
      <c r="I84" s="101">
        <f>IF(ISNUMBER(G84), $B91 * H84, "")</f>
        <v>4802.2598870056499</v>
      </c>
      <c r="J84" s="15">
        <v>743</v>
      </c>
      <c r="K84" s="32">
        <f t="shared" si="40"/>
        <v>4.9435028248587573E-2</v>
      </c>
      <c r="L84" s="18">
        <f>IF(ISNUMBER(J84), $B91 * K84, "")</f>
        <v>4943.5028248587569</v>
      </c>
      <c r="M84" s="31">
        <v>771</v>
      </c>
      <c r="N84" s="32">
        <f t="shared" si="41"/>
        <v>8.8983050847457626E-2</v>
      </c>
      <c r="O84" s="18">
        <f>IF(ISNUMBER(M84), $B91 * N84, "")</f>
        <v>8898.3050847457635</v>
      </c>
      <c r="Q84" s="245"/>
      <c r="R84" s="245"/>
      <c r="S84" s="245"/>
    </row>
    <row r="85" spans="1:19" ht="17.25" thickBot="1">
      <c r="A85" s="163" t="s">
        <v>128</v>
      </c>
      <c r="B85" s="128">
        <v>290</v>
      </c>
      <c r="C85" s="78">
        <v>-1.6949152499999998E-2</v>
      </c>
      <c r="D85" s="20">
        <v>301</v>
      </c>
      <c r="E85" s="21">
        <f t="shared" si="38"/>
        <v>3.793103448275862E-2</v>
      </c>
      <c r="F85" s="22">
        <f>IF(ISNUMBER(D85), $B91 * E85, "")</f>
        <v>3793.1034482758619</v>
      </c>
      <c r="G85" s="30">
        <v>317</v>
      </c>
      <c r="H85" s="21">
        <f t="shared" si="39"/>
        <v>9.3103448275862075E-2</v>
      </c>
      <c r="I85" s="105">
        <f>IF(ISNUMBER(G85), $B91 * H85, "")</f>
        <v>9310.3448275862083</v>
      </c>
      <c r="J85" s="20">
        <v>311</v>
      </c>
      <c r="K85" s="21">
        <f t="shared" si="40"/>
        <v>7.2413793103448282E-2</v>
      </c>
      <c r="L85" s="22">
        <f>IF(ISNUMBER(J85), $B91 * K85, "")</f>
        <v>7241.3793103448279</v>
      </c>
      <c r="M85" s="30">
        <v>316</v>
      </c>
      <c r="N85" s="21">
        <f t="shared" si="41"/>
        <v>8.9655172413793102E-2</v>
      </c>
      <c r="O85" s="22">
        <f>IF(ISNUMBER(M85), $B91 * N85, "")</f>
        <v>8965.5172413793098</v>
      </c>
      <c r="Q85" s="245"/>
      <c r="R85" s="245"/>
      <c r="S85" s="245"/>
    </row>
    <row r="86" spans="1:19" ht="17.25" thickBot="1">
      <c r="A86" s="162" t="s">
        <v>136</v>
      </c>
      <c r="B86" s="129">
        <v>113</v>
      </c>
      <c r="C86" s="80">
        <v>-1.73913043E-2</v>
      </c>
      <c r="D86" s="106">
        <v>124</v>
      </c>
      <c r="E86" s="107">
        <f>IF(ISNUMBER(D86), (D86 - $B86) / $B86, "")</f>
        <v>9.7345132743362831E-2</v>
      </c>
      <c r="F86" s="108">
        <f>IF(ISNUMBER(D86), $B91 * E86, "")</f>
        <v>9734.5132743362828</v>
      </c>
      <c r="G86" s="109">
        <v>122</v>
      </c>
      <c r="H86" s="107">
        <f>IF(ISNUMBER(G86), (G86 - $B86) / $B86, "")</f>
        <v>7.9646017699115043E-2</v>
      </c>
      <c r="I86" s="110">
        <f>IF(ISNUMBER(G86), $B91 * H86, "")</f>
        <v>7964.6017699115046</v>
      </c>
      <c r="J86" s="106">
        <v>122</v>
      </c>
      <c r="K86" s="107">
        <f>IF(ISNUMBER(J86), (J86 - $B86) / $B86, "")</f>
        <v>7.9646017699115043E-2</v>
      </c>
      <c r="L86" s="108">
        <f>IF(ISNUMBER(J86), $B91 * K86, "")</f>
        <v>7964.6017699115046</v>
      </c>
      <c r="M86" s="109">
        <v>125</v>
      </c>
      <c r="N86" s="107">
        <f>IF(ISNUMBER(M86), (M86 - $B86) / $B86, "")</f>
        <v>0.10619469026548672</v>
      </c>
      <c r="O86" s="108">
        <f>IF(ISNUMBER(M86), $B91 * N86, "")</f>
        <v>10619.469026548672</v>
      </c>
      <c r="Q86" s="235"/>
      <c r="R86" s="235"/>
      <c r="S86" s="235"/>
    </row>
    <row r="87" spans="1:19" ht="17.25" thickBot="1">
      <c r="A87" s="162" t="s">
        <v>182</v>
      </c>
      <c r="B87" s="126">
        <v>222</v>
      </c>
      <c r="C87" s="77">
        <v>-1.7699115000000001E-2</v>
      </c>
      <c r="D87" s="15">
        <v>229</v>
      </c>
      <c r="E87" s="32">
        <f t="shared" ref="E87:E90" si="42">IF(ISNUMBER(D87), (D87 - $B87) / $B87, "")</f>
        <v>3.1531531531531529E-2</v>
      </c>
      <c r="F87" s="18">
        <f>IF(ISNUMBER(D87), $B91 * E87, "")</f>
        <v>3153.1531531531527</v>
      </c>
      <c r="G87" s="31">
        <v>231</v>
      </c>
      <c r="H87" s="32">
        <f t="shared" ref="H87:H90" si="43">IF(ISNUMBER(G87), (G87 - $B87) / $B87, "")</f>
        <v>4.0540540540540543E-2</v>
      </c>
      <c r="I87" s="101">
        <f>IF(ISNUMBER(G87), $B91 * H87, "")</f>
        <v>4054.0540540540542</v>
      </c>
      <c r="J87" s="15">
        <v>228</v>
      </c>
      <c r="K87" s="32">
        <f t="shared" ref="K87:K90" si="44">IF(ISNUMBER(J87), (J87 - $B87) / $B87, "")</f>
        <v>2.7027027027027029E-2</v>
      </c>
      <c r="L87" s="18">
        <f>IF(ISNUMBER(J87), $B91 * K87, "")</f>
        <v>2702.7027027027029</v>
      </c>
      <c r="M87" s="31">
        <v>237</v>
      </c>
      <c r="N87" s="32">
        <f t="shared" ref="N87:N90" si="45">IF(ISNUMBER(M87), (M87 - $B87) / $B87, "")</f>
        <v>6.7567567567567571E-2</v>
      </c>
      <c r="O87" s="18">
        <f>IF(ISNUMBER(M87), $B91 * N87, "")</f>
        <v>6756.7567567567576</v>
      </c>
      <c r="Q87" s="235"/>
      <c r="R87" s="235"/>
      <c r="S87" s="235"/>
    </row>
    <row r="88" spans="1:19" ht="17.25" thickBot="1">
      <c r="A88" s="162" t="s">
        <v>88</v>
      </c>
      <c r="B88" s="126">
        <v>311</v>
      </c>
      <c r="C88" s="77">
        <v>-2.2012578599999999E-2</v>
      </c>
      <c r="D88" s="15">
        <v>323</v>
      </c>
      <c r="E88" s="32">
        <f t="shared" si="42"/>
        <v>3.8585209003215437E-2</v>
      </c>
      <c r="F88" s="18">
        <f>IF(ISNUMBER(D88), $B91 * E88, "")</f>
        <v>3858.5209003215436</v>
      </c>
      <c r="G88" s="31">
        <v>326</v>
      </c>
      <c r="H88" s="32">
        <f t="shared" si="43"/>
        <v>4.8231511254019289E-2</v>
      </c>
      <c r="I88" s="101">
        <f>IF(ISNUMBER(G88), $B91 * H88, "")</f>
        <v>4823.1511254019288</v>
      </c>
      <c r="J88" s="15">
        <v>322</v>
      </c>
      <c r="K88" s="32">
        <f t="shared" si="44"/>
        <v>3.5369774919614148E-2</v>
      </c>
      <c r="L88" s="18">
        <f>IF(ISNUMBER(J88), $B91 * K88, "")</f>
        <v>3536.9774919614147</v>
      </c>
      <c r="M88" s="31">
        <v>330</v>
      </c>
      <c r="N88" s="32">
        <f t="shared" si="45"/>
        <v>6.1093247588424437E-2</v>
      </c>
      <c r="O88" s="18">
        <f>IF(ISNUMBER(M88), $B91 * N88, "")</f>
        <v>6109.3247588424438</v>
      </c>
      <c r="Q88" s="235"/>
      <c r="R88" s="235"/>
      <c r="S88" s="235"/>
    </row>
    <row r="89" spans="1:19">
      <c r="A89" s="162" t="s">
        <v>262</v>
      </c>
      <c r="B89" s="126">
        <v>453</v>
      </c>
      <c r="C89" s="77">
        <v>-2.3706896599999999E-2</v>
      </c>
      <c r="D89" s="15">
        <v>485</v>
      </c>
      <c r="E89" s="32">
        <f t="shared" si="42"/>
        <v>7.0640176600441501E-2</v>
      </c>
      <c r="F89" s="18">
        <f>IF(ISNUMBER(D89), $B91 * E89, "")</f>
        <v>7064.01766004415</v>
      </c>
      <c r="G89" s="31">
        <v>491</v>
      </c>
      <c r="H89" s="32">
        <f t="shared" si="43"/>
        <v>8.3885209713024281E-2</v>
      </c>
      <c r="I89" s="101">
        <f>IF(ISNUMBER(G89), $B91 * H89, "")</f>
        <v>8388.5209713024287</v>
      </c>
      <c r="J89" s="15">
        <v>487</v>
      </c>
      <c r="K89" s="32">
        <f t="shared" si="44"/>
        <v>7.505518763796909E-2</v>
      </c>
      <c r="L89" s="18">
        <f>IF(ISNUMBER(J89), $B91 * K89, "")</f>
        <v>7505.5187637969093</v>
      </c>
      <c r="M89" s="31">
        <v>501</v>
      </c>
      <c r="N89" s="32">
        <f t="shared" si="45"/>
        <v>0.10596026490066225</v>
      </c>
      <c r="O89" s="18">
        <f>IF(ISNUMBER(M89), $B91 * N89, "")</f>
        <v>10596.026490066226</v>
      </c>
      <c r="Q89" s="224"/>
      <c r="R89" s="225"/>
      <c r="S89" s="226"/>
    </row>
    <row r="90" spans="1:19" ht="17.25" thickBot="1">
      <c r="A90" s="130" t="s">
        <v>116</v>
      </c>
      <c r="B90" s="131">
        <v>297</v>
      </c>
      <c r="C90" s="79">
        <v>-2.9411764699999999E-2</v>
      </c>
      <c r="D90" s="24">
        <v>313</v>
      </c>
      <c r="E90" s="25">
        <f t="shared" si="42"/>
        <v>5.387205387205387E-2</v>
      </c>
      <c r="F90" s="104">
        <f>IF(ISNUMBER(D90), $B91 * E90, "")</f>
        <v>5387.2053872053866</v>
      </c>
      <c r="G90" s="102">
        <v>314</v>
      </c>
      <c r="H90" s="25">
        <f t="shared" si="43"/>
        <v>5.7239057239057242E-2</v>
      </c>
      <c r="I90" s="103">
        <f>IF(ISNUMBER(G90), $B91 * H90, "")</f>
        <v>5723.9057239057238</v>
      </c>
      <c r="J90" s="24">
        <v>313</v>
      </c>
      <c r="K90" s="25">
        <f t="shared" si="44"/>
        <v>5.387205387205387E-2</v>
      </c>
      <c r="L90" s="104">
        <f>IF(ISNUMBER(J90), $B91 * K90, "")</f>
        <v>5387.2053872053866</v>
      </c>
      <c r="M90" s="102">
        <v>323</v>
      </c>
      <c r="N90" s="25">
        <f t="shared" si="45"/>
        <v>8.7542087542087546E-2</v>
      </c>
      <c r="O90" s="104">
        <f>IF(ISNUMBER(M90), $B91 * N90, "")</f>
        <v>8754.2087542087538</v>
      </c>
      <c r="Q90" s="227"/>
      <c r="R90" s="228"/>
      <c r="S90" s="229"/>
    </row>
    <row r="91" spans="1:19" ht="17.25" thickBot="1">
      <c r="A91" s="132" t="s">
        <v>300</v>
      </c>
      <c r="B91" s="288">
        <f>$B$37</f>
        <v>100000</v>
      </c>
      <c r="C91" s="289"/>
      <c r="D91" s="26" t="s">
        <v>301</v>
      </c>
      <c r="E91" s="27">
        <f>IF(COUNT(E71:E90), SUM(E71:E90) / COUNT(E71:E90), 0)</f>
        <v>3.0027961939119507E-2</v>
      </c>
      <c r="F91" s="28">
        <f>SUM(F71:F90)</f>
        <v>60055.923878239017</v>
      </c>
      <c r="G91" s="26" t="s">
        <v>301</v>
      </c>
      <c r="H91" s="27">
        <f>IF(COUNT(H71:H90), SUM(H71:H90) / COUNT(H71:H90), 0)</f>
        <v>3.6094629004314184E-2</v>
      </c>
      <c r="I91" s="28">
        <f>SUM(I71:I90)</f>
        <v>72189.258008628371</v>
      </c>
      <c r="J91" s="26" t="s">
        <v>301</v>
      </c>
      <c r="K91" s="27">
        <f>IF(COUNT(K71:K90), SUM(K71:K90) / COUNT(K71:K90), 0)</f>
        <v>3.2417048394928184E-2</v>
      </c>
      <c r="L91" s="28">
        <f>SUM(L71:L90)</f>
        <v>64834.096789856354</v>
      </c>
      <c r="M91" s="26" t="s">
        <v>301</v>
      </c>
      <c r="N91" s="27">
        <f>IF(COUNT(N71:N90), SUM(N71:N90) / COUNT(N71:N90), 0)</f>
        <v>5.9260019998025534E-2</v>
      </c>
      <c r="O91" s="28">
        <f>SUM(O71:O90)</f>
        <v>118520.03999605105</v>
      </c>
      <c r="Q91" s="230"/>
      <c r="R91" s="231"/>
      <c r="S91" s="232"/>
    </row>
    <row r="93" spans="1:19" ht="17.25" thickBot="1"/>
    <row r="94" spans="1:19" ht="17.25" thickBot="1">
      <c r="A94" s="246" t="s">
        <v>46</v>
      </c>
      <c r="B94" s="247"/>
      <c r="C94" s="247"/>
      <c r="D94" s="247"/>
      <c r="E94" s="247"/>
      <c r="F94" s="247"/>
      <c r="G94" s="247"/>
      <c r="H94" s="247"/>
      <c r="I94" s="247"/>
      <c r="J94" s="247"/>
      <c r="K94" s="247"/>
      <c r="L94" s="247"/>
      <c r="M94" s="247"/>
      <c r="N94" s="247"/>
      <c r="O94" s="248"/>
      <c r="Q94" s="245"/>
      <c r="R94" s="245"/>
      <c r="S94" s="245"/>
    </row>
    <row r="95" spans="1:19" ht="17.25" thickBot="1">
      <c r="A95" s="212" t="s">
        <v>297</v>
      </c>
      <c r="B95" s="246" t="s">
        <v>49</v>
      </c>
      <c r="C95" s="248"/>
      <c r="D95" s="246" t="s">
        <v>58</v>
      </c>
      <c r="E95" s="247"/>
      <c r="F95" s="248"/>
      <c r="G95" s="249">
        <f>_xlfn.IFNA(VLOOKUP(B95, 현재가테이블!$B$2:$D$200, 2, FALSE), "-")</f>
        <v>45335000</v>
      </c>
      <c r="H95" s="250"/>
      <c r="I95" s="251"/>
      <c r="J95" s="246" t="s">
        <v>59</v>
      </c>
      <c r="K95" s="247"/>
      <c r="L95" s="248"/>
      <c r="M95" s="252">
        <f>_xlfn.IFNA(VLOOKUP(B95, 현재가테이블!$B$2:$D$200, 3, FALSE), "-")</f>
        <v>-2.27209037E-2</v>
      </c>
      <c r="N95" s="253"/>
      <c r="O95" s="254"/>
      <c r="Q95" s="245"/>
      <c r="R95" s="245"/>
      <c r="S95" s="245"/>
    </row>
    <row r="96" spans="1:19" ht="17.25" thickBot="1">
      <c r="A96" s="290" t="s">
        <v>55</v>
      </c>
      <c r="B96" s="286" t="str">
        <f>TEXT($G$1, "[$-ko-KR]yyyy-mm-dd(ddd) ") &amp; "오전 00:00"</f>
        <v>2021-06-14(월) 오전 00:00</v>
      </c>
      <c r="C96" s="287"/>
      <c r="D96" s="259" t="str">
        <f>TEXT($G$1, "[$-ko-KR]yyyy-mm-dd(ddd) ") &amp; "오후 14:00"</f>
        <v>2021-06-14(월) 오후 14:00</v>
      </c>
      <c r="E96" s="260"/>
      <c r="F96" s="261"/>
      <c r="G96" s="259" t="str">
        <f>TEXT($G$1, "[$-ko-KR]yyyy-mm-dd(ddd) ") &amp; "오후 19:00"</f>
        <v>2021-06-14(월) 오후 19:00</v>
      </c>
      <c r="H96" s="260"/>
      <c r="I96" s="261"/>
      <c r="J96" s="259" t="str">
        <f>TEXT($G$1, "[$-ko-KR]yyyy-mm-dd(ddd) ") &amp; "오후 21:00"</f>
        <v>2021-06-14(월) 오후 21:00</v>
      </c>
      <c r="K96" s="260"/>
      <c r="L96" s="261"/>
      <c r="M96" s="259" t="str">
        <f>TEXT($G$1+1, "[$-ko-KR]yyyy-mm-dd(ddd) ") &amp; "오전 00:00"</f>
        <v>2021-06-15(화) 오전 00:00</v>
      </c>
      <c r="N96" s="260"/>
      <c r="O96" s="261"/>
      <c r="Q96" s="245"/>
      <c r="R96" s="245"/>
      <c r="S96" s="245"/>
    </row>
    <row r="97" spans="1:19" ht="17.25" thickBot="1">
      <c r="A97" s="291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213" t="s">
        <v>58</v>
      </c>
      <c r="H97" s="214" t="s">
        <v>298</v>
      </c>
      <c r="I97" s="215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5"/>
      <c r="R97" s="235"/>
      <c r="S97" s="235"/>
    </row>
    <row r="98" spans="1:19" ht="17.25" thickBot="1">
      <c r="A98" s="161" t="s">
        <v>142</v>
      </c>
      <c r="B98" s="124">
        <v>589</v>
      </c>
      <c r="C98" s="76">
        <v>0.19715447150000001</v>
      </c>
      <c r="D98" s="13">
        <v>613</v>
      </c>
      <c r="E98" s="14">
        <f>IF(ISNUMBER(D98), (D98 - $B98) / $B98, "")</f>
        <v>4.074702886247878E-2</v>
      </c>
      <c r="F98" s="16">
        <f>IF(ISNUMBER(D98), $B118 * E98, "")</f>
        <v>4074.7028862478783</v>
      </c>
      <c r="G98" s="29">
        <v>616</v>
      </c>
      <c r="H98" s="14">
        <f>IF(ISNUMBER(G98), (G98 - $B98) / $B98, "")</f>
        <v>4.5840407470288627E-2</v>
      </c>
      <c r="I98" s="100">
        <f>IF(ISNUMBER(G98), $B118 * H98, "")</f>
        <v>4584.0407470288628</v>
      </c>
      <c r="J98" s="13">
        <v>619</v>
      </c>
      <c r="K98" s="14">
        <f>IF(ISNUMBER(J98), (J98 - $B98) / $B98, "")</f>
        <v>5.0933786078098474E-2</v>
      </c>
      <c r="L98" s="16">
        <f>IF(ISNUMBER(J98), $B118 * K98, "")</f>
        <v>5093.3786078098474</v>
      </c>
      <c r="M98" s="29">
        <v>638</v>
      </c>
      <c r="N98" s="14">
        <f>IF(ISNUMBER(M98), (M98 - $B98) / $B98, "")</f>
        <v>8.3191850594227498E-2</v>
      </c>
      <c r="O98" s="16">
        <f>IF(ISNUMBER(M98), $B118 * N98, "")</f>
        <v>8319.185059422749</v>
      </c>
      <c r="Q98" s="245"/>
      <c r="R98" s="245"/>
      <c r="S98" s="245"/>
    </row>
    <row r="99" spans="1:19" ht="17.25" thickBot="1">
      <c r="A99" s="162" t="s">
        <v>190</v>
      </c>
      <c r="B99" s="126">
        <v>50460</v>
      </c>
      <c r="C99" s="77">
        <v>7.6594836799999996E-2</v>
      </c>
      <c r="D99" s="15">
        <v>50000</v>
      </c>
      <c r="E99" s="32">
        <f t="shared" ref="E99:E102" si="46">IF(ISNUMBER(D99), (D99 - $B99) / $B99, "")</f>
        <v>-9.116131589377725E-3</v>
      </c>
      <c r="F99" s="18">
        <f>IF(ISNUMBER(D99), $B118 * E99, "")</f>
        <v>-911.61315893777248</v>
      </c>
      <c r="G99" s="31">
        <v>50650</v>
      </c>
      <c r="H99" s="32">
        <f t="shared" ref="H99:H102" si="47">IF(ISNUMBER(G99), (G99 - $B99) / $B99, "")</f>
        <v>3.7653586999603647E-3</v>
      </c>
      <c r="I99" s="101">
        <f>IF(ISNUMBER(G99), $B118 * H99, "")</f>
        <v>376.53586999603647</v>
      </c>
      <c r="J99" s="15">
        <v>50820</v>
      </c>
      <c r="K99" s="32">
        <f t="shared" ref="K99:K102" si="48">IF(ISNUMBER(J99), (J99 - $B99) / $B99, "")</f>
        <v>7.1343638525564806E-3</v>
      </c>
      <c r="L99" s="18">
        <f>IF(ISNUMBER(J99), $B118 * K99, "")</f>
        <v>713.43638525564802</v>
      </c>
      <c r="M99" s="31">
        <v>52800</v>
      </c>
      <c r="N99" s="32">
        <f t="shared" ref="N99:N102" si="49">IF(ISNUMBER(M99), (M99 - $B99) / $B99, "")</f>
        <v>4.6373365041617119E-2</v>
      </c>
      <c r="O99" s="18">
        <f>IF(ISNUMBER(M99), $B118 * N99, "")</f>
        <v>4637.3365041617117</v>
      </c>
      <c r="Q99" s="245"/>
      <c r="R99" s="245"/>
      <c r="S99" s="245"/>
    </row>
    <row r="100" spans="1:19" ht="17.25" thickBot="1">
      <c r="A100" s="162" t="s">
        <v>274</v>
      </c>
      <c r="B100" s="126">
        <v>7110</v>
      </c>
      <c r="C100" s="77">
        <v>7.6457229400000007E-2</v>
      </c>
      <c r="D100" s="15">
        <v>7825</v>
      </c>
      <c r="E100" s="32">
        <f t="shared" si="46"/>
        <v>0.10056258790436005</v>
      </c>
      <c r="F100" s="18">
        <f>IF(ISNUMBER(D100), $B118 * E100, "")</f>
        <v>10056.258790436006</v>
      </c>
      <c r="G100" s="31">
        <v>7635</v>
      </c>
      <c r="H100" s="32">
        <f t="shared" si="47"/>
        <v>7.3839662447257384E-2</v>
      </c>
      <c r="I100" s="101">
        <f>IF(ISNUMBER(G100), $B118 * H100, "")</f>
        <v>7383.9662447257388</v>
      </c>
      <c r="J100" s="15">
        <v>7465</v>
      </c>
      <c r="K100" s="32">
        <f t="shared" si="48"/>
        <v>4.9929676511954992E-2</v>
      </c>
      <c r="L100" s="18">
        <f>IF(ISNUMBER(J100), $B118 * K100, "")</f>
        <v>4992.9676511954995</v>
      </c>
      <c r="M100" s="31">
        <v>7875</v>
      </c>
      <c r="N100" s="32">
        <f t="shared" si="49"/>
        <v>0.10759493670886076</v>
      </c>
      <c r="O100" s="18">
        <f>IF(ISNUMBER(M100), $B118 * N100, "")</f>
        <v>10759.493670886077</v>
      </c>
      <c r="Q100" s="235"/>
      <c r="R100" s="235"/>
      <c r="S100" s="235"/>
    </row>
    <row r="101" spans="1:19" ht="17.25" thickBot="1">
      <c r="A101" s="162" t="s">
        <v>258</v>
      </c>
      <c r="B101" s="126">
        <v>409</v>
      </c>
      <c r="C101" s="77">
        <v>7.6315789499999995E-2</v>
      </c>
      <c r="D101" s="15">
        <v>405</v>
      </c>
      <c r="E101" s="32">
        <f t="shared" si="46"/>
        <v>-9.7799511002444987E-3</v>
      </c>
      <c r="F101" s="18">
        <f>IF(ISNUMBER(D101), $B118 * E101, "")</f>
        <v>-977.9951100244499</v>
      </c>
      <c r="G101" s="31">
        <v>408</v>
      </c>
      <c r="H101" s="32">
        <f t="shared" si="47"/>
        <v>-2.4449877750611247E-3</v>
      </c>
      <c r="I101" s="101">
        <f>IF(ISNUMBER(G101), $B118 * H101, "")</f>
        <v>-244.49877750611248</v>
      </c>
      <c r="J101" s="15">
        <v>407</v>
      </c>
      <c r="K101" s="32">
        <f t="shared" si="48"/>
        <v>-4.8899755501222494E-3</v>
      </c>
      <c r="L101" s="18">
        <f>IF(ISNUMBER(J101), $B118 * K101, "")</f>
        <v>-488.99755501222495</v>
      </c>
      <c r="M101" s="31">
        <v>419</v>
      </c>
      <c r="N101" s="32">
        <f t="shared" si="49"/>
        <v>2.4449877750611249E-2</v>
      </c>
      <c r="O101" s="18">
        <f>IF(ISNUMBER(M101), $B118 * N101, "")</f>
        <v>2444.9877750611249</v>
      </c>
      <c r="Q101" s="235"/>
      <c r="R101" s="235"/>
      <c r="S101" s="235"/>
    </row>
    <row r="102" spans="1:19" ht="17.25" thickBot="1">
      <c r="A102" s="163" t="s">
        <v>200</v>
      </c>
      <c r="B102" s="128">
        <v>160</v>
      </c>
      <c r="C102" s="78">
        <v>7.3825503400000006E-2</v>
      </c>
      <c r="D102" s="20">
        <v>157</v>
      </c>
      <c r="E102" s="21">
        <f t="shared" si="46"/>
        <v>-1.8749999999999999E-2</v>
      </c>
      <c r="F102" s="22">
        <f>IF(ISNUMBER(D102), $B118 * E102, "")</f>
        <v>-1875</v>
      </c>
      <c r="G102" s="30">
        <v>159</v>
      </c>
      <c r="H102" s="21">
        <f t="shared" si="47"/>
        <v>-6.2500000000000003E-3</v>
      </c>
      <c r="I102" s="105">
        <f>IF(ISNUMBER(G102), $B118 * H102, "")</f>
        <v>-625</v>
      </c>
      <c r="J102" s="20">
        <v>158</v>
      </c>
      <c r="K102" s="21">
        <f t="shared" si="48"/>
        <v>-1.2500000000000001E-2</v>
      </c>
      <c r="L102" s="22">
        <f>IF(ISNUMBER(J102), $B118 * K102, "")</f>
        <v>-1250</v>
      </c>
      <c r="M102" s="30">
        <v>161</v>
      </c>
      <c r="N102" s="21">
        <f t="shared" si="49"/>
        <v>6.2500000000000003E-3</v>
      </c>
      <c r="O102" s="22">
        <f>IF(ISNUMBER(M102), $B118 * N102, "")</f>
        <v>625</v>
      </c>
      <c r="Q102" s="235"/>
      <c r="R102" s="235"/>
      <c r="S102" s="235"/>
    </row>
    <row r="103" spans="1:19" ht="17.25" thickBot="1">
      <c r="A103" s="162" t="s">
        <v>216</v>
      </c>
      <c r="B103" s="129">
        <v>250</v>
      </c>
      <c r="C103" s="80">
        <v>6.3829787200000002E-2</v>
      </c>
      <c r="D103" s="106">
        <v>243</v>
      </c>
      <c r="E103" s="107">
        <f>IF(ISNUMBER(D103), (D103 - $B103) / $B103, "")</f>
        <v>-2.8000000000000001E-2</v>
      </c>
      <c r="F103" s="108">
        <f>IF(ISNUMBER(D103), $B118 * E103, "")</f>
        <v>-2800</v>
      </c>
      <c r="G103" s="109">
        <v>243</v>
      </c>
      <c r="H103" s="107">
        <f>IF(ISNUMBER(G103), (G103 - $B103) / $B103, "")</f>
        <v>-2.8000000000000001E-2</v>
      </c>
      <c r="I103" s="110">
        <f>IF(ISNUMBER(G103), $B118 * H103, "")</f>
        <v>-2800</v>
      </c>
      <c r="J103" s="106">
        <v>243</v>
      </c>
      <c r="K103" s="107">
        <f>IF(ISNUMBER(J103), (J103 - $B103) / $B103, "")</f>
        <v>-2.8000000000000001E-2</v>
      </c>
      <c r="L103" s="108">
        <f>IF(ISNUMBER(J103), $B118 * K103, "")</f>
        <v>-2800</v>
      </c>
      <c r="M103" s="109">
        <v>248</v>
      </c>
      <c r="N103" s="107">
        <f>IF(ISNUMBER(M103), (M103 - $B103) / $B103, "")</f>
        <v>-8.0000000000000002E-3</v>
      </c>
      <c r="O103" s="108">
        <f>IF(ISNUMBER(M103), $B118 * N103, "")</f>
        <v>-800</v>
      </c>
      <c r="Q103" s="235"/>
      <c r="R103" s="235"/>
      <c r="S103" s="235"/>
    </row>
    <row r="104" spans="1:19" ht="17.25" thickBot="1">
      <c r="A104" s="162" t="s">
        <v>170</v>
      </c>
      <c r="B104" s="126">
        <v>256</v>
      </c>
      <c r="C104" s="77">
        <v>5.7851239700000001E-2</v>
      </c>
      <c r="D104" s="15">
        <v>238</v>
      </c>
      <c r="E104" s="32">
        <f t="shared" ref="E104:E107" si="50">IF(ISNUMBER(D104), (D104 - $B104) / $B104, "")</f>
        <v>-7.03125E-2</v>
      </c>
      <c r="F104" s="18">
        <f>IF(ISNUMBER(D104), $B118 * E104, "")</f>
        <v>-7031.25</v>
      </c>
      <c r="G104" s="31">
        <v>242</v>
      </c>
      <c r="H104" s="32">
        <f t="shared" ref="H104:H107" si="51">IF(ISNUMBER(G104), (G104 - $B104) / $B104, "")</f>
        <v>-5.46875E-2</v>
      </c>
      <c r="I104" s="101">
        <f>IF(ISNUMBER(G104), $B118 * H104, "")</f>
        <v>-5468.75</v>
      </c>
      <c r="J104" s="15">
        <v>242</v>
      </c>
      <c r="K104" s="32">
        <f t="shared" ref="K104:K107" si="52">IF(ISNUMBER(J104), (J104 - $B104) / $B104, "")</f>
        <v>-5.46875E-2</v>
      </c>
      <c r="L104" s="18">
        <f>IF(ISNUMBER(J104), $B118 * K104, "")</f>
        <v>-5468.75</v>
      </c>
      <c r="M104" s="31">
        <v>247</v>
      </c>
      <c r="N104" s="32">
        <f t="shared" ref="N104:N107" si="53">IF(ISNUMBER(M104), (M104 - $B104) / $B104, "")</f>
        <v>-3.515625E-2</v>
      </c>
      <c r="O104" s="18">
        <f>IF(ISNUMBER(M104), $B118 * N104, "")</f>
        <v>-3515.625</v>
      </c>
      <c r="Q104" s="235"/>
      <c r="R104" s="235"/>
      <c r="S104" s="235"/>
    </row>
    <row r="105" spans="1:19" ht="17.25" thickBot="1">
      <c r="A105" s="162" t="s">
        <v>192</v>
      </c>
      <c r="B105" s="126">
        <v>957</v>
      </c>
      <c r="C105" s="77">
        <v>4.7045951900000001E-2</v>
      </c>
      <c r="D105" s="15">
        <v>1015</v>
      </c>
      <c r="E105" s="32">
        <f t="shared" si="50"/>
        <v>6.0606060606060608E-2</v>
      </c>
      <c r="F105" s="18">
        <f>IF(ISNUMBER(D105), $B118 * E105, "")</f>
        <v>6060.606060606061</v>
      </c>
      <c r="G105" s="31">
        <v>991</v>
      </c>
      <c r="H105" s="32">
        <f t="shared" si="51"/>
        <v>3.5527690700104496E-2</v>
      </c>
      <c r="I105" s="101">
        <f>IF(ISNUMBER(G105), $B118 * H105, "")</f>
        <v>3552.7690700104495</v>
      </c>
      <c r="J105" s="15">
        <v>980</v>
      </c>
      <c r="K105" s="32">
        <f t="shared" si="52"/>
        <v>2.4033437826541274E-2</v>
      </c>
      <c r="L105" s="18">
        <f>IF(ISNUMBER(J105), $B118 * K105, "")</f>
        <v>2403.3437826541276</v>
      </c>
      <c r="M105" s="31">
        <v>999</v>
      </c>
      <c r="N105" s="32">
        <f t="shared" si="53"/>
        <v>4.3887147335423198E-2</v>
      </c>
      <c r="O105" s="18">
        <f>IF(ISNUMBER(M105), $B118 * N105, "")</f>
        <v>4388.7147335423197</v>
      </c>
      <c r="Q105" s="235"/>
      <c r="R105" s="235"/>
      <c r="S105" s="235"/>
    </row>
    <row r="106" spans="1:19" ht="17.25" thickBot="1">
      <c r="A106" s="162" t="s">
        <v>114</v>
      </c>
      <c r="B106" s="126">
        <v>9475</v>
      </c>
      <c r="C106" s="77">
        <v>3.7219485500000003E-2</v>
      </c>
      <c r="D106" s="15">
        <v>10020</v>
      </c>
      <c r="E106" s="32">
        <f t="shared" si="50"/>
        <v>5.7519788918205805E-2</v>
      </c>
      <c r="F106" s="18">
        <f>IF(ISNUMBER(D106), $B118 * E106, "")</f>
        <v>5751.9788918205804</v>
      </c>
      <c r="G106" s="31">
        <v>10420</v>
      </c>
      <c r="H106" s="32">
        <f t="shared" si="51"/>
        <v>9.9736147757255936E-2</v>
      </c>
      <c r="I106" s="101">
        <f>IF(ISNUMBER(G106), $B118 * H106, "")</f>
        <v>9973.6147757255931</v>
      </c>
      <c r="J106" s="15">
        <v>10510</v>
      </c>
      <c r="K106" s="32">
        <f t="shared" si="52"/>
        <v>0.10923482849604221</v>
      </c>
      <c r="L106" s="18">
        <f>IF(ISNUMBER(J106), $B118 * K106, "")</f>
        <v>10923.482849604221</v>
      </c>
      <c r="M106" s="31">
        <v>10570</v>
      </c>
      <c r="N106" s="32">
        <f t="shared" si="53"/>
        <v>0.11556728232189974</v>
      </c>
      <c r="O106" s="18">
        <f>IF(ISNUMBER(M106), $B118 * N106, "")</f>
        <v>11556.728232189973</v>
      </c>
      <c r="Q106" s="33"/>
      <c r="R106" s="33"/>
    </row>
    <row r="107" spans="1:19" ht="17.25" thickBot="1">
      <c r="A107" s="130" t="s">
        <v>186</v>
      </c>
      <c r="B107" s="131">
        <v>14</v>
      </c>
      <c r="C107" s="79">
        <v>3.7037037000000002E-2</v>
      </c>
      <c r="D107" s="24">
        <v>14.6</v>
      </c>
      <c r="E107" s="25">
        <f t="shared" si="50"/>
        <v>4.285714285714283E-2</v>
      </c>
      <c r="F107" s="104">
        <f>IF(ISNUMBER(D107), $B118 * E107, "")</f>
        <v>4285.7142857142826</v>
      </c>
      <c r="G107" s="102">
        <v>14.6</v>
      </c>
      <c r="H107" s="25">
        <f t="shared" si="51"/>
        <v>4.285714285714283E-2</v>
      </c>
      <c r="I107" s="103">
        <f>IF(ISNUMBER(G107), $B118 * H107, "")</f>
        <v>4285.7142857142826</v>
      </c>
      <c r="J107" s="24">
        <v>14.5</v>
      </c>
      <c r="K107" s="25">
        <f t="shared" si="52"/>
        <v>3.5714285714285712E-2</v>
      </c>
      <c r="L107" s="104">
        <f>IF(ISNUMBER(J107), $B118 * K107, "")</f>
        <v>3571.4285714285711</v>
      </c>
      <c r="M107" s="102">
        <v>14.9</v>
      </c>
      <c r="N107" s="25">
        <f t="shared" si="53"/>
        <v>6.4285714285714307E-2</v>
      </c>
      <c r="O107" s="104">
        <f>IF(ISNUMBER(M107), $B118 * N107, "")</f>
        <v>6428.5714285714303</v>
      </c>
      <c r="Q107" s="236"/>
      <c r="R107" s="237"/>
      <c r="S107" s="238"/>
    </row>
    <row r="108" spans="1:19">
      <c r="A108" s="161" t="s">
        <v>248</v>
      </c>
      <c r="B108" s="124">
        <v>1250</v>
      </c>
      <c r="C108" s="76">
        <v>3.3057851200000002E-2</v>
      </c>
      <c r="D108" s="13">
        <v>1450</v>
      </c>
      <c r="E108" s="14">
        <f>IF(ISNUMBER(D108), (D108 - $B108) / $B108, "")</f>
        <v>0.16</v>
      </c>
      <c r="F108" s="16">
        <f>IF(ISNUMBER(D108), $B118 * E108, "")</f>
        <v>16000</v>
      </c>
      <c r="G108" s="29">
        <v>1590</v>
      </c>
      <c r="H108" s="14">
        <f>IF(ISNUMBER(G108), (G108 - $B108) / $B108, "")</f>
        <v>0.27200000000000002</v>
      </c>
      <c r="I108" s="100">
        <f>IF(ISNUMBER(G108), $B118 * H108, "")</f>
        <v>27200.000000000004</v>
      </c>
      <c r="J108" s="13">
        <v>1395</v>
      </c>
      <c r="K108" s="14">
        <f>IF(ISNUMBER(J108), (J108 - $B108) / $B108, "")</f>
        <v>0.11600000000000001</v>
      </c>
      <c r="L108" s="16">
        <f>IF(ISNUMBER(J108), $B118 * K108, "")</f>
        <v>11600</v>
      </c>
      <c r="M108" s="29">
        <v>1310</v>
      </c>
      <c r="N108" s="14">
        <f>IF(ISNUMBER(M108), (M108 - $B108) / $B108, "")</f>
        <v>4.8000000000000001E-2</v>
      </c>
      <c r="O108" s="16">
        <f>IF(ISNUMBER(M108), $B118 * N108, "")</f>
        <v>4800</v>
      </c>
      <c r="Q108" s="239"/>
      <c r="R108" s="240"/>
      <c r="S108" s="241"/>
    </row>
    <row r="109" spans="1:19" ht="17.25" thickBot="1">
      <c r="A109" s="162" t="s">
        <v>146</v>
      </c>
      <c r="B109" s="126">
        <v>9075</v>
      </c>
      <c r="C109" s="77">
        <v>3.0079455200000001E-2</v>
      </c>
      <c r="D109" s="15">
        <v>9090</v>
      </c>
      <c r="E109" s="32">
        <f t="shared" ref="E109:E112" si="54">IF(ISNUMBER(D109), (D109 - $B109) / $B109, "")</f>
        <v>1.652892561983471E-3</v>
      </c>
      <c r="F109" s="18">
        <f>IF(ISNUMBER(D109), $B118 * E109, "")</f>
        <v>165.28925619834709</v>
      </c>
      <c r="G109" s="31">
        <v>9095</v>
      </c>
      <c r="H109" s="32">
        <f t="shared" ref="H109:H112" si="55">IF(ISNUMBER(G109), (G109 - $B109) / $B109, "")</f>
        <v>2.2038567493112946E-3</v>
      </c>
      <c r="I109" s="101">
        <f>IF(ISNUMBER(G109), $B118 * H109, "")</f>
        <v>220.38567493112944</v>
      </c>
      <c r="J109" s="15">
        <v>9070</v>
      </c>
      <c r="K109" s="32">
        <f t="shared" ref="K109:K112" si="56">IF(ISNUMBER(J109), (J109 - $B109) / $B109, "")</f>
        <v>-5.5096418732782364E-4</v>
      </c>
      <c r="L109" s="18">
        <f>IF(ISNUMBER(J109), $B118 * K109, "")</f>
        <v>-55.096418732782361</v>
      </c>
      <c r="M109" s="31">
        <v>9320</v>
      </c>
      <c r="N109" s="32">
        <f t="shared" ref="N109:N112" si="57">IF(ISNUMBER(M109), (M109 - $B109) / $B109, "")</f>
        <v>2.6997245179063361E-2</v>
      </c>
      <c r="O109" s="18">
        <f>IF(ISNUMBER(M109), $B118 * N109, "")</f>
        <v>2699.7245179063361</v>
      </c>
      <c r="Q109" s="242"/>
      <c r="R109" s="243"/>
      <c r="S109" s="244"/>
    </row>
    <row r="110" spans="1:19" ht="17.25" thickBot="1">
      <c r="A110" s="162" t="s">
        <v>270</v>
      </c>
      <c r="B110" s="126">
        <v>309</v>
      </c>
      <c r="C110" s="77">
        <v>2.3178807900000001E-2</v>
      </c>
      <c r="D110" s="15">
        <v>317</v>
      </c>
      <c r="E110" s="32">
        <f t="shared" si="54"/>
        <v>2.5889967637540454E-2</v>
      </c>
      <c r="F110" s="18">
        <f>IF(ISNUMBER(D110), $B118 * E110, "")</f>
        <v>2588.9967637540453</v>
      </c>
      <c r="G110" s="31">
        <v>324</v>
      </c>
      <c r="H110" s="32">
        <f t="shared" si="55"/>
        <v>4.8543689320388349E-2</v>
      </c>
      <c r="I110" s="101">
        <f>IF(ISNUMBER(G110), $B118 * H110, "")</f>
        <v>4854.3689320388348</v>
      </c>
      <c r="J110" s="15">
        <v>329</v>
      </c>
      <c r="K110" s="32">
        <f t="shared" si="56"/>
        <v>6.4724919093851127E-2</v>
      </c>
      <c r="L110" s="18">
        <f>IF(ISNUMBER(J110), $B118 * K110, "")</f>
        <v>6472.4919093851131</v>
      </c>
      <c r="M110" s="31">
        <v>338</v>
      </c>
      <c r="N110" s="32">
        <f t="shared" si="57"/>
        <v>9.3851132686084138E-2</v>
      </c>
      <c r="O110" s="18">
        <f>IF(ISNUMBER(M110), $B118 * N110, "")</f>
        <v>9385.1132686084129</v>
      </c>
      <c r="Q110" s="235"/>
      <c r="R110" s="235"/>
      <c r="S110" s="235"/>
    </row>
    <row r="111" spans="1:19" ht="17.25" thickBot="1">
      <c r="A111" s="162" t="s">
        <v>276</v>
      </c>
      <c r="B111" s="126">
        <v>2430</v>
      </c>
      <c r="C111" s="77">
        <v>2.10084034E-2</v>
      </c>
      <c r="D111" s="15">
        <v>2445</v>
      </c>
      <c r="E111" s="32">
        <f t="shared" si="54"/>
        <v>6.1728395061728392E-3</v>
      </c>
      <c r="F111" s="18">
        <f>IF(ISNUMBER(D111), $B118 * E111, "")</f>
        <v>617.28395061728395</v>
      </c>
      <c r="G111" s="31">
        <v>2450</v>
      </c>
      <c r="H111" s="32">
        <f t="shared" si="55"/>
        <v>8.23045267489712E-3</v>
      </c>
      <c r="I111" s="101">
        <f>IF(ISNUMBER(G111), $B118 * H111, "")</f>
        <v>823.04526748971205</v>
      </c>
      <c r="J111" s="15">
        <v>2460</v>
      </c>
      <c r="K111" s="32">
        <f t="shared" si="56"/>
        <v>1.2345679012345678E-2</v>
      </c>
      <c r="L111" s="18">
        <f>IF(ISNUMBER(J111), $B118 * K111, "")</f>
        <v>1234.5679012345679</v>
      </c>
      <c r="M111" s="31">
        <v>2530</v>
      </c>
      <c r="N111" s="32">
        <f t="shared" si="57"/>
        <v>4.1152263374485597E-2</v>
      </c>
      <c r="O111" s="18">
        <f>IF(ISNUMBER(M111), $B118 * N111, "")</f>
        <v>4115.2263374485601</v>
      </c>
      <c r="Q111" s="245"/>
      <c r="R111" s="245"/>
      <c r="S111" s="245"/>
    </row>
    <row r="112" spans="1:19" ht="17.25" thickBot="1">
      <c r="A112" s="163" t="s">
        <v>272</v>
      </c>
      <c r="B112" s="128">
        <v>1235</v>
      </c>
      <c r="C112" s="78">
        <v>2.0661156999999999E-2</v>
      </c>
      <c r="D112" s="20">
        <v>1225</v>
      </c>
      <c r="E112" s="21">
        <f t="shared" si="54"/>
        <v>-8.0971659919028341E-3</v>
      </c>
      <c r="F112" s="22">
        <f>IF(ISNUMBER(D112), $B118 * E112, "")</f>
        <v>-809.71659919028343</v>
      </c>
      <c r="G112" s="30">
        <v>1230</v>
      </c>
      <c r="H112" s="21">
        <f t="shared" si="55"/>
        <v>-4.048582995951417E-3</v>
      </c>
      <c r="I112" s="105">
        <f>IF(ISNUMBER(G112), $B118 * H112, "")</f>
        <v>-404.85829959514172</v>
      </c>
      <c r="J112" s="20">
        <v>1230</v>
      </c>
      <c r="K112" s="21">
        <f t="shared" si="56"/>
        <v>-4.048582995951417E-3</v>
      </c>
      <c r="L112" s="22">
        <f>IF(ISNUMBER(J112), $B118 * K112, "")</f>
        <v>-404.85829959514172</v>
      </c>
      <c r="M112" s="30">
        <v>1255</v>
      </c>
      <c r="N112" s="21">
        <f t="shared" si="57"/>
        <v>1.6194331983805668E-2</v>
      </c>
      <c r="O112" s="22">
        <f>IF(ISNUMBER(M112), $B118 * N112, "")</f>
        <v>1619.4331983805669</v>
      </c>
      <c r="Q112" s="245"/>
      <c r="R112" s="245"/>
      <c r="S112" s="245"/>
    </row>
    <row r="113" spans="1:19" ht="17.25" thickBot="1">
      <c r="A113" s="162" t="s">
        <v>108</v>
      </c>
      <c r="B113" s="129">
        <v>28780</v>
      </c>
      <c r="C113" s="80">
        <v>1.4809591E-2</v>
      </c>
      <c r="D113" s="106">
        <v>29200</v>
      </c>
      <c r="E113" s="107">
        <f>IF(ISNUMBER(D113), (D113 - $B113) / $B113, "")</f>
        <v>1.4593467685892982E-2</v>
      </c>
      <c r="F113" s="108">
        <f>IF(ISNUMBER(D113), $B118 * E113, "")</f>
        <v>1459.3467685892981</v>
      </c>
      <c r="G113" s="109">
        <v>29260</v>
      </c>
      <c r="H113" s="107">
        <f>IF(ISNUMBER(G113), (G113 - $B113) / $B113, "")</f>
        <v>1.6678248783877692E-2</v>
      </c>
      <c r="I113" s="110">
        <f>IF(ISNUMBER(G113), $B118 * H113, "")</f>
        <v>1667.8248783877691</v>
      </c>
      <c r="J113" s="106">
        <v>29260</v>
      </c>
      <c r="K113" s="107">
        <f>IF(ISNUMBER(J113), (J113 - $B113) / $B113, "")</f>
        <v>1.6678248783877692E-2</v>
      </c>
      <c r="L113" s="108">
        <f>IF(ISNUMBER(J113), $B118 * K113, "")</f>
        <v>1667.8248783877691</v>
      </c>
      <c r="M113" s="109">
        <v>30270</v>
      </c>
      <c r="N113" s="107">
        <f>IF(ISNUMBER(M113), (M113 - $B113) / $B113, "")</f>
        <v>5.1772063933287003E-2</v>
      </c>
      <c r="O113" s="108">
        <f>IF(ISNUMBER(M113), $B118 * N113, "")</f>
        <v>5177.2063933287</v>
      </c>
      <c r="Q113" s="235"/>
      <c r="R113" s="235"/>
      <c r="S113" s="235"/>
    </row>
    <row r="114" spans="1:19" ht="17.25" thickBot="1">
      <c r="A114" s="162" t="s">
        <v>150</v>
      </c>
      <c r="B114" s="126">
        <v>1995</v>
      </c>
      <c r="C114" s="77">
        <v>1.2690355299999999E-2</v>
      </c>
      <c r="D114" s="15">
        <v>2205</v>
      </c>
      <c r="E114" s="32">
        <f t="shared" ref="E114:E117" si="58">IF(ISNUMBER(D114), (D114 - $B114) / $B114, "")</f>
        <v>0.10526315789473684</v>
      </c>
      <c r="F114" s="18">
        <f>IF(ISNUMBER(D114), $B118 * E114, "")</f>
        <v>10526.315789473683</v>
      </c>
      <c r="G114" s="31">
        <v>2250</v>
      </c>
      <c r="H114" s="32">
        <f t="shared" ref="H114:H117" si="59">IF(ISNUMBER(G114), (G114 - $B114) / $B114, "")</f>
        <v>0.12781954887218044</v>
      </c>
      <c r="I114" s="101">
        <f>IF(ISNUMBER(G114), $B118 * H114, "")</f>
        <v>12781.954887218044</v>
      </c>
      <c r="J114" s="15">
        <v>2230</v>
      </c>
      <c r="K114" s="32">
        <f t="shared" ref="K114:K117" si="60">IF(ISNUMBER(J114), (J114 - $B114) / $B114, "")</f>
        <v>0.11779448621553884</v>
      </c>
      <c r="L114" s="18">
        <f>IF(ISNUMBER(J114), $B118 * K114, "")</f>
        <v>11779.448621553884</v>
      </c>
      <c r="M114" s="31">
        <v>2340</v>
      </c>
      <c r="N114" s="32">
        <f t="shared" ref="N114:N117" si="61">IF(ISNUMBER(M114), (M114 - $B114) / $B114, "")</f>
        <v>0.17293233082706766</v>
      </c>
      <c r="O114" s="18">
        <f>IF(ISNUMBER(M114), $B118 * N114, "")</f>
        <v>17293.233082706767</v>
      </c>
      <c r="Q114" s="235"/>
      <c r="R114" s="235"/>
      <c r="S114" s="235"/>
    </row>
    <row r="115" spans="1:19" ht="17.25" thickBot="1">
      <c r="A115" s="162" t="s">
        <v>49</v>
      </c>
      <c r="B115" s="126">
        <v>41806000</v>
      </c>
      <c r="C115" s="77">
        <v>9.0755491000000001E-3</v>
      </c>
      <c r="D115" s="15">
        <v>44999000</v>
      </c>
      <c r="E115" s="32">
        <f t="shared" si="58"/>
        <v>7.6376596660766391E-2</v>
      </c>
      <c r="F115" s="18">
        <f>IF(ISNUMBER(D115), $B118 * E115, "")</f>
        <v>7637.659666076639</v>
      </c>
      <c r="G115" s="31">
        <v>45375000</v>
      </c>
      <c r="H115" s="32">
        <f t="shared" si="59"/>
        <v>8.537052097785007E-2</v>
      </c>
      <c r="I115" s="101">
        <f>IF(ISNUMBER(G115), $B118 * H115, "")</f>
        <v>8537.0520977850065</v>
      </c>
      <c r="J115" s="15">
        <v>45147000</v>
      </c>
      <c r="K115" s="32">
        <f t="shared" si="60"/>
        <v>7.9916758360044013E-2</v>
      </c>
      <c r="L115" s="18">
        <f>IF(ISNUMBER(J115), $B118 * K115, "")</f>
        <v>7991.6758360044014</v>
      </c>
      <c r="M115" s="31">
        <v>46809000</v>
      </c>
      <c r="N115" s="32">
        <f t="shared" si="61"/>
        <v>0.11967181744247238</v>
      </c>
      <c r="O115" s="18">
        <f>IF(ISNUMBER(M115), $B118 * N115, "")</f>
        <v>11967.181744247238</v>
      </c>
      <c r="Q115" s="235"/>
      <c r="R115" s="235"/>
      <c r="S115" s="235"/>
    </row>
    <row r="116" spans="1:19">
      <c r="A116" s="162" t="s">
        <v>120</v>
      </c>
      <c r="B116" s="126">
        <v>131</v>
      </c>
      <c r="C116" s="77">
        <v>7.6923076999999996E-3</v>
      </c>
      <c r="D116" s="15">
        <v>136</v>
      </c>
      <c r="E116" s="32">
        <f t="shared" si="58"/>
        <v>3.8167938931297711E-2</v>
      </c>
      <c r="F116" s="18">
        <f>IF(ISNUMBER(D116), $B118 * E116, "")</f>
        <v>3816.7938931297713</v>
      </c>
      <c r="G116" s="31">
        <v>137</v>
      </c>
      <c r="H116" s="32">
        <f t="shared" si="59"/>
        <v>4.5801526717557252E-2</v>
      </c>
      <c r="I116" s="101">
        <f>IF(ISNUMBER(G116), $B118 * H116, "")</f>
        <v>4580.1526717557254</v>
      </c>
      <c r="J116" s="15">
        <v>136</v>
      </c>
      <c r="K116" s="32">
        <f t="shared" si="60"/>
        <v>3.8167938931297711E-2</v>
      </c>
      <c r="L116" s="18">
        <f>IF(ISNUMBER(J116), $B118 * K116, "")</f>
        <v>3816.7938931297713</v>
      </c>
      <c r="M116" s="31">
        <v>139</v>
      </c>
      <c r="N116" s="32">
        <f t="shared" si="61"/>
        <v>6.1068702290076333E-2</v>
      </c>
      <c r="O116" s="18">
        <f>IF(ISNUMBER(M116), $B118 * N116, "")</f>
        <v>6106.8702290076335</v>
      </c>
      <c r="Q116" s="224"/>
      <c r="R116" s="225"/>
      <c r="S116" s="226"/>
    </row>
    <row r="117" spans="1:19" ht="17.25" thickBot="1">
      <c r="A117" s="130" t="s">
        <v>90</v>
      </c>
      <c r="B117" s="131">
        <v>187900</v>
      </c>
      <c r="C117" s="79">
        <v>1.0655300999999999E-3</v>
      </c>
      <c r="D117" s="24">
        <v>194200</v>
      </c>
      <c r="E117" s="25">
        <f t="shared" si="58"/>
        <v>3.3528472591804151E-2</v>
      </c>
      <c r="F117" s="104">
        <f>IF(ISNUMBER(D117), $B118 * E117, "")</f>
        <v>3352.8472591804152</v>
      </c>
      <c r="G117" s="102">
        <v>197250</v>
      </c>
      <c r="H117" s="25">
        <f t="shared" si="59"/>
        <v>4.9760510910058543E-2</v>
      </c>
      <c r="I117" s="103">
        <f>IF(ISNUMBER(G117), $B118 * H117, "")</f>
        <v>4976.0510910058547</v>
      </c>
      <c r="J117" s="24">
        <v>194850</v>
      </c>
      <c r="K117" s="25">
        <f t="shared" si="60"/>
        <v>3.6987759446514105E-2</v>
      </c>
      <c r="L117" s="104">
        <f>IF(ISNUMBER(J117), $B118 * K117, "")</f>
        <v>3698.7759446514106</v>
      </c>
      <c r="M117" s="102">
        <v>199750</v>
      </c>
      <c r="N117" s="25">
        <f t="shared" si="61"/>
        <v>6.3065460351250671E-2</v>
      </c>
      <c r="O117" s="104">
        <f>IF(ISNUMBER(M117), $B118 * N117, "")</f>
        <v>6306.5460351250667</v>
      </c>
      <c r="Q117" s="227"/>
      <c r="R117" s="228"/>
      <c r="S117" s="229"/>
    </row>
    <row r="118" spans="1:19" ht="17.25" thickBot="1">
      <c r="A118" s="132" t="s">
        <v>300</v>
      </c>
      <c r="B118" s="288">
        <f>$B$37</f>
        <v>100000</v>
      </c>
      <c r="C118" s="289"/>
      <c r="D118" s="26" t="s">
        <v>301</v>
      </c>
      <c r="E118" s="27">
        <f>IF(COUNT(E98:E117), SUM(E98:E117) / COUNT(E98:E117), 0)</f>
        <v>3.0994109696845889E-2</v>
      </c>
      <c r="F118" s="28">
        <f>SUM(F98:F117)</f>
        <v>61988.21939369179</v>
      </c>
      <c r="G118" s="26" t="s">
        <v>301</v>
      </c>
      <c r="H118" s="27">
        <f>IF(COUNT(H98:H117), SUM(H98:H117) / COUNT(H98:H117), 0)</f>
        <v>4.312718470835588E-2</v>
      </c>
      <c r="I118" s="28">
        <f>SUM(I98:I117)</f>
        <v>86254.369416711794</v>
      </c>
      <c r="J118" s="26" t="s">
        <v>301</v>
      </c>
      <c r="K118" s="27">
        <f>IF(COUNT(K98:K117), SUM(K98:K117) / COUNT(K98:K117), 0)</f>
        <v>3.2745957279477336E-2</v>
      </c>
      <c r="L118" s="28">
        <f>SUM(L98:L117)</f>
        <v>65491.914558954682</v>
      </c>
      <c r="M118" s="26" t="s">
        <v>301</v>
      </c>
      <c r="N118" s="27">
        <f>IF(COUNT(N98:N117), SUM(N98:N117) / COUNT(N98:N117), 0)</f>
        <v>5.7157463605297346E-2</v>
      </c>
      <c r="O118" s="28">
        <f>SUM(O98:O117)</f>
        <v>114314.92721059466</v>
      </c>
      <c r="Q118" s="230"/>
      <c r="R118" s="231"/>
      <c r="S118" s="232"/>
    </row>
    <row r="120" spans="1:19" ht="17.25" thickBot="1"/>
    <row r="121" spans="1:19" ht="17.25" thickBot="1">
      <c r="A121" s="246" t="s">
        <v>288</v>
      </c>
      <c r="B121" s="247"/>
      <c r="C121" s="247"/>
      <c r="D121" s="247"/>
      <c r="E121" s="247"/>
      <c r="F121" s="247"/>
      <c r="G121" s="247"/>
      <c r="H121" s="247"/>
      <c r="I121" s="247"/>
      <c r="J121" s="247"/>
      <c r="K121" s="247"/>
      <c r="L121" s="247"/>
      <c r="M121" s="247"/>
      <c r="N121" s="247"/>
      <c r="O121" s="248"/>
      <c r="Q121" s="245"/>
      <c r="R121" s="245"/>
      <c r="S121" s="245"/>
    </row>
    <row r="122" spans="1:19" ht="17.25" thickBot="1">
      <c r="A122" s="212" t="s">
        <v>297</v>
      </c>
      <c r="B122" s="246" t="s">
        <v>49</v>
      </c>
      <c r="C122" s="248"/>
      <c r="D122" s="246" t="s">
        <v>58</v>
      </c>
      <c r="E122" s="247"/>
      <c r="F122" s="248"/>
      <c r="G122" s="249">
        <f>_xlfn.IFNA(VLOOKUP(B122, 현재가테이블!$B$2:$D$200, 2, FALSE), "-")</f>
        <v>45335000</v>
      </c>
      <c r="H122" s="250"/>
      <c r="I122" s="251"/>
      <c r="J122" s="246" t="s">
        <v>59</v>
      </c>
      <c r="K122" s="247"/>
      <c r="L122" s="248"/>
      <c r="M122" s="252">
        <f>_xlfn.IFNA(VLOOKUP(B122, 현재가테이블!$B$2:$D$200, 3, FALSE), "-")</f>
        <v>-2.27209037E-2</v>
      </c>
      <c r="N122" s="253"/>
      <c r="O122" s="254"/>
      <c r="Q122" s="245"/>
      <c r="R122" s="245"/>
      <c r="S122" s="245"/>
    </row>
    <row r="123" spans="1:19" ht="17.25" thickBot="1">
      <c r="A123" s="290" t="s">
        <v>55</v>
      </c>
      <c r="B123" s="286" t="str">
        <f>TEXT($G$1, "[$-ko-KR]yyyy-mm-dd(ddd) ") &amp; "오전 00:00"</f>
        <v>2021-06-14(월) 오전 00:00</v>
      </c>
      <c r="C123" s="287"/>
      <c r="D123" s="259" t="str">
        <f>TEXT($G$1, "[$-ko-KR]yyyy-mm-dd(ddd) ") &amp; "오후 14:00"</f>
        <v>2021-06-14(월) 오후 14:00</v>
      </c>
      <c r="E123" s="260"/>
      <c r="F123" s="261"/>
      <c r="G123" s="259" t="str">
        <f>TEXT($G$1, "[$-ko-KR]yyyy-mm-dd(ddd) ") &amp; "오후 19:00"</f>
        <v>2021-06-14(월) 오후 19:00</v>
      </c>
      <c r="H123" s="260"/>
      <c r="I123" s="261"/>
      <c r="J123" s="259" t="str">
        <f>TEXT($G$1, "[$-ko-KR]yyyy-mm-dd(ddd) ") &amp; "오후 21:00"</f>
        <v>2021-06-14(월) 오후 21:00</v>
      </c>
      <c r="K123" s="260"/>
      <c r="L123" s="261"/>
      <c r="M123" s="259" t="str">
        <f>TEXT($G$1+1, "[$-ko-KR]yyyy-mm-dd(ddd) ") &amp; "오전 00:00"</f>
        <v>2021-06-15(화) 오전 00:00</v>
      </c>
      <c r="N123" s="260"/>
      <c r="O123" s="261"/>
      <c r="Q123" s="245"/>
      <c r="R123" s="245"/>
      <c r="S123" s="245"/>
    </row>
    <row r="124" spans="1:19" ht="17.25" thickBot="1">
      <c r="A124" s="291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213" t="s">
        <v>58</v>
      </c>
      <c r="H124" s="214" t="s">
        <v>298</v>
      </c>
      <c r="I124" s="215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5"/>
      <c r="R124" s="235"/>
      <c r="S124" s="235"/>
    </row>
    <row r="125" spans="1:19" ht="17.25" thickBot="1">
      <c r="A125" s="161" t="s">
        <v>250</v>
      </c>
      <c r="B125" s="124">
        <v>53</v>
      </c>
      <c r="C125" s="76">
        <v>-6.8541300499999999E-2</v>
      </c>
      <c r="D125" s="13">
        <v>63.1</v>
      </c>
      <c r="E125" s="14">
        <f>IF(ISNUMBER(D125), (D125 - $B125) / $B125, "")</f>
        <v>0.19056603773584907</v>
      </c>
      <c r="F125" s="16">
        <f>IF(ISNUMBER(D125), $B145 * E125, "")</f>
        <v>19056.603773584906</v>
      </c>
      <c r="G125" s="29">
        <v>71.7</v>
      </c>
      <c r="H125" s="14">
        <f>IF(ISNUMBER(G125), (G125 - $B125) / $B125, "")</f>
        <v>0.35283018867924532</v>
      </c>
      <c r="I125" s="100">
        <f>IF(ISNUMBER(G125), $B145 * H125, "")</f>
        <v>35283.018867924533</v>
      </c>
      <c r="J125" s="13">
        <v>62.6</v>
      </c>
      <c r="K125" s="14">
        <f>IF(ISNUMBER(J125), (J125 - $B125) / $B125, "")</f>
        <v>0.18113207547169813</v>
      </c>
      <c r="L125" s="16">
        <f>IF(ISNUMBER(J125), $B145 * K125, "")</f>
        <v>18113.207547169812</v>
      </c>
      <c r="M125" s="29">
        <v>58</v>
      </c>
      <c r="N125" s="14">
        <f>IF(ISNUMBER(M125), (M125 - $B125) / $B125, "")</f>
        <v>9.4339622641509441E-2</v>
      </c>
      <c r="O125" s="16">
        <f>IF(ISNUMBER(M125), $B145 * N125, "")</f>
        <v>9433.962264150945</v>
      </c>
      <c r="Q125" s="245"/>
      <c r="R125" s="245"/>
      <c r="S125" s="245"/>
    </row>
    <row r="126" spans="1:19" ht="17.25" thickBot="1">
      <c r="A126" s="162" t="s">
        <v>268</v>
      </c>
      <c r="B126" s="126">
        <v>26.8</v>
      </c>
      <c r="C126" s="77">
        <v>-7.5862069000000004E-2</v>
      </c>
      <c r="D126" s="15">
        <v>32.700000000000003</v>
      </c>
      <c r="E126" s="32">
        <f t="shared" ref="E126:E129" si="62">IF(ISNUMBER(D126), (D126 - $B126) / $B126, "")</f>
        <v>0.22014925373134336</v>
      </c>
      <c r="F126" s="18">
        <f>IF(ISNUMBER(D126), $B145 * E126, "")</f>
        <v>22014.925373134338</v>
      </c>
      <c r="G126" s="31">
        <v>37.200000000000003</v>
      </c>
      <c r="H126" s="32">
        <f t="shared" ref="H126:H129" si="63">IF(ISNUMBER(G126), (G126 - $B126) / $B126, "")</f>
        <v>0.38805970149253738</v>
      </c>
      <c r="I126" s="101">
        <f>IF(ISNUMBER(G126), $B145 * H126, "")</f>
        <v>38805.970149253735</v>
      </c>
      <c r="J126" s="15">
        <v>31.6</v>
      </c>
      <c r="K126" s="32">
        <f t="shared" ref="K126:K129" si="64">IF(ISNUMBER(J126), (J126 - $B126) / $B126, "")</f>
        <v>0.17910447761194032</v>
      </c>
      <c r="L126" s="18">
        <f>IF(ISNUMBER(J126), $B145 * K126, "")</f>
        <v>17910.447761194031</v>
      </c>
      <c r="M126" s="31">
        <v>28.5</v>
      </c>
      <c r="N126" s="32">
        <f t="shared" ref="N126:N129" si="65">IF(ISNUMBER(M126), (M126 - $B126) / $B126, "")</f>
        <v>6.3432835820895497E-2</v>
      </c>
      <c r="O126" s="18">
        <f>IF(ISNUMBER(M126), $B145 * N126, "")</f>
        <v>6343.2835820895498</v>
      </c>
      <c r="Q126" s="245"/>
      <c r="R126" s="245"/>
      <c r="S126" s="245"/>
    </row>
    <row r="127" spans="1:19" ht="17.25" thickBot="1">
      <c r="A127" s="162" t="s">
        <v>212</v>
      </c>
      <c r="B127" s="126">
        <v>50.7</v>
      </c>
      <c r="C127" s="77">
        <v>-7.6502732200000007E-2</v>
      </c>
      <c r="D127" s="15">
        <v>55.9</v>
      </c>
      <c r="E127" s="32">
        <f t="shared" si="62"/>
        <v>0.10256410256410248</v>
      </c>
      <c r="F127" s="18">
        <f>IF(ISNUMBER(D127), $B145 * E127, "")</f>
        <v>10256.410256410249</v>
      </c>
      <c r="G127" s="31">
        <v>56.5</v>
      </c>
      <c r="H127" s="32">
        <f t="shared" si="63"/>
        <v>0.11439842209072972</v>
      </c>
      <c r="I127" s="101">
        <f>IF(ISNUMBER(G127), $B145 * H127, "")</f>
        <v>11439.842209072971</v>
      </c>
      <c r="J127" s="15">
        <v>55.6</v>
      </c>
      <c r="K127" s="32">
        <f t="shared" si="64"/>
        <v>9.6646942800788921E-2</v>
      </c>
      <c r="L127" s="18">
        <f>IF(ISNUMBER(J127), $B145 * K127, "")</f>
        <v>9664.6942800788929</v>
      </c>
      <c r="M127" s="31">
        <v>56.5</v>
      </c>
      <c r="N127" s="32">
        <f t="shared" si="65"/>
        <v>0.11439842209072972</v>
      </c>
      <c r="O127" s="18">
        <f>IF(ISNUMBER(M127), $B145 * N127, "")</f>
        <v>11439.842209072971</v>
      </c>
      <c r="Q127" s="235"/>
      <c r="R127" s="235"/>
      <c r="S127" s="235"/>
    </row>
    <row r="128" spans="1:19" ht="17.25" thickBot="1">
      <c r="A128" s="162" t="s">
        <v>228</v>
      </c>
      <c r="B128" s="126">
        <v>7.17</v>
      </c>
      <c r="C128" s="77">
        <v>-7.84061697E-2</v>
      </c>
      <c r="D128" s="15">
        <v>7.69</v>
      </c>
      <c r="E128" s="32">
        <f t="shared" si="62"/>
        <v>7.252440725244079E-2</v>
      </c>
      <c r="F128" s="18">
        <f>IF(ISNUMBER(D128), $B145 * E128, "")</f>
        <v>7252.4407252440787</v>
      </c>
      <c r="G128" s="31">
        <v>7.84</v>
      </c>
      <c r="H128" s="32">
        <f t="shared" si="63"/>
        <v>9.3444909344490928E-2</v>
      </c>
      <c r="I128" s="101">
        <f>IF(ISNUMBER(G128), $B145 * H128, "")</f>
        <v>9344.4909344490934</v>
      </c>
      <c r="J128" s="15">
        <v>7.93</v>
      </c>
      <c r="K128" s="32">
        <f t="shared" si="64"/>
        <v>0.10599721059972103</v>
      </c>
      <c r="L128" s="18">
        <f>IF(ISNUMBER(J128), $B145 * K128, "")</f>
        <v>10599.721059972104</v>
      </c>
      <c r="M128" s="31">
        <v>8.17</v>
      </c>
      <c r="N128" s="32">
        <f t="shared" si="65"/>
        <v>0.1394700139470014</v>
      </c>
      <c r="O128" s="18">
        <f>IF(ISNUMBER(M128), $B145 * N128, "")</f>
        <v>13947.001394700139</v>
      </c>
      <c r="Q128" s="235"/>
      <c r="R128" s="235"/>
      <c r="S128" s="235"/>
    </row>
    <row r="129" spans="1:19" ht="17.25" thickBot="1">
      <c r="A129" s="163" t="s">
        <v>222</v>
      </c>
      <c r="B129" s="128">
        <v>7.51</v>
      </c>
      <c r="C129" s="78">
        <v>-8.4146341499999999E-2</v>
      </c>
      <c r="D129" s="20">
        <v>8.1999999999999993</v>
      </c>
      <c r="E129" s="21">
        <f t="shared" si="62"/>
        <v>9.1877496671105133E-2</v>
      </c>
      <c r="F129" s="22">
        <f>IF(ISNUMBER(D129), $B145 * E129, "")</f>
        <v>9187.7496671105127</v>
      </c>
      <c r="G129" s="30">
        <v>8.1199999999999992</v>
      </c>
      <c r="H129" s="21">
        <f t="shared" si="63"/>
        <v>8.1225033288947993E-2</v>
      </c>
      <c r="I129" s="105">
        <f>IF(ISNUMBER(G129), $B145 * H129, "")</f>
        <v>8122.5033288947989</v>
      </c>
      <c r="J129" s="20">
        <v>8.0399999999999991</v>
      </c>
      <c r="K129" s="21">
        <f t="shared" si="64"/>
        <v>7.0572569906790866E-2</v>
      </c>
      <c r="L129" s="22">
        <f>IF(ISNUMBER(J129), $B145 * K129, "")</f>
        <v>7057.2569906790868</v>
      </c>
      <c r="M129" s="30">
        <v>8.4</v>
      </c>
      <c r="N129" s="21">
        <f t="shared" si="65"/>
        <v>0.11850865512649808</v>
      </c>
      <c r="O129" s="22">
        <f>IF(ISNUMBER(M129), $B145 * N129, "")</f>
        <v>11850.865512649809</v>
      </c>
      <c r="Q129" s="235"/>
      <c r="R129" s="235"/>
      <c r="S129" s="235"/>
    </row>
    <row r="130" spans="1:19" ht="17.25" thickBot="1">
      <c r="A130" s="162" t="s">
        <v>232</v>
      </c>
      <c r="B130" s="129">
        <v>77.3</v>
      </c>
      <c r="C130" s="80">
        <v>-8.5207100600000002E-2</v>
      </c>
      <c r="D130" s="106">
        <v>100</v>
      </c>
      <c r="E130" s="107">
        <f>IF(ISNUMBER(D130), (D130 - $B130) / $B130, "")</f>
        <v>0.29366106080206988</v>
      </c>
      <c r="F130" s="108">
        <f>IF(ISNUMBER(D130), $B145 * E130, "")</f>
        <v>29366.106080206988</v>
      </c>
      <c r="G130" s="109">
        <v>98.7</v>
      </c>
      <c r="H130" s="107">
        <f>IF(ISNUMBER(G130), (G130 - $B130) / $B130, "")</f>
        <v>0.27684346701164303</v>
      </c>
      <c r="I130" s="110">
        <f>IF(ISNUMBER(G130), $B145 * H130, "")</f>
        <v>27684.346701164304</v>
      </c>
      <c r="J130" s="106">
        <v>100</v>
      </c>
      <c r="K130" s="107">
        <f>IF(ISNUMBER(J130), (J130 - $B130) / $B130, "")</f>
        <v>0.29366106080206988</v>
      </c>
      <c r="L130" s="108">
        <f>IF(ISNUMBER(J130), $B145 * K130, "")</f>
        <v>29366.106080206988</v>
      </c>
      <c r="M130" s="109">
        <v>94.3</v>
      </c>
      <c r="N130" s="107">
        <f>IF(ISNUMBER(M130), (M130 - $B130) / $B130, "")</f>
        <v>0.21992238033635189</v>
      </c>
      <c r="O130" s="108">
        <f>IF(ISNUMBER(M130), $B145 * N130, "")</f>
        <v>21992.238033635189</v>
      </c>
      <c r="Q130" s="235"/>
      <c r="R130" s="235"/>
      <c r="S130" s="235"/>
    </row>
    <row r="131" spans="1:19" ht="17.25" thickBot="1">
      <c r="A131" s="162" t="s">
        <v>218</v>
      </c>
      <c r="B131" s="126">
        <v>4.8499999999999996</v>
      </c>
      <c r="C131" s="77">
        <v>-8.6629001900000002E-2</v>
      </c>
      <c r="D131" s="15">
        <v>6.81</v>
      </c>
      <c r="E131" s="32">
        <f t="shared" ref="E131:E134" si="66">IF(ISNUMBER(D131), (D131 - $B131) / $B131, "")</f>
        <v>0.40412371134020619</v>
      </c>
      <c r="F131" s="18">
        <f>IF(ISNUMBER(D131), $B145 * E131, "")</f>
        <v>40412.371134020621</v>
      </c>
      <c r="G131" s="31">
        <v>7.42</v>
      </c>
      <c r="H131" s="32">
        <f t="shared" ref="H131:H134" si="67">IF(ISNUMBER(G131), (G131 - $B131) / $B131, "")</f>
        <v>0.52989690721649496</v>
      </c>
      <c r="I131" s="101">
        <f>IF(ISNUMBER(G131), $B145 * H131, "")</f>
        <v>52989.690721649495</v>
      </c>
      <c r="J131" s="15">
        <v>6.63</v>
      </c>
      <c r="K131" s="32">
        <f t="shared" ref="K131:K134" si="68">IF(ISNUMBER(J131), (J131 - $B131) / $B131, "")</f>
        <v>0.3670103092783506</v>
      </c>
      <c r="L131" s="18">
        <f>IF(ISNUMBER(J131), $B145 * K131, "")</f>
        <v>36701.030927835061</v>
      </c>
      <c r="M131" s="31">
        <v>5.8</v>
      </c>
      <c r="N131" s="32">
        <f t="shared" ref="N131:N134" si="69">IF(ISNUMBER(M131), (M131 - $B131) / $B131, "")</f>
        <v>0.19587628865979387</v>
      </c>
      <c r="O131" s="18">
        <f>IF(ISNUMBER(M131), $B145 * N131, "")</f>
        <v>19587.628865979386</v>
      </c>
      <c r="Q131" s="235"/>
      <c r="R131" s="235"/>
      <c r="S131" s="235"/>
    </row>
    <row r="132" spans="1:19" ht="17.25" thickBot="1">
      <c r="A132" s="162" t="s">
        <v>208</v>
      </c>
      <c r="B132" s="126">
        <v>84.9</v>
      </c>
      <c r="C132" s="77">
        <v>-8.7096774200000004E-2</v>
      </c>
      <c r="D132" s="15">
        <v>125</v>
      </c>
      <c r="E132" s="32">
        <f t="shared" si="66"/>
        <v>0.4723203769140164</v>
      </c>
      <c r="F132" s="18">
        <f>IF(ISNUMBER(D132), $B145 * E132, "")</f>
        <v>47232.037691401638</v>
      </c>
      <c r="G132" s="31">
        <v>131</v>
      </c>
      <c r="H132" s="32">
        <f t="shared" si="67"/>
        <v>0.54299175500588914</v>
      </c>
      <c r="I132" s="101">
        <f>IF(ISNUMBER(G132), $B145 * H132, "")</f>
        <v>54299.175500588914</v>
      </c>
      <c r="J132" s="15">
        <v>112</v>
      </c>
      <c r="K132" s="32">
        <f t="shared" si="68"/>
        <v>0.31919905771495871</v>
      </c>
      <c r="L132" s="18">
        <f>IF(ISNUMBER(J132), $B145 * K132, "")</f>
        <v>31919.905771495873</v>
      </c>
      <c r="M132" s="31">
        <v>97.8</v>
      </c>
      <c r="N132" s="32">
        <f t="shared" si="69"/>
        <v>0.15194346289752639</v>
      </c>
      <c r="O132" s="18">
        <f>IF(ISNUMBER(M132), $B145 * N132, "")</f>
        <v>15194.346289752639</v>
      </c>
      <c r="Q132" s="235"/>
      <c r="R132" s="235"/>
      <c r="S132" s="235"/>
    </row>
    <row r="133" spans="1:19" ht="17.25" thickBot="1">
      <c r="A133" s="162" t="s">
        <v>266</v>
      </c>
      <c r="B133" s="126">
        <v>50.5</v>
      </c>
      <c r="C133" s="77">
        <v>-9.0090090100000006E-2</v>
      </c>
      <c r="D133" s="15">
        <v>51.7</v>
      </c>
      <c r="E133" s="32">
        <f t="shared" si="66"/>
        <v>2.3762376237623818E-2</v>
      </c>
      <c r="F133" s="18">
        <f>IF(ISNUMBER(D133), $B145 * E133, "")</f>
        <v>2376.2376237623816</v>
      </c>
      <c r="G133" s="31">
        <v>52.2</v>
      </c>
      <c r="H133" s="32">
        <f t="shared" si="67"/>
        <v>3.3663366336633721E-2</v>
      </c>
      <c r="I133" s="101">
        <f>IF(ISNUMBER(G133), $B145 * H133, "")</f>
        <v>3366.3366336633721</v>
      </c>
      <c r="J133" s="15">
        <v>52.3</v>
      </c>
      <c r="K133" s="32">
        <f t="shared" si="68"/>
        <v>3.5643564356435585E-2</v>
      </c>
      <c r="L133" s="18">
        <f>IF(ISNUMBER(J133), $B145 * K133, "")</f>
        <v>3564.3564356435586</v>
      </c>
      <c r="M133" s="31">
        <v>54.2</v>
      </c>
      <c r="N133" s="32">
        <f t="shared" si="69"/>
        <v>7.3267326732673319E-2</v>
      </c>
      <c r="O133" s="18">
        <f>IF(ISNUMBER(M133), $B145 * N133, "")</f>
        <v>7326.7326732673318</v>
      </c>
      <c r="Q133" s="33"/>
      <c r="R133" s="33"/>
    </row>
    <row r="134" spans="1:19" ht="17.25" thickBot="1">
      <c r="A134" s="130" t="s">
        <v>230</v>
      </c>
      <c r="B134" s="131">
        <v>82.3</v>
      </c>
      <c r="C134" s="79">
        <v>-9.0607734800000006E-2</v>
      </c>
      <c r="D134" s="24">
        <v>90.4</v>
      </c>
      <c r="E134" s="25">
        <f t="shared" si="66"/>
        <v>9.8420413122721859E-2</v>
      </c>
      <c r="F134" s="104">
        <f>IF(ISNUMBER(D134), $B145 * E134, "")</f>
        <v>9842.0413122721857</v>
      </c>
      <c r="G134" s="102">
        <v>95.8</v>
      </c>
      <c r="H134" s="25">
        <f t="shared" si="67"/>
        <v>0.16403402187120292</v>
      </c>
      <c r="I134" s="103">
        <f>IF(ISNUMBER(G134), $B145 * H134, "")</f>
        <v>16403.402187120293</v>
      </c>
      <c r="J134" s="24">
        <v>91.7</v>
      </c>
      <c r="K134" s="25">
        <f t="shared" si="68"/>
        <v>0.11421628189550433</v>
      </c>
      <c r="L134" s="104">
        <f>IF(ISNUMBER(J134), $B145 * K134, "")</f>
        <v>11421.628189550433</v>
      </c>
      <c r="M134" s="102">
        <v>93.2</v>
      </c>
      <c r="N134" s="25">
        <f t="shared" si="69"/>
        <v>0.13244228432563798</v>
      </c>
      <c r="O134" s="104">
        <f>IF(ISNUMBER(M134), $B145 * N134, "")</f>
        <v>13244.228432563797</v>
      </c>
      <c r="Q134" s="236"/>
      <c r="R134" s="237"/>
      <c r="S134" s="238"/>
    </row>
    <row r="135" spans="1:19">
      <c r="A135" s="161" t="s">
        <v>202</v>
      </c>
      <c r="B135" s="124">
        <v>81</v>
      </c>
      <c r="C135" s="76">
        <v>-9.5982142899999998E-2</v>
      </c>
      <c r="D135" s="13">
        <v>89</v>
      </c>
      <c r="E135" s="14">
        <f>IF(ISNUMBER(D135), (D135 - $B135) / $B135, "")</f>
        <v>9.8765432098765427E-2</v>
      </c>
      <c r="F135" s="16">
        <f>IF(ISNUMBER(D135), $B145 * E135, "")</f>
        <v>9876.5432098765432</v>
      </c>
      <c r="G135" s="29">
        <v>89.6</v>
      </c>
      <c r="H135" s="14">
        <f>IF(ISNUMBER(G135), (G135 - $B135) / $B135, "")</f>
        <v>0.10617283950617278</v>
      </c>
      <c r="I135" s="100">
        <f>IF(ISNUMBER(G135), $B145 * H135, "")</f>
        <v>10617.283950617277</v>
      </c>
      <c r="J135" s="13">
        <v>88.8</v>
      </c>
      <c r="K135" s="14">
        <f>IF(ISNUMBER(J135), (J135 - $B135) / $B135, "")</f>
        <v>9.6296296296296255E-2</v>
      </c>
      <c r="L135" s="16">
        <f>IF(ISNUMBER(J135), $B145 * K135, "")</f>
        <v>9629.6296296296259</v>
      </c>
      <c r="M135" s="29">
        <v>91.1</v>
      </c>
      <c r="N135" s="14">
        <f>IF(ISNUMBER(M135), (M135 - $B135) / $B135, "")</f>
        <v>0.12469135802469129</v>
      </c>
      <c r="O135" s="16">
        <f>IF(ISNUMBER(M135), $B145 * N135, "")</f>
        <v>12469.135802469129</v>
      </c>
      <c r="Q135" s="239"/>
      <c r="R135" s="240"/>
      <c r="S135" s="241"/>
    </row>
    <row r="136" spans="1:19" ht="17.25" thickBot="1">
      <c r="A136" s="162" t="s">
        <v>264</v>
      </c>
      <c r="B136" s="126">
        <v>72</v>
      </c>
      <c r="C136" s="77">
        <v>-0.1089108911</v>
      </c>
      <c r="D136" s="15">
        <v>73.099999999999994</v>
      </c>
      <c r="E136" s="32">
        <f t="shared" ref="E136:E139" si="70">IF(ISNUMBER(D136), (D136 - $B136) / $B136, "")</f>
        <v>1.5277777777777699E-2</v>
      </c>
      <c r="F136" s="18">
        <f>IF(ISNUMBER(D136), $B145 * E136, "")</f>
        <v>1527.7777777777699</v>
      </c>
      <c r="G136" s="31">
        <v>74.099999999999994</v>
      </c>
      <c r="H136" s="32">
        <f t="shared" ref="H136:H139" si="71">IF(ISNUMBER(G136), (G136 - $B136) / $B136, "")</f>
        <v>2.9166666666666587E-2</v>
      </c>
      <c r="I136" s="101">
        <f>IF(ISNUMBER(G136), $B145 * H136, "")</f>
        <v>2916.6666666666588</v>
      </c>
      <c r="J136" s="15">
        <v>73.7</v>
      </c>
      <c r="K136" s="32">
        <f t="shared" ref="K136:K139" si="72">IF(ISNUMBER(J136), (J136 - $B136) / $B136, "")</f>
        <v>2.3611111111111152E-2</v>
      </c>
      <c r="L136" s="18">
        <f>IF(ISNUMBER(J136), $B145 * K136, "")</f>
        <v>2361.1111111111154</v>
      </c>
      <c r="M136" s="31">
        <v>75.8</v>
      </c>
      <c r="N136" s="32">
        <f t="shared" ref="N136:N139" si="73">IF(ISNUMBER(M136), (M136 - $B136) / $B136, "")</f>
        <v>5.2777777777777736E-2</v>
      </c>
      <c r="O136" s="18">
        <f>IF(ISNUMBER(M136), $B145 * N136, "")</f>
        <v>5277.7777777777737</v>
      </c>
      <c r="Q136" s="242"/>
      <c r="R136" s="243"/>
      <c r="S136" s="244"/>
    </row>
    <row r="137" spans="1:19" ht="17.25" thickBot="1">
      <c r="A137" s="162" t="s">
        <v>214</v>
      </c>
      <c r="B137" s="126">
        <v>8.2200000000000006</v>
      </c>
      <c r="C137" s="77">
        <v>-0.1103896104</v>
      </c>
      <c r="D137" s="15">
        <v>8.9700000000000006</v>
      </c>
      <c r="E137" s="32">
        <f t="shared" si="70"/>
        <v>9.1240875912408759E-2</v>
      </c>
      <c r="F137" s="18">
        <f>IF(ISNUMBER(D137), $B145 * E137, "")</f>
        <v>9124.0875912408756</v>
      </c>
      <c r="G137" s="31">
        <v>9.1</v>
      </c>
      <c r="H137" s="32">
        <f t="shared" si="71"/>
        <v>0.10705596107055948</v>
      </c>
      <c r="I137" s="101">
        <f>IF(ISNUMBER(G137), $B145 * H137, "")</f>
        <v>10705.596107055948</v>
      </c>
      <c r="J137" s="15">
        <v>9.06</v>
      </c>
      <c r="K137" s="32">
        <f t="shared" si="72"/>
        <v>0.10218978102189778</v>
      </c>
      <c r="L137" s="18">
        <f>IF(ISNUMBER(J137), $B145 * K137, "")</f>
        <v>10218.978102189778</v>
      </c>
      <c r="M137" s="31">
        <v>9.9700000000000006</v>
      </c>
      <c r="N137" s="32">
        <f t="shared" si="73"/>
        <v>0.21289537712895376</v>
      </c>
      <c r="O137" s="18">
        <f>IF(ISNUMBER(M137), $B145 * N137, "")</f>
        <v>21289.537712895377</v>
      </c>
      <c r="Q137" s="235"/>
      <c r="R137" s="235"/>
      <c r="S137" s="235"/>
    </row>
    <row r="138" spans="1:19" ht="17.25" thickBot="1">
      <c r="A138" s="162" t="s">
        <v>210</v>
      </c>
      <c r="B138" s="126">
        <v>75</v>
      </c>
      <c r="C138" s="77">
        <v>-0.11242603549999999</v>
      </c>
      <c r="D138" s="15">
        <v>85.2</v>
      </c>
      <c r="E138" s="32">
        <f t="shared" si="70"/>
        <v>0.13600000000000004</v>
      </c>
      <c r="F138" s="18">
        <f>IF(ISNUMBER(D138), $B145 * E138, "")</f>
        <v>13600.000000000004</v>
      </c>
      <c r="G138" s="31">
        <v>86.2</v>
      </c>
      <c r="H138" s="32">
        <f t="shared" si="71"/>
        <v>0.14933333333333337</v>
      </c>
      <c r="I138" s="101">
        <f>IF(ISNUMBER(G138), $B145 * H138, "")</f>
        <v>14933.333333333338</v>
      </c>
      <c r="J138" s="15">
        <v>83.6</v>
      </c>
      <c r="K138" s="32">
        <f t="shared" si="72"/>
        <v>0.1146666666666666</v>
      </c>
      <c r="L138" s="18">
        <f>IF(ISNUMBER(J138), $B145 * K138, "")</f>
        <v>11466.666666666661</v>
      </c>
      <c r="M138" s="31">
        <v>86.5</v>
      </c>
      <c r="N138" s="32">
        <f t="shared" si="73"/>
        <v>0.15333333333333332</v>
      </c>
      <c r="O138" s="18">
        <f>IF(ISNUMBER(M138), $B145 * N138, "")</f>
        <v>15333.333333333332</v>
      </c>
      <c r="Q138" s="245"/>
      <c r="R138" s="245"/>
      <c r="S138" s="245"/>
    </row>
    <row r="139" spans="1:19" ht="17.25" thickBot="1">
      <c r="A139" s="163" t="s">
        <v>154</v>
      </c>
      <c r="B139" s="128">
        <v>7.54</v>
      </c>
      <c r="C139" s="78">
        <v>-0.12325581400000001</v>
      </c>
      <c r="D139" s="20">
        <v>8.4</v>
      </c>
      <c r="E139" s="21">
        <f t="shared" si="70"/>
        <v>0.11405835543766582</v>
      </c>
      <c r="F139" s="22">
        <f>IF(ISNUMBER(D139), $B145 * E139, "")</f>
        <v>11405.835543766581</v>
      </c>
      <c r="G139" s="30">
        <v>8.3699999999999992</v>
      </c>
      <c r="H139" s="21">
        <f t="shared" si="71"/>
        <v>0.11007957559681687</v>
      </c>
      <c r="I139" s="105">
        <f>IF(ISNUMBER(G139), $B145 * H139, "")</f>
        <v>11007.957559681687</v>
      </c>
      <c r="J139" s="20">
        <v>8.2799999999999994</v>
      </c>
      <c r="K139" s="21">
        <f t="shared" si="72"/>
        <v>9.8143236074270473E-2</v>
      </c>
      <c r="L139" s="22">
        <f>IF(ISNUMBER(J139), $B145 * K139, "")</f>
        <v>9814.323607427048</v>
      </c>
      <c r="M139" s="30">
        <v>8.76</v>
      </c>
      <c r="N139" s="21">
        <f t="shared" si="73"/>
        <v>0.16180371352785142</v>
      </c>
      <c r="O139" s="22">
        <f>IF(ISNUMBER(M139), $B145 * N139, "")</f>
        <v>16180.371352785141</v>
      </c>
      <c r="Q139" s="245"/>
      <c r="R139" s="245"/>
      <c r="S139" s="245"/>
    </row>
    <row r="140" spans="1:19" ht="17.25" thickBot="1">
      <c r="A140" s="162" t="s">
        <v>172</v>
      </c>
      <c r="B140" s="129">
        <v>4.4400000000000004</v>
      </c>
      <c r="C140" s="80">
        <v>-0.14285714290000001</v>
      </c>
      <c r="D140" s="106">
        <v>5.55</v>
      </c>
      <c r="E140" s="107">
        <f>IF(ISNUMBER(D140), (D140 - $B140) / $B140, "")</f>
        <v>0.24999999999999986</v>
      </c>
      <c r="F140" s="108">
        <f>IF(ISNUMBER(D140), $B145 * E140, "")</f>
        <v>24999.999999999985</v>
      </c>
      <c r="G140" s="109">
        <v>6.27</v>
      </c>
      <c r="H140" s="107">
        <f>IF(ISNUMBER(G140), (G140 - $B140) / $B140, "")</f>
        <v>0.41216216216216195</v>
      </c>
      <c r="I140" s="110">
        <f>IF(ISNUMBER(G140), $B145 * H140, "")</f>
        <v>41216.216216216199</v>
      </c>
      <c r="J140" s="106">
        <v>5.45</v>
      </c>
      <c r="K140" s="107">
        <f>IF(ISNUMBER(J140), (J140 - $B140) / $B140, "")</f>
        <v>0.2274774774774774</v>
      </c>
      <c r="L140" s="108">
        <f>IF(ISNUMBER(J140), $B145 * K140, "")</f>
        <v>22747.747747747741</v>
      </c>
      <c r="M140" s="109">
        <v>4.79</v>
      </c>
      <c r="N140" s="107">
        <f>IF(ISNUMBER(M140), (M140 - $B140) / $B140, "")</f>
        <v>7.8828828828828745E-2</v>
      </c>
      <c r="O140" s="108">
        <f>IF(ISNUMBER(M140), $B145 * N140, "")</f>
        <v>7882.8828828828746</v>
      </c>
      <c r="Q140" s="235"/>
      <c r="R140" s="235"/>
      <c r="S140" s="235"/>
    </row>
    <row r="141" spans="1:19" ht="17.25" thickBot="1">
      <c r="A141" s="162" t="s">
        <v>122</v>
      </c>
      <c r="B141" s="126">
        <v>20.8</v>
      </c>
      <c r="C141" s="77">
        <v>-0.15102040820000001</v>
      </c>
      <c r="D141" s="15">
        <v>27.7</v>
      </c>
      <c r="E141" s="32">
        <f t="shared" ref="E141:E144" si="74">IF(ISNUMBER(D141), (D141 - $B141) / $B141, "")</f>
        <v>0.33173076923076916</v>
      </c>
      <c r="F141" s="18">
        <f>IF(ISNUMBER(D141), $B145 * E141, "")</f>
        <v>33173.076923076915</v>
      </c>
      <c r="G141" s="31">
        <v>30.8</v>
      </c>
      <c r="H141" s="32">
        <f t="shared" ref="H141:H144" si="75">IF(ISNUMBER(G141), (G141 - $B141) / $B141, "")</f>
        <v>0.48076923076923073</v>
      </c>
      <c r="I141" s="101">
        <f>IF(ISNUMBER(G141), $B145 * H141, "")</f>
        <v>48076.923076923071</v>
      </c>
      <c r="J141" s="15">
        <v>25.6</v>
      </c>
      <c r="K141" s="32">
        <f t="shared" ref="K141:K144" si="76">IF(ISNUMBER(J141), (J141 - $B141) / $B141, "")</f>
        <v>0.23076923076923078</v>
      </c>
      <c r="L141" s="18">
        <f>IF(ISNUMBER(J141), $B145 * K141, "")</f>
        <v>23076.923076923078</v>
      </c>
      <c r="M141" s="31">
        <v>22.5</v>
      </c>
      <c r="N141" s="32">
        <f t="shared" ref="N141:N144" si="77">IF(ISNUMBER(M141), (M141 - $B141) / $B141, "")</f>
        <v>8.173076923076919E-2</v>
      </c>
      <c r="O141" s="18">
        <f>IF(ISNUMBER(M141), $B145 * N141, "")</f>
        <v>8173.0769230769192</v>
      </c>
      <c r="Q141" s="235"/>
      <c r="R141" s="235"/>
      <c r="S141" s="235"/>
    </row>
    <row r="142" spans="1:19" ht="17.25" thickBot="1">
      <c r="A142" s="162" t="s">
        <v>254</v>
      </c>
      <c r="B142" s="126">
        <v>17.899999999999999</v>
      </c>
      <c r="C142" s="77">
        <v>-0.15165876780000001</v>
      </c>
      <c r="D142" s="15">
        <v>25.2</v>
      </c>
      <c r="E142" s="32">
        <f t="shared" si="74"/>
        <v>0.4078212290502794</v>
      </c>
      <c r="F142" s="18">
        <f>IF(ISNUMBER(D142), $B145 * E142, "")</f>
        <v>40782.122905027943</v>
      </c>
      <c r="G142" s="31">
        <v>26.4</v>
      </c>
      <c r="H142" s="32">
        <f t="shared" si="75"/>
        <v>0.47486033519553078</v>
      </c>
      <c r="I142" s="101">
        <f>IF(ISNUMBER(G142), $B145 * H142, "")</f>
        <v>47486.033519553079</v>
      </c>
      <c r="J142" s="15">
        <v>22.9</v>
      </c>
      <c r="K142" s="32">
        <f t="shared" si="76"/>
        <v>0.27932960893854752</v>
      </c>
      <c r="L142" s="18">
        <f>IF(ISNUMBER(J142), $B145 * K142, "")</f>
        <v>27932.960893854754</v>
      </c>
      <c r="M142" s="31">
        <v>20.6</v>
      </c>
      <c r="N142" s="32">
        <f t="shared" si="77"/>
        <v>0.15083798882681582</v>
      </c>
      <c r="O142" s="18">
        <f>IF(ISNUMBER(M142), $B145 * N142, "")</f>
        <v>15083.798882681582</v>
      </c>
      <c r="Q142" s="235"/>
      <c r="R142" s="235"/>
      <c r="S142" s="235"/>
    </row>
    <row r="143" spans="1:19">
      <c r="A143" s="162" t="s">
        <v>252</v>
      </c>
      <c r="B143" s="126">
        <v>89.9</v>
      </c>
      <c r="C143" s="77">
        <v>-0.15188679250000001</v>
      </c>
      <c r="D143" s="15">
        <v>119</v>
      </c>
      <c r="E143" s="32">
        <f t="shared" si="74"/>
        <v>0.32369299221357056</v>
      </c>
      <c r="F143" s="18">
        <f>IF(ISNUMBER(D143), $B145 * E143, "")</f>
        <v>32369.299221357058</v>
      </c>
      <c r="G143" s="31">
        <v>133</v>
      </c>
      <c r="H143" s="32">
        <f t="shared" si="75"/>
        <v>0.47942157953281417</v>
      </c>
      <c r="I143" s="101">
        <f>IF(ISNUMBER(G143), $B145 * H143, "")</f>
        <v>47942.157953281414</v>
      </c>
      <c r="J143" s="15">
        <v>114</v>
      </c>
      <c r="K143" s="32">
        <f t="shared" si="76"/>
        <v>0.26807563959955499</v>
      </c>
      <c r="L143" s="18">
        <f>IF(ISNUMBER(J143), $B145 * K143, "")</f>
        <v>26807.5639599555</v>
      </c>
      <c r="M143" s="31">
        <v>102</v>
      </c>
      <c r="N143" s="32">
        <f t="shared" si="77"/>
        <v>0.13459399332591762</v>
      </c>
      <c r="O143" s="18">
        <f>IF(ISNUMBER(M143), $B145 * N143, "")</f>
        <v>13459.399332591762</v>
      </c>
      <c r="Q143" s="224"/>
      <c r="R143" s="225"/>
      <c r="S143" s="226"/>
    </row>
    <row r="144" spans="1:19" ht="17.25" thickBot="1">
      <c r="A144" s="130" t="s">
        <v>236</v>
      </c>
      <c r="B144" s="131">
        <v>16.899999999999999</v>
      </c>
      <c r="C144" s="79">
        <v>-0.1633663366</v>
      </c>
      <c r="D144" s="24">
        <v>22</v>
      </c>
      <c r="E144" s="25">
        <f t="shared" si="74"/>
        <v>0.30177514792899418</v>
      </c>
      <c r="F144" s="104">
        <f>IF(ISNUMBER(D144), $B145 * E144, "")</f>
        <v>30177.514792899419</v>
      </c>
      <c r="G144" s="102">
        <v>24.1</v>
      </c>
      <c r="H144" s="25">
        <f t="shared" si="75"/>
        <v>0.42603550295858006</v>
      </c>
      <c r="I144" s="103">
        <f>IF(ISNUMBER(G144), $B145 * H144, "")</f>
        <v>42603.550295858004</v>
      </c>
      <c r="J144" s="24">
        <v>20.8</v>
      </c>
      <c r="K144" s="25">
        <f t="shared" si="76"/>
        <v>0.23076923076923092</v>
      </c>
      <c r="L144" s="104">
        <f>IF(ISNUMBER(J144), $B145 * K144, "")</f>
        <v>23076.923076923093</v>
      </c>
      <c r="M144" s="102">
        <v>18.600000000000001</v>
      </c>
      <c r="N144" s="25">
        <f t="shared" si="77"/>
        <v>0.10059171597633154</v>
      </c>
      <c r="O144" s="104">
        <f>IF(ISNUMBER(M144), $B145 * N144, "")</f>
        <v>10059.171597633154</v>
      </c>
      <c r="Q144" s="227"/>
      <c r="R144" s="228"/>
      <c r="S144" s="229"/>
    </row>
    <row r="145" spans="1:19" ht="17.25" thickBot="1">
      <c r="A145" s="132" t="s">
        <v>300</v>
      </c>
      <c r="B145" s="288">
        <f>$B$37</f>
        <v>100000</v>
      </c>
      <c r="C145" s="289"/>
      <c r="D145" s="26" t="s">
        <v>301</v>
      </c>
      <c r="E145" s="27">
        <f>IF(COUNT(E125:E144), SUM(E125:E144) / COUNT(E125:E144), 0)</f>
        <v>0.2020165908010855</v>
      </c>
      <c r="F145" s="28">
        <f>SUM(F125:F144)</f>
        <v>404033.18160217098</v>
      </c>
      <c r="G145" s="26" t="s">
        <v>301</v>
      </c>
      <c r="H145" s="27">
        <f>IF(COUNT(H125:H144), SUM(H125:H144) / COUNT(H125:H144), 0)</f>
        <v>0.26762224795648415</v>
      </c>
      <c r="I145" s="28">
        <f>SUM(I125:I144)</f>
        <v>535244.49591296818</v>
      </c>
      <c r="J145" s="26" t="s">
        <v>301</v>
      </c>
      <c r="K145" s="27">
        <f>IF(COUNT(K125:K144), SUM(K125:K144) / COUNT(K125:K144), 0)</f>
        <v>0.17172559145812713</v>
      </c>
      <c r="L145" s="28">
        <f>SUM(L125:L144)</f>
        <v>343451.18291625427</v>
      </c>
      <c r="M145" s="26" t="s">
        <v>301</v>
      </c>
      <c r="N145" s="27">
        <f>IF(COUNT(N125:N144), SUM(N125:N144) / COUNT(N125:N144), 0)</f>
        <v>0.12778430742799443</v>
      </c>
      <c r="O145" s="28">
        <f>SUM(O125:O144)</f>
        <v>255568.61485598882</v>
      </c>
      <c r="Q145" s="230"/>
      <c r="R145" s="231"/>
      <c r="S145" s="232"/>
    </row>
    <row r="147" spans="1:19" ht="17.25" thickBot="1"/>
    <row r="148" spans="1:19" ht="17.25" thickBot="1">
      <c r="A148" s="246" t="s">
        <v>289</v>
      </c>
      <c r="B148" s="247"/>
      <c r="C148" s="247"/>
      <c r="D148" s="247"/>
      <c r="E148" s="247"/>
      <c r="F148" s="247"/>
      <c r="G148" s="247"/>
      <c r="H148" s="247"/>
      <c r="I148" s="247"/>
      <c r="J148" s="247"/>
      <c r="K148" s="247"/>
      <c r="L148" s="247"/>
      <c r="M148" s="247"/>
      <c r="N148" s="247"/>
      <c r="O148" s="248"/>
      <c r="Q148" s="245"/>
      <c r="R148" s="245"/>
      <c r="S148" s="245"/>
    </row>
    <row r="149" spans="1:19" ht="17.25" thickBot="1">
      <c r="A149" s="212" t="s">
        <v>297</v>
      </c>
      <c r="B149" s="246" t="s">
        <v>49</v>
      </c>
      <c r="C149" s="248"/>
      <c r="D149" s="246" t="s">
        <v>58</v>
      </c>
      <c r="E149" s="247"/>
      <c r="F149" s="248"/>
      <c r="G149" s="249">
        <f>_xlfn.IFNA(VLOOKUP(B149, 현재가테이블!$B$2:$D$200, 2, FALSE), "-")</f>
        <v>45335000</v>
      </c>
      <c r="H149" s="250"/>
      <c r="I149" s="251"/>
      <c r="J149" s="246" t="s">
        <v>59</v>
      </c>
      <c r="K149" s="247"/>
      <c r="L149" s="248"/>
      <c r="M149" s="252">
        <f>_xlfn.IFNA(VLOOKUP(B149, 현재가테이블!$B$2:$D$200, 3, FALSE), "-")</f>
        <v>-2.27209037E-2</v>
      </c>
      <c r="N149" s="253"/>
      <c r="O149" s="254"/>
      <c r="Q149" s="245"/>
      <c r="R149" s="245"/>
      <c r="S149" s="245"/>
    </row>
    <row r="150" spans="1:19" ht="17.25" thickBot="1">
      <c r="A150" s="290" t="s">
        <v>55</v>
      </c>
      <c r="B150" s="286" t="str">
        <f>TEXT($G$1, "[$-ko-KR]yyyy-mm-dd(ddd) ") &amp; "오전 00:00"</f>
        <v>2021-06-14(월) 오전 00:00</v>
      </c>
      <c r="C150" s="287"/>
      <c r="D150" s="259" t="str">
        <f>TEXT($G$1, "[$-ko-KR]yyyy-mm-dd(ddd) ") &amp; "오후 14:00"</f>
        <v>2021-06-14(월) 오후 14:00</v>
      </c>
      <c r="E150" s="260"/>
      <c r="F150" s="261"/>
      <c r="G150" s="259" t="str">
        <f>TEXT($G$1, "[$-ko-KR]yyyy-mm-dd(ddd) ") &amp; "오후 19:00"</f>
        <v>2021-06-14(월) 오후 19:00</v>
      </c>
      <c r="H150" s="260"/>
      <c r="I150" s="261"/>
      <c r="J150" s="259" t="str">
        <f>TEXT($G$1, "[$-ko-KR]yyyy-mm-dd(ddd) ") &amp; "오후 21:00"</f>
        <v>2021-06-14(월) 오후 21:00</v>
      </c>
      <c r="K150" s="260"/>
      <c r="L150" s="261"/>
      <c r="M150" s="259" t="str">
        <f>TEXT($G$1+1, "[$-ko-KR]yyyy-mm-dd(ddd) ") &amp; "오전 00:00"</f>
        <v>2021-06-15(화) 오전 00:00</v>
      </c>
      <c r="N150" s="260"/>
      <c r="O150" s="261"/>
      <c r="Q150" s="245"/>
      <c r="R150" s="245"/>
      <c r="S150" s="245"/>
    </row>
    <row r="151" spans="1:19" ht="17.25" thickBot="1">
      <c r="A151" s="291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213" t="s">
        <v>58</v>
      </c>
      <c r="H151" s="214" t="s">
        <v>298</v>
      </c>
      <c r="I151" s="215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5"/>
      <c r="R151" s="235"/>
      <c r="S151" s="235"/>
    </row>
    <row r="152" spans="1:19" ht="17.25" thickBot="1">
      <c r="A152" s="161" t="s">
        <v>128</v>
      </c>
      <c r="B152" s="124">
        <v>290</v>
      </c>
      <c r="C152" s="76">
        <v>-1.6949152499999998E-2</v>
      </c>
      <c r="D152" s="13">
        <v>301</v>
      </c>
      <c r="E152" s="14">
        <f>IF(ISNUMBER(D152), (D152 - $B152) / $B152, "")</f>
        <v>3.793103448275862E-2</v>
      </c>
      <c r="F152" s="16">
        <f>IF(ISNUMBER(D152), $B172 * E152, "")</f>
        <v>3793.1034482758619</v>
      </c>
      <c r="G152" s="29">
        <v>317</v>
      </c>
      <c r="H152" s="14">
        <f>IF(ISNUMBER(G152), (G152 - $B152) / $B152, "")</f>
        <v>9.3103448275862075E-2</v>
      </c>
      <c r="I152" s="100">
        <f>IF(ISNUMBER(G152), $B172 * H152, "")</f>
        <v>9310.3448275862083</v>
      </c>
      <c r="J152" s="13">
        <v>311</v>
      </c>
      <c r="K152" s="14">
        <f>IF(ISNUMBER(J152), (J152 - $B152) / $B152, "")</f>
        <v>7.2413793103448282E-2</v>
      </c>
      <c r="L152" s="16">
        <f>IF(ISNUMBER(J152), $B172 * K152, "")</f>
        <v>7241.3793103448279</v>
      </c>
      <c r="M152" s="29">
        <v>316</v>
      </c>
      <c r="N152" s="14">
        <f>IF(ISNUMBER(M152), (M152 - $B152) / $B152, "")</f>
        <v>8.9655172413793102E-2</v>
      </c>
      <c r="O152" s="16">
        <f>IF(ISNUMBER(M152), $B172 * N152, "")</f>
        <v>8965.5172413793098</v>
      </c>
      <c r="Q152" s="245"/>
      <c r="R152" s="245"/>
      <c r="S152" s="245"/>
    </row>
    <row r="153" spans="1:19" ht="17.25" thickBot="1">
      <c r="A153" s="162" t="s">
        <v>136</v>
      </c>
      <c r="B153" s="126">
        <v>113</v>
      </c>
      <c r="C153" s="77">
        <v>-1.73913043E-2</v>
      </c>
      <c r="D153" s="15">
        <v>124</v>
      </c>
      <c r="E153" s="32">
        <f t="shared" ref="E153:E156" si="78">IF(ISNUMBER(D153), (D153 - $B153) / $B153, "")</f>
        <v>9.7345132743362831E-2</v>
      </c>
      <c r="F153" s="18">
        <f>IF(ISNUMBER(D153), $B172 * E153, "")</f>
        <v>9734.5132743362828</v>
      </c>
      <c r="G153" s="31">
        <v>122</v>
      </c>
      <c r="H153" s="32">
        <f t="shared" ref="H153:H156" si="79">IF(ISNUMBER(G153), (G153 - $B153) / $B153, "")</f>
        <v>7.9646017699115043E-2</v>
      </c>
      <c r="I153" s="101">
        <f>IF(ISNUMBER(G153), $B172 * H153, "")</f>
        <v>7964.6017699115046</v>
      </c>
      <c r="J153" s="15">
        <v>122</v>
      </c>
      <c r="K153" s="32">
        <f t="shared" ref="K153:K156" si="80">IF(ISNUMBER(J153), (J153 - $B153) / $B153, "")</f>
        <v>7.9646017699115043E-2</v>
      </c>
      <c r="L153" s="18">
        <f>IF(ISNUMBER(J153), $B172 * K153, "")</f>
        <v>7964.6017699115046</v>
      </c>
      <c r="M153" s="31">
        <v>125</v>
      </c>
      <c r="N153" s="32">
        <f t="shared" ref="N153:N156" si="81">IF(ISNUMBER(M153), (M153 - $B153) / $B153, "")</f>
        <v>0.10619469026548672</v>
      </c>
      <c r="O153" s="18">
        <f>IF(ISNUMBER(M153), $B172 * N153, "")</f>
        <v>10619.469026548672</v>
      </c>
      <c r="Q153" s="245"/>
      <c r="R153" s="245"/>
      <c r="S153" s="245"/>
    </row>
    <row r="154" spans="1:19" ht="17.25" thickBot="1">
      <c r="A154" s="162" t="s">
        <v>182</v>
      </c>
      <c r="B154" s="126">
        <v>222</v>
      </c>
      <c r="C154" s="77">
        <v>-1.7699115000000001E-2</v>
      </c>
      <c r="D154" s="15">
        <v>229</v>
      </c>
      <c r="E154" s="32">
        <f t="shared" si="78"/>
        <v>3.1531531531531529E-2</v>
      </c>
      <c r="F154" s="18">
        <f>IF(ISNUMBER(D154), $B172 * E154, "")</f>
        <v>3153.1531531531527</v>
      </c>
      <c r="G154" s="31">
        <v>231</v>
      </c>
      <c r="H154" s="32">
        <f t="shared" si="79"/>
        <v>4.0540540540540543E-2</v>
      </c>
      <c r="I154" s="101">
        <f>IF(ISNUMBER(G154), $B172 * H154, "")</f>
        <v>4054.0540540540542</v>
      </c>
      <c r="J154" s="15">
        <v>228</v>
      </c>
      <c r="K154" s="32">
        <f t="shared" si="80"/>
        <v>2.7027027027027029E-2</v>
      </c>
      <c r="L154" s="18">
        <f>IF(ISNUMBER(J154), $B172 * K154, "")</f>
        <v>2702.7027027027029</v>
      </c>
      <c r="M154" s="31">
        <v>237</v>
      </c>
      <c r="N154" s="32">
        <f t="shared" si="81"/>
        <v>6.7567567567567571E-2</v>
      </c>
      <c r="O154" s="18">
        <f>IF(ISNUMBER(M154), $B172 * N154, "")</f>
        <v>6756.7567567567576</v>
      </c>
      <c r="Q154" s="235"/>
      <c r="R154" s="235"/>
      <c r="S154" s="235"/>
    </row>
    <row r="155" spans="1:19" ht="17.25" thickBot="1">
      <c r="A155" s="162" t="s">
        <v>88</v>
      </c>
      <c r="B155" s="126">
        <v>311</v>
      </c>
      <c r="C155" s="77">
        <v>-2.2012578599999999E-2</v>
      </c>
      <c r="D155" s="15">
        <v>323</v>
      </c>
      <c r="E155" s="32">
        <f t="shared" si="78"/>
        <v>3.8585209003215437E-2</v>
      </c>
      <c r="F155" s="18">
        <f>IF(ISNUMBER(D155), $B172 * E155, "")</f>
        <v>3858.5209003215436</v>
      </c>
      <c r="G155" s="31">
        <v>326</v>
      </c>
      <c r="H155" s="32">
        <f t="shared" si="79"/>
        <v>4.8231511254019289E-2</v>
      </c>
      <c r="I155" s="101">
        <f>IF(ISNUMBER(G155), $B172 * H155, "")</f>
        <v>4823.1511254019288</v>
      </c>
      <c r="J155" s="15">
        <v>322</v>
      </c>
      <c r="K155" s="32">
        <f t="shared" si="80"/>
        <v>3.5369774919614148E-2</v>
      </c>
      <c r="L155" s="18">
        <f>IF(ISNUMBER(J155), $B172 * K155, "")</f>
        <v>3536.9774919614147</v>
      </c>
      <c r="M155" s="31">
        <v>330</v>
      </c>
      <c r="N155" s="32">
        <f t="shared" si="81"/>
        <v>6.1093247588424437E-2</v>
      </c>
      <c r="O155" s="18">
        <f>IF(ISNUMBER(M155), $B172 * N155, "")</f>
        <v>6109.3247588424438</v>
      </c>
      <c r="Q155" s="235"/>
      <c r="R155" s="235"/>
      <c r="S155" s="235"/>
    </row>
    <row r="156" spans="1:19" ht="17.25" thickBot="1">
      <c r="A156" s="163" t="s">
        <v>262</v>
      </c>
      <c r="B156" s="128">
        <v>453</v>
      </c>
      <c r="C156" s="78">
        <v>-2.3706896599999999E-2</v>
      </c>
      <c r="D156" s="20">
        <v>485</v>
      </c>
      <c r="E156" s="21">
        <f t="shared" si="78"/>
        <v>7.0640176600441501E-2</v>
      </c>
      <c r="F156" s="22">
        <f>IF(ISNUMBER(D156), $B172 * E156, "")</f>
        <v>7064.01766004415</v>
      </c>
      <c r="G156" s="30">
        <v>491</v>
      </c>
      <c r="H156" s="21">
        <f t="shared" si="79"/>
        <v>8.3885209713024281E-2</v>
      </c>
      <c r="I156" s="105">
        <f>IF(ISNUMBER(G156), $B172 * H156, "")</f>
        <v>8388.5209713024287</v>
      </c>
      <c r="J156" s="20">
        <v>487</v>
      </c>
      <c r="K156" s="21">
        <f t="shared" si="80"/>
        <v>7.505518763796909E-2</v>
      </c>
      <c r="L156" s="22">
        <f>IF(ISNUMBER(J156), $B172 * K156, "")</f>
        <v>7505.5187637969093</v>
      </c>
      <c r="M156" s="30">
        <v>501</v>
      </c>
      <c r="N156" s="21">
        <f t="shared" si="81"/>
        <v>0.10596026490066225</v>
      </c>
      <c r="O156" s="22">
        <f>IF(ISNUMBER(M156), $B172 * N156, "")</f>
        <v>10596.026490066226</v>
      </c>
      <c r="Q156" s="235"/>
      <c r="R156" s="235"/>
      <c r="S156" s="235"/>
    </row>
    <row r="157" spans="1:19" ht="17.25" thickBot="1">
      <c r="A157" s="162" t="s">
        <v>116</v>
      </c>
      <c r="B157" s="129">
        <v>297</v>
      </c>
      <c r="C157" s="80">
        <v>-2.9411764699999999E-2</v>
      </c>
      <c r="D157" s="106">
        <v>313</v>
      </c>
      <c r="E157" s="107">
        <f>IF(ISNUMBER(D157), (D157 - $B157) / $B157, "")</f>
        <v>5.387205387205387E-2</v>
      </c>
      <c r="F157" s="108">
        <f>IF(ISNUMBER(D157), $B172 * E157, "")</f>
        <v>5387.2053872053866</v>
      </c>
      <c r="G157" s="109">
        <v>314</v>
      </c>
      <c r="H157" s="107">
        <f>IF(ISNUMBER(G157), (G157 - $B157) / $B157, "")</f>
        <v>5.7239057239057242E-2</v>
      </c>
      <c r="I157" s="110">
        <f>IF(ISNUMBER(G157), $B172 * H157, "")</f>
        <v>5723.9057239057238</v>
      </c>
      <c r="J157" s="106">
        <v>313</v>
      </c>
      <c r="K157" s="107">
        <f>IF(ISNUMBER(J157), (J157 - $B157) / $B157, "")</f>
        <v>5.387205387205387E-2</v>
      </c>
      <c r="L157" s="108">
        <f>IF(ISNUMBER(J157), $B172 * K157, "")</f>
        <v>5387.2053872053866</v>
      </c>
      <c r="M157" s="109">
        <v>323</v>
      </c>
      <c r="N157" s="107">
        <f>IF(ISNUMBER(M157), (M157 - $B157) / $B157, "")</f>
        <v>8.7542087542087546E-2</v>
      </c>
      <c r="O157" s="108">
        <f>IF(ISNUMBER(M157), $B172 * N157, "")</f>
        <v>8754.2087542087538</v>
      </c>
      <c r="Q157" s="235"/>
      <c r="R157" s="235"/>
      <c r="S157" s="235"/>
    </row>
    <row r="158" spans="1:19" ht="17.25" thickBot="1">
      <c r="A158" s="162" t="s">
        <v>284</v>
      </c>
      <c r="B158" s="126">
        <v>185</v>
      </c>
      <c r="C158" s="77">
        <v>-3.1413612600000002E-2</v>
      </c>
      <c r="D158" s="15">
        <v>204</v>
      </c>
      <c r="E158" s="32">
        <f t="shared" ref="E158:E161" si="82">IF(ISNUMBER(D158), (D158 - $B158) / $B158, "")</f>
        <v>0.10270270270270271</v>
      </c>
      <c r="F158" s="18">
        <f>IF(ISNUMBER(D158), $B172 * E158, "")</f>
        <v>10270.27027027027</v>
      </c>
      <c r="G158" s="31">
        <v>203</v>
      </c>
      <c r="H158" s="32">
        <f t="shared" ref="H158:H161" si="83">IF(ISNUMBER(G158), (G158 - $B158) / $B158, "")</f>
        <v>9.7297297297297303E-2</v>
      </c>
      <c r="I158" s="101">
        <f>IF(ISNUMBER(G158), $B172 * H158, "")</f>
        <v>9729.72972972973</v>
      </c>
      <c r="J158" s="15">
        <v>204</v>
      </c>
      <c r="K158" s="32">
        <f t="shared" ref="K158:K161" si="84">IF(ISNUMBER(J158), (J158 - $B158) / $B158, "")</f>
        <v>0.10270270270270271</v>
      </c>
      <c r="L158" s="18">
        <f>IF(ISNUMBER(J158), $B172 * K158, "")</f>
        <v>10270.27027027027</v>
      </c>
      <c r="M158" s="31">
        <v>206</v>
      </c>
      <c r="N158" s="32">
        <f t="shared" ref="N158:N161" si="85">IF(ISNUMBER(M158), (M158 - $B158) / $B158, "")</f>
        <v>0.11351351351351352</v>
      </c>
      <c r="O158" s="18">
        <f>IF(ISNUMBER(M158), $B172 * N158, "")</f>
        <v>11351.351351351352</v>
      </c>
      <c r="Q158" s="235"/>
      <c r="R158" s="235"/>
      <c r="S158" s="235"/>
    </row>
    <row r="159" spans="1:19" ht="17.25" thickBot="1">
      <c r="A159" s="162" t="s">
        <v>51</v>
      </c>
      <c r="B159" s="126">
        <v>368</v>
      </c>
      <c r="C159" s="77">
        <v>-3.6649214700000002E-2</v>
      </c>
      <c r="D159" s="15">
        <v>389</v>
      </c>
      <c r="E159" s="32">
        <f t="shared" si="82"/>
        <v>5.7065217391304345E-2</v>
      </c>
      <c r="F159" s="18">
        <f>IF(ISNUMBER(D159), $B172 * E159, "")</f>
        <v>5706.5217391304341</v>
      </c>
      <c r="G159" s="31">
        <v>381</v>
      </c>
      <c r="H159" s="32">
        <f t="shared" si="83"/>
        <v>3.5326086956521736E-2</v>
      </c>
      <c r="I159" s="101">
        <f>IF(ISNUMBER(G159), $B172 * H159, "")</f>
        <v>3532.6086956521735</v>
      </c>
      <c r="J159" s="15">
        <v>380</v>
      </c>
      <c r="K159" s="32">
        <f t="shared" si="84"/>
        <v>3.2608695652173912E-2</v>
      </c>
      <c r="L159" s="18">
        <f>IF(ISNUMBER(J159), $B172 * K159, "")</f>
        <v>3260.869565217391</v>
      </c>
      <c r="M159" s="31">
        <v>394</v>
      </c>
      <c r="N159" s="32">
        <f t="shared" si="85"/>
        <v>7.0652173913043473E-2</v>
      </c>
      <c r="O159" s="18">
        <f>IF(ISNUMBER(M159), $B172 * N159, "")</f>
        <v>7065.2173913043471</v>
      </c>
      <c r="Q159" s="235"/>
      <c r="R159" s="235"/>
      <c r="S159" s="235"/>
    </row>
    <row r="160" spans="1:19" ht="17.25" thickBot="1">
      <c r="A160" s="162" t="s">
        <v>106</v>
      </c>
      <c r="B160" s="126">
        <v>950</v>
      </c>
      <c r="C160" s="77">
        <v>-4.0404040400000001E-2</v>
      </c>
      <c r="D160" s="15">
        <v>1025</v>
      </c>
      <c r="E160" s="32">
        <f t="shared" si="82"/>
        <v>7.8947368421052627E-2</v>
      </c>
      <c r="F160" s="18">
        <f>IF(ISNUMBER(D160), $B172 * E160, "")</f>
        <v>7894.7368421052624</v>
      </c>
      <c r="G160" s="31">
        <v>1015</v>
      </c>
      <c r="H160" s="32">
        <f t="shared" si="83"/>
        <v>6.8421052631578952E-2</v>
      </c>
      <c r="I160" s="101">
        <f>IF(ISNUMBER(G160), $B172 * H160, "")</f>
        <v>6842.105263157895</v>
      </c>
      <c r="J160" s="15">
        <v>1005</v>
      </c>
      <c r="K160" s="32">
        <f t="shared" si="84"/>
        <v>5.7894736842105263E-2</v>
      </c>
      <c r="L160" s="18">
        <f>IF(ISNUMBER(J160), $B172 * K160, "")</f>
        <v>5789.4736842105267</v>
      </c>
      <c r="M160" s="31">
        <v>1065</v>
      </c>
      <c r="N160" s="32">
        <f t="shared" si="85"/>
        <v>0.12105263157894737</v>
      </c>
      <c r="O160" s="18">
        <f>IF(ISNUMBER(M160), $B172 * N160, "")</f>
        <v>12105.263157894737</v>
      </c>
      <c r="Q160" s="33"/>
      <c r="R160" s="33"/>
    </row>
    <row r="161" spans="1:19" ht="17.25" thickBot="1">
      <c r="A161" s="130" t="s">
        <v>132</v>
      </c>
      <c r="B161" s="131">
        <v>118</v>
      </c>
      <c r="C161" s="79">
        <v>-4.06504065E-2</v>
      </c>
      <c r="D161" s="24">
        <v>127</v>
      </c>
      <c r="E161" s="25">
        <f t="shared" si="82"/>
        <v>7.6271186440677971E-2</v>
      </c>
      <c r="F161" s="104">
        <f>IF(ISNUMBER(D161), $B172 * E161, "")</f>
        <v>7627.1186440677975</v>
      </c>
      <c r="G161" s="102">
        <v>128</v>
      </c>
      <c r="H161" s="25">
        <f t="shared" si="83"/>
        <v>8.4745762711864403E-2</v>
      </c>
      <c r="I161" s="103">
        <f>IF(ISNUMBER(G161), $B172 * H161, "")</f>
        <v>8474.5762711864409</v>
      </c>
      <c r="J161" s="24">
        <v>126</v>
      </c>
      <c r="K161" s="25">
        <f t="shared" si="84"/>
        <v>6.7796610169491525E-2</v>
      </c>
      <c r="L161" s="104">
        <f>IF(ISNUMBER(J161), $B172 * K161, "")</f>
        <v>6779.6610169491523</v>
      </c>
      <c r="M161" s="102">
        <v>132</v>
      </c>
      <c r="N161" s="25">
        <f t="shared" si="85"/>
        <v>0.11864406779661017</v>
      </c>
      <c r="O161" s="104">
        <f>IF(ISNUMBER(M161), $B172 * N161, "")</f>
        <v>11864.406779661018</v>
      </c>
      <c r="Q161" s="236"/>
      <c r="R161" s="237"/>
      <c r="S161" s="238"/>
    </row>
    <row r="162" spans="1:19">
      <c r="A162" s="161" t="s">
        <v>54</v>
      </c>
      <c r="B162" s="124">
        <v>211</v>
      </c>
      <c r="C162" s="76">
        <v>-4.09090909E-2</v>
      </c>
      <c r="D162" s="13">
        <v>222</v>
      </c>
      <c r="E162" s="14">
        <f>IF(ISNUMBER(D162), (D162 - $B162) / $B162, "")</f>
        <v>5.2132701421800945E-2</v>
      </c>
      <c r="F162" s="16">
        <f>IF(ISNUMBER(D162), $B172 * E162, "")</f>
        <v>5213.2701421800948</v>
      </c>
      <c r="G162" s="29">
        <v>226</v>
      </c>
      <c r="H162" s="14">
        <f>IF(ISNUMBER(G162), (G162 - $B162) / $B162, "")</f>
        <v>7.1090047393364927E-2</v>
      </c>
      <c r="I162" s="100">
        <f>IF(ISNUMBER(G162), $B172 * H162, "")</f>
        <v>7109.004739336493</v>
      </c>
      <c r="J162" s="13">
        <v>222</v>
      </c>
      <c r="K162" s="14">
        <f>IF(ISNUMBER(J162), (J162 - $B162) / $B162, "")</f>
        <v>5.2132701421800945E-2</v>
      </c>
      <c r="L162" s="16">
        <f>IF(ISNUMBER(J162), $B172 * K162, "")</f>
        <v>5213.2701421800948</v>
      </c>
      <c r="M162" s="29">
        <v>229</v>
      </c>
      <c r="N162" s="14">
        <f>IF(ISNUMBER(M162), (M162 - $B162) / $B162, "")</f>
        <v>8.5308056872037921E-2</v>
      </c>
      <c r="O162" s="16">
        <f>IF(ISNUMBER(M162), $B172 * N162, "")</f>
        <v>8530.8056872037923</v>
      </c>
      <c r="Q162" s="239"/>
      <c r="R162" s="240"/>
      <c r="S162" s="241"/>
    </row>
    <row r="163" spans="1:19" ht="17.25" thickBot="1">
      <c r="A163" s="162" t="s">
        <v>256</v>
      </c>
      <c r="B163" s="126">
        <v>135</v>
      </c>
      <c r="C163" s="77">
        <v>-4.2553191499999997E-2</v>
      </c>
      <c r="D163" s="15">
        <v>141</v>
      </c>
      <c r="E163" s="32">
        <f t="shared" ref="E163:E166" si="86">IF(ISNUMBER(D163), (D163 - $B163) / $B163, "")</f>
        <v>4.4444444444444446E-2</v>
      </c>
      <c r="F163" s="18">
        <f>IF(ISNUMBER(D163), $B172 * E163, "")</f>
        <v>4444.4444444444443</v>
      </c>
      <c r="G163" s="31">
        <v>142</v>
      </c>
      <c r="H163" s="32">
        <f t="shared" ref="H163:H166" si="87">IF(ISNUMBER(G163), (G163 - $B163) / $B163, "")</f>
        <v>5.185185185185185E-2</v>
      </c>
      <c r="I163" s="101">
        <f>IF(ISNUMBER(G163), $B172 * H163, "")</f>
        <v>5185.1851851851852</v>
      </c>
      <c r="J163" s="15">
        <v>144</v>
      </c>
      <c r="K163" s="32">
        <f t="shared" ref="K163:K166" si="88">IF(ISNUMBER(J163), (J163 - $B163) / $B163, "")</f>
        <v>6.6666666666666666E-2</v>
      </c>
      <c r="L163" s="18">
        <f>IF(ISNUMBER(J163), $B172 * K163, "")</f>
        <v>6666.666666666667</v>
      </c>
      <c r="M163" s="31">
        <v>147</v>
      </c>
      <c r="N163" s="32">
        <f t="shared" ref="N163:N166" si="89">IF(ISNUMBER(M163), (M163 - $B163) / $B163, "")</f>
        <v>8.8888888888888892E-2</v>
      </c>
      <c r="O163" s="18">
        <f>IF(ISNUMBER(M163), $B172 * N163, "")</f>
        <v>8888.8888888888887</v>
      </c>
      <c r="Q163" s="242"/>
      <c r="R163" s="243"/>
      <c r="S163" s="244"/>
    </row>
    <row r="164" spans="1:19" ht="17.25" thickBot="1">
      <c r="A164" s="162" t="s">
        <v>112</v>
      </c>
      <c r="B164" s="126">
        <v>124</v>
      </c>
      <c r="C164" s="77">
        <v>-4.6153846200000001E-2</v>
      </c>
      <c r="D164" s="15">
        <v>126</v>
      </c>
      <c r="E164" s="32">
        <f t="shared" si="86"/>
        <v>1.6129032258064516E-2</v>
      </c>
      <c r="F164" s="18">
        <f>IF(ISNUMBER(D164), $B172 * E164, "")</f>
        <v>1612.9032258064515</v>
      </c>
      <c r="G164" s="31">
        <v>126</v>
      </c>
      <c r="H164" s="32">
        <f t="shared" si="87"/>
        <v>1.6129032258064516E-2</v>
      </c>
      <c r="I164" s="101">
        <f>IF(ISNUMBER(G164), $B172 * H164, "")</f>
        <v>1612.9032258064515</v>
      </c>
      <c r="J164" s="15">
        <v>126</v>
      </c>
      <c r="K164" s="32">
        <f t="shared" si="88"/>
        <v>1.6129032258064516E-2</v>
      </c>
      <c r="L164" s="18">
        <f>IF(ISNUMBER(J164), $B172 * K164, "")</f>
        <v>1612.9032258064515</v>
      </c>
      <c r="M164" s="31">
        <v>132</v>
      </c>
      <c r="N164" s="32">
        <f t="shared" si="89"/>
        <v>6.4516129032258063E-2</v>
      </c>
      <c r="O164" s="18">
        <f>IF(ISNUMBER(M164), $B172 * N164, "")</f>
        <v>6451.6129032258059</v>
      </c>
      <c r="Q164" s="235"/>
      <c r="R164" s="235"/>
      <c r="S164" s="235"/>
    </row>
    <row r="165" spans="1:19" ht="17.25" thickBot="1">
      <c r="A165" s="162" t="s">
        <v>82</v>
      </c>
      <c r="B165" s="126">
        <v>761</v>
      </c>
      <c r="C165" s="77">
        <v>-5.23038605E-2</v>
      </c>
      <c r="D165" s="15">
        <v>928</v>
      </c>
      <c r="E165" s="32">
        <f t="shared" si="86"/>
        <v>0.21944809461235218</v>
      </c>
      <c r="F165" s="18">
        <f>IF(ISNUMBER(D165), $B172 * E165, "")</f>
        <v>21944.809461235218</v>
      </c>
      <c r="G165" s="31">
        <v>1015</v>
      </c>
      <c r="H165" s="32">
        <f t="shared" si="87"/>
        <v>0.33377135348226017</v>
      </c>
      <c r="I165" s="101">
        <f>IF(ISNUMBER(G165), $B172 * H165, "")</f>
        <v>33377.135348226017</v>
      </c>
      <c r="J165" s="15">
        <v>882</v>
      </c>
      <c r="K165" s="32">
        <f t="shared" si="88"/>
        <v>0.15900131406044679</v>
      </c>
      <c r="L165" s="18">
        <f>IF(ISNUMBER(J165), $B172 * K165, "")</f>
        <v>15900.131406044678</v>
      </c>
      <c r="M165" s="31">
        <v>822</v>
      </c>
      <c r="N165" s="32">
        <f t="shared" si="89"/>
        <v>8.0157687253613663E-2</v>
      </c>
      <c r="O165" s="18">
        <f>IF(ISNUMBER(M165), $B172 * N165, "")</f>
        <v>8015.7687253613667</v>
      </c>
      <c r="Q165" s="245"/>
      <c r="R165" s="245"/>
      <c r="S165" s="245"/>
    </row>
    <row r="166" spans="1:19" ht="17.25" thickBot="1">
      <c r="A166" s="163" t="s">
        <v>234</v>
      </c>
      <c r="B166" s="128">
        <v>285</v>
      </c>
      <c r="C166" s="78">
        <v>-6.25E-2</v>
      </c>
      <c r="D166" s="20">
        <v>368</v>
      </c>
      <c r="E166" s="21">
        <f t="shared" si="86"/>
        <v>0.29122807017543861</v>
      </c>
      <c r="F166" s="22">
        <f>IF(ISNUMBER(D166), $B172 * E166, "")</f>
        <v>29122.807017543862</v>
      </c>
      <c r="G166" s="30">
        <v>515</v>
      </c>
      <c r="H166" s="21">
        <f t="shared" si="87"/>
        <v>0.80701754385964908</v>
      </c>
      <c r="I166" s="105">
        <f>IF(ISNUMBER(G166), $B172 * H166, "")</f>
        <v>80701.754385964901</v>
      </c>
      <c r="J166" s="20">
        <v>444</v>
      </c>
      <c r="K166" s="21">
        <f t="shared" si="88"/>
        <v>0.55789473684210522</v>
      </c>
      <c r="L166" s="22">
        <f>IF(ISNUMBER(J166), $B172 * K166, "")</f>
        <v>55789.473684210519</v>
      </c>
      <c r="M166" s="30">
        <v>360</v>
      </c>
      <c r="N166" s="21">
        <f t="shared" si="89"/>
        <v>0.26315789473684209</v>
      </c>
      <c r="O166" s="22">
        <f>IF(ISNUMBER(M166), $B172 * N166, "")</f>
        <v>26315.78947368421</v>
      </c>
      <c r="Q166" s="245"/>
      <c r="R166" s="245"/>
      <c r="S166" s="245"/>
    </row>
    <row r="167" spans="1:19" ht="17.25" thickBot="1">
      <c r="A167" s="162" t="s">
        <v>162</v>
      </c>
      <c r="B167" s="129">
        <v>452</v>
      </c>
      <c r="C167" s="80">
        <v>-6.8041237099999999E-2</v>
      </c>
      <c r="D167" s="106">
        <v>942</v>
      </c>
      <c r="E167" s="107">
        <f>IF(ISNUMBER(D167), (D167 - $B167) / $B167, "")</f>
        <v>1.084070796460177</v>
      </c>
      <c r="F167" s="108">
        <f>IF(ISNUMBER(D167), $B172 * E167, "")</f>
        <v>108407.07964601771</v>
      </c>
      <c r="G167" s="109">
        <v>929</v>
      </c>
      <c r="H167" s="107">
        <f>IF(ISNUMBER(G167), (G167 - $B167) / $B167, "")</f>
        <v>1.0553097345132743</v>
      </c>
      <c r="I167" s="110">
        <f>IF(ISNUMBER(G167), $B172 * H167, "")</f>
        <v>105530.97345132743</v>
      </c>
      <c r="J167" s="106">
        <v>862</v>
      </c>
      <c r="K167" s="107">
        <f>IF(ISNUMBER(J167), (J167 - $B167) / $B167, "")</f>
        <v>0.90707964601769908</v>
      </c>
      <c r="L167" s="108">
        <f>IF(ISNUMBER(J167), $B172 * K167, "")</f>
        <v>90707.964601769912</v>
      </c>
      <c r="M167" s="109">
        <v>760</v>
      </c>
      <c r="N167" s="107">
        <f>IF(ISNUMBER(M167), (M167 - $B167) / $B167, "")</f>
        <v>0.68141592920353977</v>
      </c>
      <c r="O167" s="108">
        <f>IF(ISNUMBER(M167), $B172 * N167, "")</f>
        <v>68141.592920353971</v>
      </c>
      <c r="Q167" s="235"/>
      <c r="R167" s="235"/>
      <c r="S167" s="235"/>
    </row>
    <row r="168" spans="1:19" ht="17.25" thickBot="1">
      <c r="A168" s="162" t="s">
        <v>280</v>
      </c>
      <c r="B168" s="126">
        <v>785</v>
      </c>
      <c r="C168" s="77">
        <v>-7.6470588199999995E-2</v>
      </c>
      <c r="D168" s="15">
        <v>821</v>
      </c>
      <c r="E168" s="32">
        <f t="shared" ref="E168:E171" si="90">IF(ISNUMBER(D168), (D168 - $B168) / $B168, "")</f>
        <v>4.5859872611464965E-2</v>
      </c>
      <c r="F168" s="18">
        <f>IF(ISNUMBER(D168), $B172 * E168, "")</f>
        <v>4585.9872611464962</v>
      </c>
      <c r="G168" s="31">
        <v>830</v>
      </c>
      <c r="H168" s="32">
        <f t="shared" ref="H168:H171" si="91">IF(ISNUMBER(G168), (G168 - $B168) / $B168, "")</f>
        <v>5.7324840764331211E-2</v>
      </c>
      <c r="I168" s="101">
        <f>IF(ISNUMBER(G168), $B172 * H168, "")</f>
        <v>5732.4840764331211</v>
      </c>
      <c r="J168" s="15">
        <v>830</v>
      </c>
      <c r="K168" s="32">
        <f t="shared" ref="K168:K171" si="92">IF(ISNUMBER(J168), (J168 - $B168) / $B168, "")</f>
        <v>5.7324840764331211E-2</v>
      </c>
      <c r="L168" s="18">
        <f>IF(ISNUMBER(J168), $B172 * K168, "")</f>
        <v>5732.4840764331211</v>
      </c>
      <c r="M168" s="31">
        <v>843</v>
      </c>
      <c r="N168" s="32">
        <f t="shared" ref="N168:N171" si="93">IF(ISNUMBER(M168), (M168 - $B168) / $B168, "")</f>
        <v>7.3885350318471335E-2</v>
      </c>
      <c r="O168" s="18">
        <f>IF(ISNUMBER(M168), $B172 * N168, "")</f>
        <v>7388.5350318471337</v>
      </c>
      <c r="Q168" s="235"/>
      <c r="R168" s="235"/>
      <c r="S168" s="235"/>
    </row>
    <row r="169" spans="1:19" ht="17.25" thickBot="1">
      <c r="A169" s="162" t="s">
        <v>226</v>
      </c>
      <c r="B169" s="126">
        <v>185</v>
      </c>
      <c r="C169" s="77">
        <v>-7.9601989999999997E-2</v>
      </c>
      <c r="D169" s="15">
        <v>221</v>
      </c>
      <c r="E169" s="32">
        <f t="shared" si="90"/>
        <v>0.19459459459459461</v>
      </c>
      <c r="F169" s="18">
        <f>IF(ISNUMBER(D169), $B172 * E169, "")</f>
        <v>19459.45945945946</v>
      </c>
      <c r="G169" s="31">
        <v>217</v>
      </c>
      <c r="H169" s="32">
        <f t="shared" si="91"/>
        <v>0.17297297297297298</v>
      </c>
      <c r="I169" s="101">
        <f>IF(ISNUMBER(G169), $B172 * H169, "")</f>
        <v>17297.297297297297</v>
      </c>
      <c r="J169" s="15">
        <v>219</v>
      </c>
      <c r="K169" s="32">
        <f t="shared" si="92"/>
        <v>0.18378378378378379</v>
      </c>
      <c r="L169" s="18">
        <f>IF(ISNUMBER(J169), $B172 * K169, "")</f>
        <v>18378.37837837838</v>
      </c>
      <c r="M169" s="31">
        <v>217</v>
      </c>
      <c r="N169" s="32">
        <f t="shared" si="93"/>
        <v>0.17297297297297298</v>
      </c>
      <c r="O169" s="18">
        <f>IF(ISNUMBER(M169), $B172 * N169, "")</f>
        <v>17297.297297297297</v>
      </c>
      <c r="Q169" s="235"/>
      <c r="R169" s="235"/>
      <c r="S169" s="235"/>
    </row>
    <row r="170" spans="1:19">
      <c r="A170" s="162" t="s">
        <v>174</v>
      </c>
      <c r="B170" s="126">
        <v>104</v>
      </c>
      <c r="C170" s="77">
        <v>-9.5652173899999998E-2</v>
      </c>
      <c r="D170" s="15">
        <v>122</v>
      </c>
      <c r="E170" s="32">
        <f t="shared" si="90"/>
        <v>0.17307692307692307</v>
      </c>
      <c r="F170" s="18">
        <f>IF(ISNUMBER(D170), $B172 * E170, "")</f>
        <v>17307.692307692309</v>
      </c>
      <c r="G170" s="31">
        <v>120</v>
      </c>
      <c r="H170" s="32">
        <f t="shared" si="91"/>
        <v>0.15384615384615385</v>
      </c>
      <c r="I170" s="101">
        <f>IF(ISNUMBER(G170), $B172 * H170, "")</f>
        <v>15384.615384615385</v>
      </c>
      <c r="J170" s="15">
        <v>119</v>
      </c>
      <c r="K170" s="32">
        <f t="shared" si="92"/>
        <v>0.14423076923076922</v>
      </c>
      <c r="L170" s="18">
        <f>IF(ISNUMBER(J170), $B172 * K170, "")</f>
        <v>14423.076923076922</v>
      </c>
      <c r="M170" s="31">
        <v>120</v>
      </c>
      <c r="N170" s="32">
        <f t="shared" si="93"/>
        <v>0.15384615384615385</v>
      </c>
      <c r="O170" s="18">
        <f>IF(ISNUMBER(M170), $B172 * N170, "")</f>
        <v>15384.615384615385</v>
      </c>
      <c r="Q170" s="224"/>
      <c r="R170" s="225"/>
      <c r="S170" s="226"/>
    </row>
    <row r="171" spans="1:19" ht="17.25" thickBot="1">
      <c r="A171" s="130" t="s">
        <v>246</v>
      </c>
      <c r="B171" s="131">
        <v>250</v>
      </c>
      <c r="C171" s="79">
        <v>-0.11032028469999999</v>
      </c>
      <c r="D171" s="24">
        <v>260</v>
      </c>
      <c r="E171" s="25">
        <f t="shared" si="90"/>
        <v>0.04</v>
      </c>
      <c r="F171" s="104">
        <f>IF(ISNUMBER(D171), $B172 * E171, "")</f>
        <v>4000</v>
      </c>
      <c r="G171" s="102">
        <v>257</v>
      </c>
      <c r="H171" s="25">
        <f t="shared" si="91"/>
        <v>2.8000000000000001E-2</v>
      </c>
      <c r="I171" s="103">
        <f>IF(ISNUMBER(G171), $B172 * H171, "")</f>
        <v>2800</v>
      </c>
      <c r="J171" s="24">
        <v>254</v>
      </c>
      <c r="K171" s="25">
        <f t="shared" si="92"/>
        <v>1.6E-2</v>
      </c>
      <c r="L171" s="104">
        <f>IF(ISNUMBER(J171), $B172 * K171, "")</f>
        <v>1600</v>
      </c>
      <c r="M171" s="102">
        <v>262</v>
      </c>
      <c r="N171" s="25">
        <f t="shared" si="93"/>
        <v>4.8000000000000001E-2</v>
      </c>
      <c r="O171" s="104">
        <f>IF(ISNUMBER(M171), $B172 * N171, "")</f>
        <v>4800</v>
      </c>
      <c r="Q171" s="227"/>
      <c r="R171" s="228"/>
      <c r="S171" s="229"/>
    </row>
    <row r="172" spans="1:19" ht="17.25" thickBot="1">
      <c r="A172" s="132" t="s">
        <v>300</v>
      </c>
      <c r="B172" s="288">
        <f>$B$37</f>
        <v>100000</v>
      </c>
      <c r="C172" s="289"/>
      <c r="D172" s="26" t="s">
        <v>301</v>
      </c>
      <c r="E172" s="27">
        <f>IF(COUNT(E152:E171), SUM(E152:E171) / COUNT(E152:E171), 0)</f>
        <v>0.14029380714221806</v>
      </c>
      <c r="F172" s="28">
        <f>SUM(F152:F171)</f>
        <v>280587.61428443616</v>
      </c>
      <c r="G172" s="26" t="s">
        <v>301</v>
      </c>
      <c r="H172" s="27">
        <f>IF(COUNT(H152:H171), SUM(H152:H171) / COUNT(H152:H171), 0)</f>
        <v>0.17178747576304015</v>
      </c>
      <c r="I172" s="28">
        <f>SUM(I152:I171)</f>
        <v>343574.95152608032</v>
      </c>
      <c r="J172" s="26" t="s">
        <v>301</v>
      </c>
      <c r="K172" s="27">
        <f>IF(COUNT(K152:K171), SUM(K152:K171) / COUNT(K152:K171), 0)</f>
        <v>0.13823150453356842</v>
      </c>
      <c r="L172" s="28">
        <f>SUM(L152:L171)</f>
        <v>276463.00906713679</v>
      </c>
      <c r="M172" s="26" t="s">
        <v>301</v>
      </c>
      <c r="N172" s="27">
        <f>IF(COUNT(N152:N171), SUM(N152:N171) / COUNT(N152:N171), 0)</f>
        <v>0.13270122401024573</v>
      </c>
      <c r="O172" s="28">
        <f>SUM(O152:O171)</f>
        <v>265402.4480204914</v>
      </c>
      <c r="Q172" s="230"/>
      <c r="R172" s="231"/>
      <c r="S172" s="232"/>
    </row>
    <row r="174" spans="1:19" ht="17.25" thickBot="1"/>
    <row r="175" spans="1:19" ht="17.25" thickBot="1">
      <c r="A175" s="246" t="s">
        <v>285</v>
      </c>
      <c r="B175" s="247"/>
      <c r="C175" s="247"/>
      <c r="D175" s="247"/>
      <c r="E175" s="247"/>
      <c r="F175" s="247"/>
      <c r="G175" s="247"/>
      <c r="H175" s="247"/>
      <c r="I175" s="247"/>
      <c r="J175" s="247"/>
      <c r="K175" s="247"/>
      <c r="L175" s="247"/>
      <c r="M175" s="247"/>
      <c r="N175" s="247"/>
      <c r="O175" s="248"/>
      <c r="Q175" s="245"/>
      <c r="R175" s="245"/>
      <c r="S175" s="245"/>
    </row>
    <row r="176" spans="1:19" ht="17.25" thickBot="1">
      <c r="A176" s="212" t="s">
        <v>297</v>
      </c>
      <c r="B176" s="246" t="s">
        <v>49</v>
      </c>
      <c r="C176" s="248"/>
      <c r="D176" s="246" t="s">
        <v>58</v>
      </c>
      <c r="E176" s="247"/>
      <c r="F176" s="248"/>
      <c r="G176" s="249">
        <f>_xlfn.IFNA(VLOOKUP(B176, 현재가테이블!$B$2:$D$200, 2, FALSE), "-")</f>
        <v>45335000</v>
      </c>
      <c r="H176" s="250"/>
      <c r="I176" s="251"/>
      <c r="J176" s="246" t="s">
        <v>59</v>
      </c>
      <c r="K176" s="247"/>
      <c r="L176" s="248"/>
      <c r="M176" s="252">
        <f>_xlfn.IFNA(VLOOKUP(B176, 현재가테이블!$B$2:$D$200, 3, FALSE), "-")</f>
        <v>-2.27209037E-2</v>
      </c>
      <c r="N176" s="253"/>
      <c r="O176" s="254"/>
      <c r="Q176" s="245"/>
      <c r="R176" s="245"/>
      <c r="S176" s="245"/>
    </row>
    <row r="177" spans="1:19" ht="17.25" thickBot="1">
      <c r="A177" s="290" t="s">
        <v>55</v>
      </c>
      <c r="B177" s="286" t="str">
        <f>TEXT($G$1, "[$-ko-KR]yyyy-mm-dd(ddd) ") &amp; "오전 00:00"</f>
        <v>2021-06-14(월) 오전 00:00</v>
      </c>
      <c r="C177" s="287"/>
      <c r="D177" s="259" t="str">
        <f>TEXT($G$1, "[$-ko-KR]yyyy-mm-dd(ddd) ") &amp; "오후 14:00"</f>
        <v>2021-06-14(월) 오후 14:00</v>
      </c>
      <c r="E177" s="260"/>
      <c r="F177" s="261"/>
      <c r="G177" s="259" t="str">
        <f>TEXT($G$1, "[$-ko-KR]yyyy-mm-dd(ddd) ") &amp; "오후 19:00"</f>
        <v>2021-06-14(월) 오후 19:00</v>
      </c>
      <c r="H177" s="260"/>
      <c r="I177" s="261"/>
      <c r="J177" s="259" t="str">
        <f>TEXT($G$1, "[$-ko-KR]yyyy-mm-dd(ddd) ") &amp; "오후 21:00"</f>
        <v>2021-06-14(월) 오후 21:00</v>
      </c>
      <c r="K177" s="260"/>
      <c r="L177" s="261"/>
      <c r="M177" s="259" t="str">
        <f>TEXT($G$1+1, "[$-ko-KR]yyyy-mm-dd(ddd) ") &amp; "오전 00:00"</f>
        <v>2021-06-15(화) 오전 00:00</v>
      </c>
      <c r="N177" s="260"/>
      <c r="O177" s="261"/>
      <c r="Q177" s="245"/>
      <c r="R177" s="245"/>
      <c r="S177" s="245"/>
    </row>
    <row r="178" spans="1:19" ht="17.25" thickBot="1">
      <c r="A178" s="291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213" t="s">
        <v>58</v>
      </c>
      <c r="H178" s="214" t="s">
        <v>298</v>
      </c>
      <c r="I178" s="215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5"/>
      <c r="R178" s="235"/>
      <c r="S178" s="235"/>
    </row>
    <row r="179" spans="1:19" ht="17.25" thickBot="1">
      <c r="A179" s="161" t="s">
        <v>228</v>
      </c>
      <c r="B179" s="124">
        <v>7.17</v>
      </c>
      <c r="C179" s="76">
        <v>-7.84061697E-2</v>
      </c>
      <c r="D179" s="13">
        <v>7.69</v>
      </c>
      <c r="E179" s="14">
        <f>IF(ISNUMBER(D179), (D179 - $B179) / $B179, "")</f>
        <v>7.252440725244079E-2</v>
      </c>
      <c r="F179" s="16">
        <f>IF(ISNUMBER(D179), $B199 * E179, "")</f>
        <v>7252.4407252440787</v>
      </c>
      <c r="G179" s="29">
        <v>7.84</v>
      </c>
      <c r="H179" s="14">
        <f>IF(ISNUMBER(G179), (G179 - $B179) / $B179, "")</f>
        <v>9.3444909344490928E-2</v>
      </c>
      <c r="I179" s="100">
        <f>IF(ISNUMBER(G179), $B199 * H179, "")</f>
        <v>9344.4909344490934</v>
      </c>
      <c r="J179" s="13">
        <v>7.93</v>
      </c>
      <c r="K179" s="14">
        <f>IF(ISNUMBER(J179), (J179 - $B179) / $B179, "")</f>
        <v>0.10599721059972103</v>
      </c>
      <c r="L179" s="16">
        <f>IF(ISNUMBER(J179), $B199 * K179, "")</f>
        <v>10599.721059972104</v>
      </c>
      <c r="M179" s="29">
        <v>8.17</v>
      </c>
      <c r="N179" s="14">
        <f>IF(ISNUMBER(M179), (M179 - $B179) / $B179, "")</f>
        <v>0.1394700139470014</v>
      </c>
      <c r="O179" s="16">
        <f>IF(ISNUMBER(M179), $B199 * N179, "")</f>
        <v>13947.001394700139</v>
      </c>
      <c r="Q179" s="245"/>
      <c r="R179" s="245"/>
      <c r="S179" s="245"/>
    </row>
    <row r="180" spans="1:19" ht="17.25" thickBot="1">
      <c r="A180" s="162" t="s">
        <v>226</v>
      </c>
      <c r="B180" s="126">
        <v>185</v>
      </c>
      <c r="C180" s="77">
        <v>-7.9601989999999997E-2</v>
      </c>
      <c r="D180" s="15">
        <v>221</v>
      </c>
      <c r="E180" s="32">
        <f t="shared" ref="E180:E183" si="94">IF(ISNUMBER(D180), (D180 - $B180) / $B180, "")</f>
        <v>0.19459459459459461</v>
      </c>
      <c r="F180" s="18">
        <f>IF(ISNUMBER(D180), $B199 * E180, "")</f>
        <v>19459.45945945946</v>
      </c>
      <c r="G180" s="31">
        <v>217</v>
      </c>
      <c r="H180" s="32">
        <f t="shared" ref="H180:H183" si="95">IF(ISNUMBER(G180), (G180 - $B180) / $B180, "")</f>
        <v>0.17297297297297298</v>
      </c>
      <c r="I180" s="101">
        <f>IF(ISNUMBER(G180), $B199 * H180, "")</f>
        <v>17297.297297297297</v>
      </c>
      <c r="J180" s="15">
        <v>219</v>
      </c>
      <c r="K180" s="32">
        <f t="shared" ref="K180:K183" si="96">IF(ISNUMBER(J180), (J180 - $B180) / $B180, "")</f>
        <v>0.18378378378378379</v>
      </c>
      <c r="L180" s="18">
        <f>IF(ISNUMBER(J180), $B199 * K180, "")</f>
        <v>18378.37837837838</v>
      </c>
      <c r="M180" s="31">
        <v>217</v>
      </c>
      <c r="N180" s="32">
        <f t="shared" ref="N180:N183" si="97">IF(ISNUMBER(M180), (M180 - $B180) / $B180, "")</f>
        <v>0.17297297297297298</v>
      </c>
      <c r="O180" s="18">
        <f>IF(ISNUMBER(M180), $B199 * N180, "")</f>
        <v>17297.297297297297</v>
      </c>
      <c r="Q180" s="245"/>
      <c r="R180" s="245"/>
      <c r="S180" s="245"/>
    </row>
    <row r="181" spans="1:19" ht="17.25" thickBot="1">
      <c r="A181" s="162" t="s">
        <v>222</v>
      </c>
      <c r="B181" s="126">
        <v>7.51</v>
      </c>
      <c r="C181" s="77">
        <v>-8.4146341499999999E-2</v>
      </c>
      <c r="D181" s="15">
        <v>8.1999999999999993</v>
      </c>
      <c r="E181" s="32">
        <f t="shared" si="94"/>
        <v>9.1877496671105133E-2</v>
      </c>
      <c r="F181" s="18">
        <f>IF(ISNUMBER(D181), $B199 * E181, "")</f>
        <v>9187.7496671105127</v>
      </c>
      <c r="G181" s="31">
        <v>8.1199999999999992</v>
      </c>
      <c r="H181" s="32">
        <f t="shared" si="95"/>
        <v>8.1225033288947993E-2</v>
      </c>
      <c r="I181" s="101">
        <f>IF(ISNUMBER(G181), $B199 * H181, "")</f>
        <v>8122.5033288947989</v>
      </c>
      <c r="J181" s="15">
        <v>8.0399999999999991</v>
      </c>
      <c r="K181" s="32">
        <f t="shared" si="96"/>
        <v>7.0572569906790866E-2</v>
      </c>
      <c r="L181" s="18">
        <f>IF(ISNUMBER(J181), $B199 * K181, "")</f>
        <v>7057.2569906790868</v>
      </c>
      <c r="M181" s="31">
        <v>8.4</v>
      </c>
      <c r="N181" s="32">
        <f t="shared" si="97"/>
        <v>0.11850865512649808</v>
      </c>
      <c r="O181" s="18">
        <f>IF(ISNUMBER(M181), $B199 * N181, "")</f>
        <v>11850.865512649809</v>
      </c>
      <c r="Q181" s="235"/>
      <c r="R181" s="235"/>
      <c r="S181" s="235"/>
    </row>
    <row r="182" spans="1:19" ht="17.25" thickBot="1">
      <c r="A182" s="162" t="s">
        <v>232</v>
      </c>
      <c r="B182" s="126">
        <v>77.3</v>
      </c>
      <c r="C182" s="77">
        <v>-8.5207100600000002E-2</v>
      </c>
      <c r="D182" s="15">
        <v>100</v>
      </c>
      <c r="E182" s="32">
        <f t="shared" si="94"/>
        <v>0.29366106080206988</v>
      </c>
      <c r="F182" s="18">
        <f>IF(ISNUMBER(D182), $B199 * E182, "")</f>
        <v>29366.106080206988</v>
      </c>
      <c r="G182" s="31">
        <v>98.7</v>
      </c>
      <c r="H182" s="32">
        <f t="shared" si="95"/>
        <v>0.27684346701164303</v>
      </c>
      <c r="I182" s="101">
        <f>IF(ISNUMBER(G182), $B199 * H182, "")</f>
        <v>27684.346701164304</v>
      </c>
      <c r="J182" s="15">
        <v>100</v>
      </c>
      <c r="K182" s="32">
        <f t="shared" si="96"/>
        <v>0.29366106080206988</v>
      </c>
      <c r="L182" s="18">
        <f>IF(ISNUMBER(J182), $B199 * K182, "")</f>
        <v>29366.106080206988</v>
      </c>
      <c r="M182" s="31">
        <v>94.3</v>
      </c>
      <c r="N182" s="32">
        <f t="shared" si="97"/>
        <v>0.21992238033635189</v>
      </c>
      <c r="O182" s="18">
        <f>IF(ISNUMBER(M182), $B199 * N182, "")</f>
        <v>21992.238033635189</v>
      </c>
      <c r="Q182" s="235"/>
      <c r="R182" s="235"/>
      <c r="S182" s="235"/>
    </row>
    <row r="183" spans="1:19" ht="17.25" thickBot="1">
      <c r="A183" s="163" t="s">
        <v>218</v>
      </c>
      <c r="B183" s="128">
        <v>4.8499999999999996</v>
      </c>
      <c r="C183" s="78">
        <v>-8.6629001900000002E-2</v>
      </c>
      <c r="D183" s="20">
        <v>6.81</v>
      </c>
      <c r="E183" s="21">
        <f t="shared" si="94"/>
        <v>0.40412371134020619</v>
      </c>
      <c r="F183" s="22">
        <f>IF(ISNUMBER(D183), $B199 * E183, "")</f>
        <v>40412.371134020621</v>
      </c>
      <c r="G183" s="30">
        <v>7.42</v>
      </c>
      <c r="H183" s="21">
        <f t="shared" si="95"/>
        <v>0.52989690721649496</v>
      </c>
      <c r="I183" s="105">
        <f>IF(ISNUMBER(G183), $B199 * H183, "")</f>
        <v>52989.690721649495</v>
      </c>
      <c r="J183" s="20">
        <v>6.63</v>
      </c>
      <c r="K183" s="21">
        <f t="shared" si="96"/>
        <v>0.3670103092783506</v>
      </c>
      <c r="L183" s="22">
        <f>IF(ISNUMBER(J183), $B199 * K183, "")</f>
        <v>36701.030927835061</v>
      </c>
      <c r="M183" s="30">
        <v>5.8</v>
      </c>
      <c r="N183" s="21">
        <f t="shared" si="97"/>
        <v>0.19587628865979387</v>
      </c>
      <c r="O183" s="22">
        <f>IF(ISNUMBER(M183), $B199 * N183, "")</f>
        <v>19587.628865979386</v>
      </c>
      <c r="Q183" s="235"/>
      <c r="R183" s="235"/>
      <c r="S183" s="235"/>
    </row>
    <row r="184" spans="1:19" ht="17.25" thickBot="1">
      <c r="A184" s="162" t="s">
        <v>208</v>
      </c>
      <c r="B184" s="129">
        <v>84.9</v>
      </c>
      <c r="C184" s="80">
        <v>-8.7096774200000004E-2</v>
      </c>
      <c r="D184" s="106">
        <v>125</v>
      </c>
      <c r="E184" s="107">
        <f>IF(ISNUMBER(D184), (D184 - $B184) / $B184, "")</f>
        <v>0.4723203769140164</v>
      </c>
      <c r="F184" s="108">
        <f>IF(ISNUMBER(D184), $B199 * E184, "")</f>
        <v>47232.037691401638</v>
      </c>
      <c r="G184" s="109">
        <v>131</v>
      </c>
      <c r="H184" s="107">
        <f>IF(ISNUMBER(G184), (G184 - $B184) / $B184, "")</f>
        <v>0.54299175500588914</v>
      </c>
      <c r="I184" s="110">
        <f>IF(ISNUMBER(G184), $B199 * H184, "")</f>
        <v>54299.175500588914</v>
      </c>
      <c r="J184" s="106">
        <v>112</v>
      </c>
      <c r="K184" s="107">
        <f>IF(ISNUMBER(J184), (J184 - $B184) / $B184, "")</f>
        <v>0.31919905771495871</v>
      </c>
      <c r="L184" s="108">
        <f>IF(ISNUMBER(J184), $B199 * K184, "")</f>
        <v>31919.905771495873</v>
      </c>
      <c r="M184" s="109">
        <v>97.8</v>
      </c>
      <c r="N184" s="107">
        <f>IF(ISNUMBER(M184), (M184 - $B184) / $B184, "")</f>
        <v>0.15194346289752639</v>
      </c>
      <c r="O184" s="108">
        <f>IF(ISNUMBER(M184), $B199 * N184, "")</f>
        <v>15194.346289752639</v>
      </c>
      <c r="Q184" s="235"/>
      <c r="R184" s="235"/>
      <c r="S184" s="235"/>
    </row>
    <row r="185" spans="1:19" ht="17.25" thickBot="1">
      <c r="A185" s="162" t="s">
        <v>266</v>
      </c>
      <c r="B185" s="126">
        <v>50.5</v>
      </c>
      <c r="C185" s="77">
        <v>-9.0090090100000006E-2</v>
      </c>
      <c r="D185" s="15">
        <v>51.7</v>
      </c>
      <c r="E185" s="32">
        <f t="shared" ref="E185:E188" si="98">IF(ISNUMBER(D185), (D185 - $B185) / $B185, "")</f>
        <v>2.3762376237623818E-2</v>
      </c>
      <c r="F185" s="18">
        <f>IF(ISNUMBER(D185), $B199 * E185, "")</f>
        <v>2376.2376237623816</v>
      </c>
      <c r="G185" s="31">
        <v>52.2</v>
      </c>
      <c r="H185" s="32">
        <f t="shared" ref="H185:H188" si="99">IF(ISNUMBER(G185), (G185 - $B185) / $B185, "")</f>
        <v>3.3663366336633721E-2</v>
      </c>
      <c r="I185" s="101">
        <f>IF(ISNUMBER(G185), $B199 * H185, "")</f>
        <v>3366.3366336633721</v>
      </c>
      <c r="J185" s="15">
        <v>52.3</v>
      </c>
      <c r="K185" s="32">
        <f t="shared" ref="K185:K188" si="100">IF(ISNUMBER(J185), (J185 - $B185) / $B185, "")</f>
        <v>3.5643564356435585E-2</v>
      </c>
      <c r="L185" s="18">
        <f>IF(ISNUMBER(J185), $B199 * K185, "")</f>
        <v>3564.3564356435586</v>
      </c>
      <c r="M185" s="31">
        <v>54.2</v>
      </c>
      <c r="N185" s="32">
        <f t="shared" ref="N185:N188" si="101">IF(ISNUMBER(M185), (M185 - $B185) / $B185, "")</f>
        <v>7.3267326732673319E-2</v>
      </c>
      <c r="O185" s="18">
        <f>IF(ISNUMBER(M185), $B199 * N185, "")</f>
        <v>7326.7326732673318</v>
      </c>
      <c r="Q185" s="235"/>
      <c r="R185" s="235"/>
      <c r="S185" s="235"/>
    </row>
    <row r="186" spans="1:19" ht="17.25" thickBot="1">
      <c r="A186" s="162" t="s">
        <v>230</v>
      </c>
      <c r="B186" s="126">
        <v>82.3</v>
      </c>
      <c r="C186" s="77">
        <v>-9.0607734800000006E-2</v>
      </c>
      <c r="D186" s="15">
        <v>90.4</v>
      </c>
      <c r="E186" s="32">
        <f t="shared" si="98"/>
        <v>9.8420413122721859E-2</v>
      </c>
      <c r="F186" s="18">
        <f>IF(ISNUMBER(D186), $B199 * E186, "")</f>
        <v>9842.0413122721857</v>
      </c>
      <c r="G186" s="31">
        <v>95.8</v>
      </c>
      <c r="H186" s="32">
        <f t="shared" si="99"/>
        <v>0.16403402187120292</v>
      </c>
      <c r="I186" s="101">
        <f>IF(ISNUMBER(G186), $B199 * H186, "")</f>
        <v>16403.402187120293</v>
      </c>
      <c r="J186" s="15">
        <v>91.7</v>
      </c>
      <c r="K186" s="32">
        <f t="shared" si="100"/>
        <v>0.11421628189550433</v>
      </c>
      <c r="L186" s="18">
        <f>IF(ISNUMBER(J186), $B199 * K186, "")</f>
        <v>11421.628189550433</v>
      </c>
      <c r="M186" s="31">
        <v>93.2</v>
      </c>
      <c r="N186" s="32">
        <f t="shared" si="101"/>
        <v>0.13244228432563798</v>
      </c>
      <c r="O186" s="18">
        <f>IF(ISNUMBER(M186), $B199 * N186, "")</f>
        <v>13244.228432563797</v>
      </c>
      <c r="Q186" s="235"/>
      <c r="R186" s="235"/>
      <c r="S186" s="235"/>
    </row>
    <row r="187" spans="1:19" ht="17.25" thickBot="1">
      <c r="A187" s="162" t="s">
        <v>174</v>
      </c>
      <c r="B187" s="126">
        <v>104</v>
      </c>
      <c r="C187" s="77">
        <v>-9.5652173899999998E-2</v>
      </c>
      <c r="D187" s="15">
        <v>122</v>
      </c>
      <c r="E187" s="32">
        <f t="shared" si="98"/>
        <v>0.17307692307692307</v>
      </c>
      <c r="F187" s="18">
        <f>IF(ISNUMBER(D187), $B199 * E187, "")</f>
        <v>17307.692307692309</v>
      </c>
      <c r="G187" s="31">
        <v>120</v>
      </c>
      <c r="H187" s="32">
        <f t="shared" si="99"/>
        <v>0.15384615384615385</v>
      </c>
      <c r="I187" s="101">
        <f>IF(ISNUMBER(G187), $B199 * H187, "")</f>
        <v>15384.615384615385</v>
      </c>
      <c r="J187" s="15">
        <v>119</v>
      </c>
      <c r="K187" s="32">
        <f t="shared" si="100"/>
        <v>0.14423076923076922</v>
      </c>
      <c r="L187" s="18">
        <f>IF(ISNUMBER(J187), $B199 * K187, "")</f>
        <v>14423.076923076922</v>
      </c>
      <c r="M187" s="31">
        <v>120</v>
      </c>
      <c r="N187" s="32">
        <f t="shared" si="101"/>
        <v>0.15384615384615385</v>
      </c>
      <c r="O187" s="18">
        <f>IF(ISNUMBER(M187), $B199 * N187, "")</f>
        <v>15384.615384615385</v>
      </c>
      <c r="Q187" s="33"/>
      <c r="R187" s="33"/>
    </row>
    <row r="188" spans="1:19" ht="17.25" thickBot="1">
      <c r="A188" s="130" t="s">
        <v>202</v>
      </c>
      <c r="B188" s="131">
        <v>81</v>
      </c>
      <c r="C188" s="79">
        <v>-9.5982142899999998E-2</v>
      </c>
      <c r="D188" s="24">
        <v>89</v>
      </c>
      <c r="E188" s="25">
        <f t="shared" si="98"/>
        <v>9.8765432098765427E-2</v>
      </c>
      <c r="F188" s="104">
        <f>IF(ISNUMBER(D188), $B199 * E188, "")</f>
        <v>9876.5432098765432</v>
      </c>
      <c r="G188" s="102">
        <v>89.6</v>
      </c>
      <c r="H188" s="25">
        <f t="shared" si="99"/>
        <v>0.10617283950617278</v>
      </c>
      <c r="I188" s="103">
        <f>IF(ISNUMBER(G188), $B199 * H188, "")</f>
        <v>10617.283950617277</v>
      </c>
      <c r="J188" s="24">
        <v>88.8</v>
      </c>
      <c r="K188" s="25">
        <f t="shared" si="100"/>
        <v>9.6296296296296255E-2</v>
      </c>
      <c r="L188" s="104">
        <f>IF(ISNUMBER(J188), $B199 * K188, "")</f>
        <v>9629.6296296296259</v>
      </c>
      <c r="M188" s="102">
        <v>91.1</v>
      </c>
      <c r="N188" s="25">
        <f t="shared" si="101"/>
        <v>0.12469135802469129</v>
      </c>
      <c r="O188" s="104">
        <f>IF(ISNUMBER(M188), $B199 * N188, "")</f>
        <v>12469.135802469129</v>
      </c>
      <c r="Q188" s="236"/>
      <c r="R188" s="237"/>
      <c r="S188" s="238"/>
    </row>
    <row r="189" spans="1:19">
      <c r="A189" s="161" t="s">
        <v>264</v>
      </c>
      <c r="B189" s="124">
        <v>72</v>
      </c>
      <c r="C189" s="76">
        <v>-0.1089108911</v>
      </c>
      <c r="D189" s="13">
        <v>73.099999999999994</v>
      </c>
      <c r="E189" s="14">
        <f>IF(ISNUMBER(D189), (D189 - $B189) / $B189, "")</f>
        <v>1.5277777777777699E-2</v>
      </c>
      <c r="F189" s="16">
        <f>IF(ISNUMBER(D189), $B199 * E189, "")</f>
        <v>1527.7777777777699</v>
      </c>
      <c r="G189" s="29">
        <v>74.099999999999994</v>
      </c>
      <c r="H189" s="14">
        <f>IF(ISNUMBER(G189), (G189 - $B189) / $B189, "")</f>
        <v>2.9166666666666587E-2</v>
      </c>
      <c r="I189" s="100">
        <f>IF(ISNUMBER(G189), $B199 * H189, "")</f>
        <v>2916.6666666666588</v>
      </c>
      <c r="J189" s="13">
        <v>73.7</v>
      </c>
      <c r="K189" s="14">
        <f>IF(ISNUMBER(J189), (J189 - $B189) / $B189, "")</f>
        <v>2.3611111111111152E-2</v>
      </c>
      <c r="L189" s="16">
        <f>IF(ISNUMBER(J189), $B199 * K189, "")</f>
        <v>2361.1111111111154</v>
      </c>
      <c r="M189" s="29">
        <v>75.8</v>
      </c>
      <c r="N189" s="14">
        <f>IF(ISNUMBER(M189), (M189 - $B189) / $B189, "")</f>
        <v>5.2777777777777736E-2</v>
      </c>
      <c r="O189" s="16">
        <f>IF(ISNUMBER(M189), $B199 * N189, "")</f>
        <v>5277.7777777777737</v>
      </c>
      <c r="Q189" s="239"/>
      <c r="R189" s="240"/>
      <c r="S189" s="241"/>
    </row>
    <row r="190" spans="1:19" ht="17.25" thickBot="1">
      <c r="A190" s="162" t="s">
        <v>246</v>
      </c>
      <c r="B190" s="126">
        <v>250</v>
      </c>
      <c r="C190" s="77">
        <v>-0.11032028469999999</v>
      </c>
      <c r="D190" s="15">
        <v>260</v>
      </c>
      <c r="E190" s="32">
        <f t="shared" ref="E190:E193" si="102">IF(ISNUMBER(D190), (D190 - $B190) / $B190, "")</f>
        <v>0.04</v>
      </c>
      <c r="F190" s="18">
        <f>IF(ISNUMBER(D190), $B199 * E190, "")</f>
        <v>4000</v>
      </c>
      <c r="G190" s="31">
        <v>257</v>
      </c>
      <c r="H190" s="32">
        <f t="shared" ref="H190:H193" si="103">IF(ISNUMBER(G190), (G190 - $B190) / $B190, "")</f>
        <v>2.8000000000000001E-2</v>
      </c>
      <c r="I190" s="101">
        <f>IF(ISNUMBER(G190), $B199 * H190, "")</f>
        <v>2800</v>
      </c>
      <c r="J190" s="15">
        <v>254</v>
      </c>
      <c r="K190" s="32">
        <f t="shared" ref="K190:K193" si="104">IF(ISNUMBER(J190), (J190 - $B190) / $B190, "")</f>
        <v>1.6E-2</v>
      </c>
      <c r="L190" s="18">
        <f>IF(ISNUMBER(J190), $B199 * K190, "")</f>
        <v>1600</v>
      </c>
      <c r="M190" s="31">
        <v>262</v>
      </c>
      <c r="N190" s="32">
        <f t="shared" ref="N190:N193" si="105">IF(ISNUMBER(M190), (M190 - $B190) / $B190, "")</f>
        <v>4.8000000000000001E-2</v>
      </c>
      <c r="O190" s="18">
        <f>IF(ISNUMBER(M190), $B199 * N190, "")</f>
        <v>4800</v>
      </c>
      <c r="Q190" s="242"/>
      <c r="R190" s="243"/>
      <c r="S190" s="244"/>
    </row>
    <row r="191" spans="1:19" ht="17.25" thickBot="1">
      <c r="A191" s="162" t="s">
        <v>214</v>
      </c>
      <c r="B191" s="126">
        <v>8.2200000000000006</v>
      </c>
      <c r="C191" s="77">
        <v>-0.1103896104</v>
      </c>
      <c r="D191" s="15">
        <v>8.9700000000000006</v>
      </c>
      <c r="E191" s="32">
        <f t="shared" si="102"/>
        <v>9.1240875912408759E-2</v>
      </c>
      <c r="F191" s="18">
        <f>IF(ISNUMBER(D191), $B199 * E191, "")</f>
        <v>9124.0875912408756</v>
      </c>
      <c r="G191" s="31">
        <v>9.1</v>
      </c>
      <c r="H191" s="32">
        <f t="shared" si="103"/>
        <v>0.10705596107055948</v>
      </c>
      <c r="I191" s="101">
        <f>IF(ISNUMBER(G191), $B199 * H191, "")</f>
        <v>10705.596107055948</v>
      </c>
      <c r="J191" s="15">
        <v>9.06</v>
      </c>
      <c r="K191" s="32">
        <f t="shared" si="104"/>
        <v>0.10218978102189778</v>
      </c>
      <c r="L191" s="18">
        <f>IF(ISNUMBER(J191), $B199 * K191, "")</f>
        <v>10218.978102189778</v>
      </c>
      <c r="M191" s="31">
        <v>9.9700000000000006</v>
      </c>
      <c r="N191" s="32">
        <f t="shared" si="105"/>
        <v>0.21289537712895376</v>
      </c>
      <c r="O191" s="18">
        <f>IF(ISNUMBER(M191), $B199 * N191, "")</f>
        <v>21289.537712895377</v>
      </c>
      <c r="Q191" s="235"/>
      <c r="R191" s="235"/>
      <c r="S191" s="235"/>
    </row>
    <row r="192" spans="1:19" ht="17.25" thickBot="1">
      <c r="A192" s="162" t="s">
        <v>210</v>
      </c>
      <c r="B192" s="126">
        <v>75</v>
      </c>
      <c r="C192" s="77">
        <v>-0.11242603549999999</v>
      </c>
      <c r="D192" s="15">
        <v>85.2</v>
      </c>
      <c r="E192" s="32">
        <f t="shared" si="102"/>
        <v>0.13600000000000004</v>
      </c>
      <c r="F192" s="18">
        <f>IF(ISNUMBER(D192), $B199 * E192, "")</f>
        <v>13600.000000000004</v>
      </c>
      <c r="G192" s="31">
        <v>86.2</v>
      </c>
      <c r="H192" s="32">
        <f t="shared" si="103"/>
        <v>0.14933333333333337</v>
      </c>
      <c r="I192" s="101">
        <f>IF(ISNUMBER(G192), $B199 * H192, "")</f>
        <v>14933.333333333338</v>
      </c>
      <c r="J192" s="15">
        <v>83.6</v>
      </c>
      <c r="K192" s="32">
        <f t="shared" si="104"/>
        <v>0.1146666666666666</v>
      </c>
      <c r="L192" s="18">
        <f>IF(ISNUMBER(J192), $B199 * K192, "")</f>
        <v>11466.666666666661</v>
      </c>
      <c r="M192" s="31">
        <v>86.5</v>
      </c>
      <c r="N192" s="32">
        <f t="shared" si="105"/>
        <v>0.15333333333333332</v>
      </c>
      <c r="O192" s="18">
        <f>IF(ISNUMBER(M192), $B199 * N192, "")</f>
        <v>15333.333333333332</v>
      </c>
      <c r="Q192" s="245"/>
      <c r="R192" s="245"/>
      <c r="S192" s="245"/>
    </row>
    <row r="193" spans="1:19" ht="17.25" thickBot="1">
      <c r="A193" s="163" t="s">
        <v>154</v>
      </c>
      <c r="B193" s="128">
        <v>7.54</v>
      </c>
      <c r="C193" s="78">
        <v>-0.12325581400000001</v>
      </c>
      <c r="D193" s="20">
        <v>8.4</v>
      </c>
      <c r="E193" s="21">
        <f t="shared" si="102"/>
        <v>0.11405835543766582</v>
      </c>
      <c r="F193" s="22">
        <f>IF(ISNUMBER(D193), $B199 * E193, "")</f>
        <v>11405.835543766581</v>
      </c>
      <c r="G193" s="30">
        <v>8.3699999999999992</v>
      </c>
      <c r="H193" s="21">
        <f t="shared" si="103"/>
        <v>0.11007957559681687</v>
      </c>
      <c r="I193" s="105">
        <f>IF(ISNUMBER(G193), $B199 * H193, "")</f>
        <v>11007.957559681687</v>
      </c>
      <c r="J193" s="20">
        <v>8.2799999999999994</v>
      </c>
      <c r="K193" s="21">
        <f t="shared" si="104"/>
        <v>9.8143236074270473E-2</v>
      </c>
      <c r="L193" s="22">
        <f>IF(ISNUMBER(J193), $B199 * K193, "")</f>
        <v>9814.323607427048</v>
      </c>
      <c r="M193" s="30">
        <v>8.76</v>
      </c>
      <c r="N193" s="21">
        <f t="shared" si="105"/>
        <v>0.16180371352785142</v>
      </c>
      <c r="O193" s="22">
        <f>IF(ISNUMBER(M193), $B199 * N193, "")</f>
        <v>16180.371352785141</v>
      </c>
      <c r="Q193" s="245"/>
      <c r="R193" s="245"/>
      <c r="S193" s="245"/>
    </row>
    <row r="194" spans="1:19" ht="17.25" thickBot="1">
      <c r="A194" s="162" t="s">
        <v>172</v>
      </c>
      <c r="B194" s="129">
        <v>4.4400000000000004</v>
      </c>
      <c r="C194" s="80">
        <v>-0.14285714290000001</v>
      </c>
      <c r="D194" s="106">
        <v>5.55</v>
      </c>
      <c r="E194" s="107">
        <f>IF(ISNUMBER(D194), (D194 - $B194) / $B194, "")</f>
        <v>0.24999999999999986</v>
      </c>
      <c r="F194" s="108">
        <f>IF(ISNUMBER(D194), $B199 * E194, "")</f>
        <v>24999.999999999985</v>
      </c>
      <c r="G194" s="109">
        <v>6.27</v>
      </c>
      <c r="H194" s="107">
        <f>IF(ISNUMBER(G194), (G194 - $B194) / $B194, "")</f>
        <v>0.41216216216216195</v>
      </c>
      <c r="I194" s="110">
        <f>IF(ISNUMBER(G194), $B199 * H194, "")</f>
        <v>41216.216216216199</v>
      </c>
      <c r="J194" s="106">
        <v>5.45</v>
      </c>
      <c r="K194" s="107">
        <f>IF(ISNUMBER(J194), (J194 - $B194) / $B194, "")</f>
        <v>0.2274774774774774</v>
      </c>
      <c r="L194" s="108">
        <f>IF(ISNUMBER(J194), $B199 * K194, "")</f>
        <v>22747.747747747741</v>
      </c>
      <c r="M194" s="109">
        <v>4.79</v>
      </c>
      <c r="N194" s="107">
        <f>IF(ISNUMBER(M194), (M194 - $B194) / $B194, "")</f>
        <v>7.8828828828828745E-2</v>
      </c>
      <c r="O194" s="108">
        <f>IF(ISNUMBER(M194), $B199 * N194, "")</f>
        <v>7882.8828828828746</v>
      </c>
      <c r="Q194" s="235"/>
      <c r="R194" s="235"/>
      <c r="S194" s="235"/>
    </row>
    <row r="195" spans="1:19" ht="17.25" thickBot="1">
      <c r="A195" s="162" t="s">
        <v>122</v>
      </c>
      <c r="B195" s="126">
        <v>20.8</v>
      </c>
      <c r="C195" s="77">
        <v>-0.15102040820000001</v>
      </c>
      <c r="D195" s="15">
        <v>27.7</v>
      </c>
      <c r="E195" s="32">
        <f t="shared" ref="E195:E198" si="106">IF(ISNUMBER(D195), (D195 - $B195) / $B195, "")</f>
        <v>0.33173076923076916</v>
      </c>
      <c r="F195" s="18">
        <f>IF(ISNUMBER(D195), $B199 * E195, "")</f>
        <v>33173.076923076915</v>
      </c>
      <c r="G195" s="31">
        <v>30.8</v>
      </c>
      <c r="H195" s="32">
        <f t="shared" ref="H195:H198" si="107">IF(ISNUMBER(G195), (G195 - $B195) / $B195, "")</f>
        <v>0.48076923076923073</v>
      </c>
      <c r="I195" s="101">
        <f>IF(ISNUMBER(G195), $B199 * H195, "")</f>
        <v>48076.923076923071</v>
      </c>
      <c r="J195" s="15">
        <v>25.6</v>
      </c>
      <c r="K195" s="32">
        <f t="shared" ref="K195:K198" si="108">IF(ISNUMBER(J195), (J195 - $B195) / $B195, "")</f>
        <v>0.23076923076923078</v>
      </c>
      <c r="L195" s="18">
        <f>IF(ISNUMBER(J195), $B199 * K195, "")</f>
        <v>23076.923076923078</v>
      </c>
      <c r="M195" s="31">
        <v>22.5</v>
      </c>
      <c r="N195" s="32">
        <f t="shared" ref="N195:N198" si="109">IF(ISNUMBER(M195), (M195 - $B195) / $B195, "")</f>
        <v>8.173076923076919E-2</v>
      </c>
      <c r="O195" s="18">
        <f>IF(ISNUMBER(M195), $B199 * N195, "")</f>
        <v>8173.0769230769192</v>
      </c>
      <c r="Q195" s="235"/>
      <c r="R195" s="235"/>
      <c r="S195" s="235"/>
    </row>
    <row r="196" spans="1:19" ht="17.25" thickBot="1">
      <c r="A196" s="162" t="s">
        <v>254</v>
      </c>
      <c r="B196" s="126">
        <v>17.899999999999999</v>
      </c>
      <c r="C196" s="77">
        <v>-0.15165876780000001</v>
      </c>
      <c r="D196" s="15">
        <v>25.2</v>
      </c>
      <c r="E196" s="32">
        <f t="shared" si="106"/>
        <v>0.4078212290502794</v>
      </c>
      <c r="F196" s="18">
        <f>IF(ISNUMBER(D196), $B199 * E196, "")</f>
        <v>40782.122905027943</v>
      </c>
      <c r="G196" s="31">
        <v>26.4</v>
      </c>
      <c r="H196" s="32">
        <f t="shared" si="107"/>
        <v>0.47486033519553078</v>
      </c>
      <c r="I196" s="101">
        <f>IF(ISNUMBER(G196), $B199 * H196, "")</f>
        <v>47486.033519553079</v>
      </c>
      <c r="J196" s="15">
        <v>22.9</v>
      </c>
      <c r="K196" s="32">
        <f t="shared" si="108"/>
        <v>0.27932960893854752</v>
      </c>
      <c r="L196" s="18">
        <f>IF(ISNUMBER(J196), $B199 * K196, "")</f>
        <v>27932.960893854754</v>
      </c>
      <c r="M196" s="31">
        <v>20.6</v>
      </c>
      <c r="N196" s="32">
        <f t="shared" si="109"/>
        <v>0.15083798882681582</v>
      </c>
      <c r="O196" s="18">
        <f>IF(ISNUMBER(M196), $B199 * N196, "")</f>
        <v>15083.798882681582</v>
      </c>
      <c r="Q196" s="235"/>
      <c r="R196" s="235"/>
      <c r="S196" s="235"/>
    </row>
    <row r="197" spans="1:19">
      <c r="A197" s="162" t="s">
        <v>252</v>
      </c>
      <c r="B197" s="126">
        <v>89.9</v>
      </c>
      <c r="C197" s="77">
        <v>-0.15188679250000001</v>
      </c>
      <c r="D197" s="15">
        <v>119</v>
      </c>
      <c r="E197" s="32">
        <f t="shared" si="106"/>
        <v>0.32369299221357056</v>
      </c>
      <c r="F197" s="18">
        <f>IF(ISNUMBER(D197), $B199 * E197, "")</f>
        <v>32369.299221357058</v>
      </c>
      <c r="G197" s="31">
        <v>133</v>
      </c>
      <c r="H197" s="32">
        <f t="shared" si="107"/>
        <v>0.47942157953281417</v>
      </c>
      <c r="I197" s="101">
        <f>IF(ISNUMBER(G197), $B199 * H197, "")</f>
        <v>47942.157953281414</v>
      </c>
      <c r="J197" s="15">
        <v>114</v>
      </c>
      <c r="K197" s="32">
        <f t="shared" si="108"/>
        <v>0.26807563959955499</v>
      </c>
      <c r="L197" s="18">
        <f>IF(ISNUMBER(J197), $B199 * K197, "")</f>
        <v>26807.5639599555</v>
      </c>
      <c r="M197" s="31">
        <v>102</v>
      </c>
      <c r="N197" s="32">
        <f t="shared" si="109"/>
        <v>0.13459399332591762</v>
      </c>
      <c r="O197" s="18">
        <f>IF(ISNUMBER(M197), $B199 * N197, "")</f>
        <v>13459.399332591762</v>
      </c>
      <c r="Q197" s="224"/>
      <c r="R197" s="225"/>
      <c r="S197" s="226"/>
    </row>
    <row r="198" spans="1:19" ht="17.25" thickBot="1">
      <c r="A198" s="130" t="s">
        <v>236</v>
      </c>
      <c r="B198" s="131">
        <v>16.899999999999999</v>
      </c>
      <c r="C198" s="79">
        <v>-0.1633663366</v>
      </c>
      <c r="D198" s="24">
        <v>22</v>
      </c>
      <c r="E198" s="25">
        <f t="shared" si="106"/>
        <v>0.30177514792899418</v>
      </c>
      <c r="F198" s="104">
        <f>IF(ISNUMBER(D198), $B199 * E198, "")</f>
        <v>30177.514792899419</v>
      </c>
      <c r="G198" s="102">
        <v>24.1</v>
      </c>
      <c r="H198" s="25">
        <f t="shared" si="107"/>
        <v>0.42603550295858006</v>
      </c>
      <c r="I198" s="103">
        <f>IF(ISNUMBER(G198), $B199 * H198, "")</f>
        <v>42603.550295858004</v>
      </c>
      <c r="J198" s="24">
        <v>20.8</v>
      </c>
      <c r="K198" s="25">
        <f t="shared" si="108"/>
        <v>0.23076923076923092</v>
      </c>
      <c r="L198" s="104">
        <f>IF(ISNUMBER(J198), $B199 * K198, "")</f>
        <v>23076.923076923093</v>
      </c>
      <c r="M198" s="102">
        <v>18.600000000000001</v>
      </c>
      <c r="N198" s="25">
        <f t="shared" si="109"/>
        <v>0.10059171597633154</v>
      </c>
      <c r="O198" s="104">
        <f>IF(ISNUMBER(M198), $B199 * N198, "")</f>
        <v>10059.171597633154</v>
      </c>
      <c r="Q198" s="227"/>
      <c r="R198" s="228"/>
      <c r="S198" s="229"/>
    </row>
    <row r="199" spans="1:19" ht="17.25" thickBot="1">
      <c r="A199" s="132" t="s">
        <v>300</v>
      </c>
      <c r="B199" s="288">
        <f>$B$37</f>
        <v>100000</v>
      </c>
      <c r="C199" s="289"/>
      <c r="D199" s="26" t="s">
        <v>301</v>
      </c>
      <c r="E199" s="27">
        <f>IF(COUNT(E179:E198), SUM(E179:E198) / COUNT(E179:E198), 0)</f>
        <v>0.19673619698309666</v>
      </c>
      <c r="F199" s="28">
        <f>SUM(F179:F198)</f>
        <v>393472.39396619331</v>
      </c>
      <c r="G199" s="26" t="s">
        <v>301</v>
      </c>
      <c r="H199" s="27">
        <f>IF(COUNT(H179:H198), SUM(H179:H198) / COUNT(H179:H198), 0)</f>
        <v>0.24259878868431484</v>
      </c>
      <c r="I199" s="28">
        <f>SUM(I179:I198)</f>
        <v>485197.57736862963</v>
      </c>
      <c r="J199" s="26" t="s">
        <v>301</v>
      </c>
      <c r="K199" s="27">
        <f>IF(COUNT(K179:K198), SUM(K179:K198) / COUNT(K179:K198), 0)</f>
        <v>0.16608214431463342</v>
      </c>
      <c r="L199" s="28">
        <f>SUM(L179:L198)</f>
        <v>332164.28862926678</v>
      </c>
      <c r="M199" s="26" t="s">
        <v>301</v>
      </c>
      <c r="N199" s="27">
        <f>IF(COUNT(N179:N198), SUM(N179:N198) / COUNT(N179:N198), 0)</f>
        <v>0.13291671974129401</v>
      </c>
      <c r="O199" s="28">
        <f>SUM(O179:O198)</f>
        <v>265833.43948258803</v>
      </c>
      <c r="Q199" s="230"/>
      <c r="R199" s="231"/>
      <c r="S199" s="232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92D07E-3505-45DC-9A1E-A2E31E124D00}">
  <sheetPr codeName="Sheet21"/>
  <dimension ref="A1:S199"/>
  <sheetViews>
    <sheetView topLeftCell="A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6" t="s">
        <v>0</v>
      </c>
      <c r="B1" s="247"/>
      <c r="C1" s="247"/>
      <c r="D1" s="247"/>
      <c r="E1" s="247"/>
      <c r="F1" s="248"/>
      <c r="G1" s="277">
        <v>44362</v>
      </c>
      <c r="H1" s="278"/>
      <c r="I1" s="279"/>
      <c r="J1" s="246" t="s">
        <v>1</v>
      </c>
      <c r="K1" s="247"/>
      <c r="L1" s="247"/>
      <c r="M1" s="247"/>
      <c r="N1" s="247"/>
      <c r="O1" s="248"/>
      <c r="Q1" s="246" t="s">
        <v>2</v>
      </c>
      <c r="R1" s="248"/>
    </row>
    <row r="2" spans="1:19" ht="17.25" customHeight="1">
      <c r="A2" s="117" t="s">
        <v>3</v>
      </c>
      <c r="B2" s="280" t="s">
        <v>8</v>
      </c>
      <c r="C2" s="281"/>
      <c r="D2" s="281"/>
      <c r="E2" s="281"/>
      <c r="F2" s="282"/>
      <c r="G2" s="274" t="s">
        <v>46</v>
      </c>
      <c r="H2" s="275"/>
      <c r="I2" s="276"/>
      <c r="J2" s="1" t="s">
        <v>3</v>
      </c>
      <c r="K2" s="280" t="s">
        <v>350</v>
      </c>
      <c r="L2" s="281"/>
      <c r="M2" s="281"/>
      <c r="N2" s="281"/>
      <c r="O2" s="282"/>
      <c r="Q2" s="2" t="s">
        <v>6</v>
      </c>
      <c r="R2" s="3">
        <v>0.375</v>
      </c>
    </row>
    <row r="3" spans="1:19" ht="17.25" customHeight="1" thickBot="1">
      <c r="A3" s="118" t="s">
        <v>7</v>
      </c>
      <c r="B3" s="271" t="s">
        <v>358</v>
      </c>
      <c r="C3" s="272"/>
      <c r="D3" s="272"/>
      <c r="E3" s="272"/>
      <c r="F3" s="273"/>
      <c r="G3" s="26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66,059 KRW (3.30%)</v>
      </c>
      <c r="H3" s="268"/>
      <c r="I3" s="269"/>
      <c r="J3" s="4" t="s">
        <v>7</v>
      </c>
      <c r="K3" s="271" t="s">
        <v>351</v>
      </c>
      <c r="L3" s="272"/>
      <c r="M3" s="272"/>
      <c r="N3" s="272"/>
      <c r="O3" s="27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1" t="s">
        <v>16</v>
      </c>
      <c r="C4" s="272"/>
      <c r="D4" s="272"/>
      <c r="E4" s="272"/>
      <c r="F4" s="273"/>
      <c r="G4" s="274" t="s">
        <v>44</v>
      </c>
      <c r="H4" s="275"/>
      <c r="I4" s="276"/>
      <c r="J4" s="4" t="s">
        <v>11</v>
      </c>
      <c r="K4" s="271" t="s">
        <v>352</v>
      </c>
      <c r="L4" s="272"/>
      <c r="M4" s="272"/>
      <c r="N4" s="272"/>
      <c r="O4" s="27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1" t="s">
        <v>349</v>
      </c>
      <c r="C5" s="272"/>
      <c r="D5" s="272"/>
      <c r="E5" s="272"/>
      <c r="F5" s="273"/>
      <c r="G5" s="26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92,008 KRW (4.60%)</v>
      </c>
      <c r="H5" s="268"/>
      <c r="I5" s="269"/>
      <c r="J5" s="4" t="s">
        <v>15</v>
      </c>
      <c r="K5" s="271" t="s">
        <v>353</v>
      </c>
      <c r="L5" s="272"/>
      <c r="M5" s="272"/>
      <c r="N5" s="272"/>
      <c r="O5" s="273"/>
    </row>
    <row r="6" spans="1:19">
      <c r="A6" s="118" t="s">
        <v>18</v>
      </c>
      <c r="B6" s="271"/>
      <c r="C6" s="272"/>
      <c r="D6" s="272"/>
      <c r="E6" s="272"/>
      <c r="F6" s="273"/>
      <c r="G6" s="274" t="s">
        <v>45</v>
      </c>
      <c r="H6" s="275"/>
      <c r="I6" s="276"/>
      <c r="J6" s="4" t="s">
        <v>18</v>
      </c>
      <c r="K6" s="271" t="s">
        <v>354</v>
      </c>
      <c r="L6" s="272"/>
      <c r="M6" s="272"/>
      <c r="N6" s="272"/>
      <c r="O6" s="273"/>
    </row>
    <row r="7" spans="1:19" ht="17.25" thickBot="1">
      <c r="A7" s="118" t="s">
        <v>21</v>
      </c>
      <c r="B7" s="271"/>
      <c r="C7" s="272"/>
      <c r="D7" s="272"/>
      <c r="E7" s="272"/>
      <c r="F7" s="273"/>
      <c r="G7" s="26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382 KRW (0.02%)</v>
      </c>
      <c r="H7" s="268"/>
      <c r="I7" s="269"/>
      <c r="J7" s="4" t="s">
        <v>21</v>
      </c>
      <c r="K7" s="271" t="s">
        <v>355</v>
      </c>
      <c r="L7" s="272"/>
      <c r="M7" s="272"/>
      <c r="N7" s="272"/>
      <c r="O7" s="273"/>
    </row>
    <row r="8" spans="1:19" ht="17.25" thickBot="1">
      <c r="A8" s="118" t="s">
        <v>24</v>
      </c>
      <c r="B8" s="271"/>
      <c r="C8" s="272"/>
      <c r="D8" s="272"/>
      <c r="E8" s="272"/>
      <c r="F8" s="273"/>
      <c r="G8" s="274" t="s">
        <v>285</v>
      </c>
      <c r="H8" s="275"/>
      <c r="I8" s="276"/>
      <c r="J8" s="4" t="s">
        <v>24</v>
      </c>
      <c r="K8" s="271"/>
      <c r="L8" s="272"/>
      <c r="M8" s="272"/>
      <c r="N8" s="272"/>
      <c r="O8" s="273"/>
      <c r="Q8" s="246" t="s">
        <v>27</v>
      </c>
      <c r="R8" s="248"/>
    </row>
    <row r="9" spans="1:19" ht="17.25" thickBot="1">
      <c r="A9" s="118" t="s">
        <v>28</v>
      </c>
      <c r="B9" s="271"/>
      <c r="C9" s="272"/>
      <c r="D9" s="272"/>
      <c r="E9" s="272"/>
      <c r="F9" s="273"/>
      <c r="G9" s="26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-11,662 KRW (-0.58%)</v>
      </c>
      <c r="H9" s="268"/>
      <c r="I9" s="269"/>
      <c r="J9" s="4" t="s">
        <v>28</v>
      </c>
      <c r="K9" s="271"/>
      <c r="L9" s="272"/>
      <c r="M9" s="272"/>
      <c r="N9" s="272"/>
      <c r="O9" s="273"/>
      <c r="Q9" s="2" t="s">
        <v>29</v>
      </c>
      <c r="R9" s="6">
        <v>10</v>
      </c>
    </row>
    <row r="10" spans="1:19">
      <c r="A10" s="118" t="s">
        <v>30</v>
      </c>
      <c r="B10" s="271"/>
      <c r="C10" s="272"/>
      <c r="D10" s="272"/>
      <c r="E10" s="272"/>
      <c r="F10" s="273"/>
      <c r="G10" s="274" t="s">
        <v>47</v>
      </c>
      <c r="H10" s="275"/>
      <c r="I10" s="276"/>
      <c r="J10" s="4" t="s">
        <v>30</v>
      </c>
      <c r="K10" s="271" t="s">
        <v>356</v>
      </c>
      <c r="L10" s="272"/>
      <c r="M10" s="272"/>
      <c r="N10" s="272"/>
      <c r="O10" s="273"/>
      <c r="Q10" s="2" t="s">
        <v>31</v>
      </c>
      <c r="R10" s="6">
        <v>100</v>
      </c>
    </row>
    <row r="11" spans="1:19" ht="17.25" thickBot="1">
      <c r="A11" s="119" t="s">
        <v>32</v>
      </c>
      <c r="B11" s="264" t="s">
        <v>357</v>
      </c>
      <c r="C11" s="265"/>
      <c r="D11" s="265"/>
      <c r="E11" s="265"/>
      <c r="F11" s="266"/>
      <c r="G11" s="26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-6,578 KRW (-0.44%)</v>
      </c>
      <c r="H11" s="268"/>
      <c r="I11" s="269"/>
      <c r="J11" s="7" t="s">
        <v>32</v>
      </c>
      <c r="K11" s="264" t="s">
        <v>348</v>
      </c>
      <c r="L11" s="265"/>
      <c r="M11" s="265"/>
      <c r="N11" s="265"/>
      <c r="O11" s="266"/>
      <c r="Q11" s="65" t="s">
        <v>33</v>
      </c>
      <c r="R11" s="8">
        <v>1000</v>
      </c>
    </row>
    <row r="12" spans="1:19" ht="17.25" thickBot="1"/>
    <row r="13" spans="1:19" ht="17.25" customHeight="1" thickBot="1">
      <c r="A13" s="246" t="s">
        <v>34</v>
      </c>
      <c r="B13" s="247"/>
      <c r="C13" s="247"/>
      <c r="D13" s="247"/>
      <c r="E13" s="247"/>
      <c r="F13" s="247"/>
      <c r="G13" s="247"/>
      <c r="H13" s="247"/>
      <c r="I13" s="247"/>
      <c r="J13" s="247"/>
      <c r="K13" s="247"/>
      <c r="L13" s="247"/>
      <c r="M13" s="247"/>
      <c r="N13" s="247"/>
      <c r="O13" s="248"/>
      <c r="Q13" s="245"/>
      <c r="R13" s="245"/>
      <c r="S13" s="245"/>
    </row>
    <row r="14" spans="1:19" ht="17.25" customHeight="1" thickBot="1">
      <c r="A14" s="216" t="s">
        <v>35</v>
      </c>
      <c r="B14" s="246" t="s">
        <v>36</v>
      </c>
      <c r="C14" s="248"/>
      <c r="D14" s="246" t="s">
        <v>37</v>
      </c>
      <c r="E14" s="247"/>
      <c r="F14" s="248"/>
      <c r="G14" s="249">
        <f>_xlfn.IFNA(VLOOKUP(B14, 현재가테이블!$B$2:$D$200, 2, FALSE), "-")</f>
        <v>45335000</v>
      </c>
      <c r="H14" s="250"/>
      <c r="I14" s="251"/>
      <c r="J14" s="246" t="s">
        <v>38</v>
      </c>
      <c r="K14" s="247"/>
      <c r="L14" s="248"/>
      <c r="M14" s="252">
        <f>_xlfn.IFNA(VLOOKUP(B14, 현재가테이블!$B$2:$D$200, 3, FALSE), "-")</f>
        <v>-2.27209037E-2</v>
      </c>
      <c r="N14" s="253"/>
      <c r="O14" s="254"/>
      <c r="Q14" s="245"/>
      <c r="R14" s="245"/>
      <c r="S14" s="245"/>
    </row>
    <row r="15" spans="1:19" ht="17.25" customHeight="1" thickBot="1">
      <c r="A15" s="283" t="s">
        <v>39</v>
      </c>
      <c r="B15" s="284" t="str">
        <f>TEXT($G$1, "[$-ko-KR]yyyy-mm-dd(ddd) ") &amp; "오전 00:00"</f>
        <v>2021-06-15(화) 오전 00:00</v>
      </c>
      <c r="C15" s="285"/>
      <c r="D15" s="259" t="str">
        <f>TEXT($G$1, "[$-ko-KR]yyyy-mm-dd(ddd) ") &amp; "오후 14:00"</f>
        <v>2021-06-15(화) 오후 14:00</v>
      </c>
      <c r="E15" s="260"/>
      <c r="F15" s="261"/>
      <c r="G15" s="259" t="str">
        <f>TEXT($G$1, "[$-ko-KR]yyyy-mm-dd(ddd) ") &amp; "오후 19:00"</f>
        <v>2021-06-15(화) 오후 19:00</v>
      </c>
      <c r="H15" s="260"/>
      <c r="I15" s="261"/>
      <c r="J15" s="259" t="str">
        <f>TEXT($G$1, "[$-ko-KR]yyyy-mm-dd(ddd) ") &amp; "오후 21:00"</f>
        <v>2021-06-15(화) 오후 21:00</v>
      </c>
      <c r="K15" s="260"/>
      <c r="L15" s="261"/>
      <c r="M15" s="259" t="str">
        <f>TEXT($G$1+1, "[$-ko-KR]yyyy-mm-dd(ddd) ") &amp; "오전 00:00"</f>
        <v>2021-06-16(수) 오전 00:00</v>
      </c>
      <c r="N15" s="260"/>
      <c r="O15" s="261"/>
      <c r="Q15" s="245"/>
      <c r="R15" s="245"/>
      <c r="S15" s="245"/>
    </row>
    <row r="16" spans="1:19" ht="17.25" customHeight="1" thickBot="1">
      <c r="A16" s="28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7" t="s">
        <v>37</v>
      </c>
      <c r="H16" s="218" t="s">
        <v>40</v>
      </c>
      <c r="I16" s="21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5"/>
      <c r="R16" s="235"/>
      <c r="S16" s="235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81.400000000000006</v>
      </c>
      <c r="C17" s="76">
        <f>IF(NOT(ISBLANK(_xlfn.IFNA(VLOOKUP($A17, $A$40:$O$199, 3, FALSE), ))), _xlfn.IFNA(VLOOKUP($A17, $A$40:$O$199, 3, FALSE), ), "")</f>
        <v>4.0920716099999997E-2</v>
      </c>
      <c r="D17" s="13">
        <f>IF(NOT(ISBLANK(_xlfn.IFNA(VLOOKUP($A17, $A$40:$O$199, 4, FALSE), ))), _xlfn.IFNA(VLOOKUP($A17, $A$40:$O$199, 4, FALSE), ), "")</f>
        <v>81.400000000000006</v>
      </c>
      <c r="E17" s="14">
        <f>IF(NOT(ISBLANK(_xlfn.IFNA(VLOOKUP($A17, $A$40:$O$199, 5, FALSE), ))), _xlfn.IFNA(VLOOKUP($A17, $A$40:$O$199, 5, FALSE), ), "")</f>
        <v>0</v>
      </c>
      <c r="F17" s="16">
        <f>IF(NOT(ISBLANK(_xlfn.IFNA(VLOOKUP($A17, $A$40:$O$199, 6, FALSE), ))), _xlfn.IFNA(VLOOKUP($A17, $A$40:$O$199, 6, FALSE), ), "")</f>
        <v>0</v>
      </c>
      <c r="G17" s="29">
        <f>IF(NOT(ISBLANK(_xlfn.IFNA(VLOOKUP($A17, $A$40:$O$199, 7, FALSE), ))), _xlfn.IFNA(VLOOKUP($A17, $A$40:$O$199, 7, FALSE), ), "")</f>
        <v>81</v>
      </c>
      <c r="H17" s="14">
        <f>IF(NOT(ISBLANK(_xlfn.IFNA(VLOOKUP($A17, $A$40:$O$199, 8, FALSE), ))), _xlfn.IFNA(VLOOKUP($A17, $A$40:$O$199, 8, FALSE), ), "")</f>
        <v>-4.9140049140049833E-3</v>
      </c>
      <c r="I17" s="100">
        <f>IF(NOT(ISBLANK(_xlfn.IFNA(VLOOKUP($A17, $A$40:$O$199, 9, FALSE), ))), _xlfn.IFNA(VLOOKUP($A17, $A$40:$O$199, 9, FALSE), ), "")</f>
        <v>-491.40049140049831</v>
      </c>
      <c r="J17" s="13">
        <f>IF(NOT(ISBLANK(_xlfn.IFNA(VLOOKUP($A17, $A$40:$O$199, 10, FALSE), ))), _xlfn.IFNA(VLOOKUP($A17, $A$40:$O$199, 10, FALSE), ), "")</f>
        <v>80.900000000000006</v>
      </c>
      <c r="K17" s="14">
        <f>IF(NOT(ISBLANK(_xlfn.IFNA(VLOOKUP($A17, $A$40:$O$199, 11, FALSE), ))), _xlfn.IFNA(VLOOKUP($A17, $A$40:$O$199, 11, FALSE), ), "")</f>
        <v>-6.1425061425061421E-3</v>
      </c>
      <c r="L17" s="16">
        <f>IF(NOT(ISBLANK(_xlfn.IFNA(VLOOKUP($A17, $A$40:$O$199, 12, FALSE), ))), _xlfn.IFNA(VLOOKUP($A17, $A$40:$O$199, 12, FALSE), ), "")</f>
        <v>-614.25061425061426</v>
      </c>
      <c r="M17" s="29">
        <f>IF(NOT(ISBLANK(_xlfn.IFNA(VLOOKUP($A17, $A$40:$O$199, 13, FALSE), ))), _xlfn.IFNA(VLOOKUP($A17, $A$40:$O$199, 13, FALSE), ), "")</f>
        <v>80.5</v>
      </c>
      <c r="N17" s="14">
        <f>IF(NOT(ISBLANK(_xlfn.IFNA(VLOOKUP($A17, $A$40:$O$199, 14, FALSE), ))), _xlfn.IFNA(VLOOKUP($A17, $A$40:$O$199, 14, FALSE), ), "")</f>
        <v>-1.1056511056511125E-2</v>
      </c>
      <c r="O17" s="16">
        <f>IF(NOT(ISBLANK(_xlfn.IFNA(VLOOKUP($A17, $A$40:$O$199, 15, FALSE), ))), _xlfn.IFNA(VLOOKUP($A17, $A$40:$O$199, 15, FALSE), ), "")</f>
        <v>-1105.6511056511126</v>
      </c>
      <c r="Q17" s="245"/>
      <c r="R17" s="245"/>
      <c r="S17" s="245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56.5</v>
      </c>
      <c r="C18" s="77">
        <f t="shared" ref="C18:C36" si="1">IF(NOT(ISBLANK(_xlfn.IFNA(VLOOKUP($A18, $A$40:$O$199, 3, FALSE), ))), _xlfn.IFNA(VLOOKUP($A18, $A$40:$O$199, 3, FALSE), ), "")</f>
        <v>1.9855595699999999E-2</v>
      </c>
      <c r="D18" s="15">
        <f t="shared" ref="D18:D36" si="2">IF(NOT(ISBLANK(_xlfn.IFNA(VLOOKUP($A18, $A$40:$O$199, 4, FALSE), ))), _xlfn.IFNA(VLOOKUP($A18, $A$40:$O$199, 4, FALSE), ), "")</f>
        <v>56.1</v>
      </c>
      <c r="E18" s="32">
        <f t="shared" ref="E18:E36" si="3">IF(NOT(ISBLANK(_xlfn.IFNA(VLOOKUP($A18, $A$40:$O$199, 5, FALSE), ))), _xlfn.IFNA(VLOOKUP($A18, $A$40:$O$199, 5, FALSE), ), "")</f>
        <v>-7.0796460176990898E-3</v>
      </c>
      <c r="F18" s="18">
        <f t="shared" ref="F18:F36" si="4">IF(NOT(ISBLANK(_xlfn.IFNA(VLOOKUP($A18, $A$40:$O$199, 6, FALSE), ))), _xlfn.IFNA(VLOOKUP($A18, $A$40:$O$199, 6, FALSE), ), "")</f>
        <v>-707.964601769909</v>
      </c>
      <c r="G18" s="31">
        <f t="shared" ref="G18:G36" si="5">IF(NOT(ISBLANK(_xlfn.IFNA(VLOOKUP($A18, $A$40:$O$199, 7, FALSE), ))), _xlfn.IFNA(VLOOKUP($A18, $A$40:$O$199, 7, FALSE), ), "")</f>
        <v>59.4</v>
      </c>
      <c r="H18" s="32">
        <f t="shared" ref="H18:H36" si="6">IF(NOT(ISBLANK(_xlfn.IFNA(VLOOKUP($A18, $A$40:$O$199, 8, FALSE), ))), _xlfn.IFNA(VLOOKUP($A18, $A$40:$O$199, 8, FALSE), ), "")</f>
        <v>5.1327433628318556E-2</v>
      </c>
      <c r="I18" s="101">
        <f t="shared" ref="I18:I36" si="7">IF(NOT(ISBLANK(_xlfn.IFNA(VLOOKUP($A18, $A$40:$O$199, 9, FALSE), ))), _xlfn.IFNA(VLOOKUP($A18, $A$40:$O$199, 9, FALSE), ), "")</f>
        <v>5132.7433628318558</v>
      </c>
      <c r="J18" s="15">
        <f t="shared" ref="J18:J36" si="8">IF(NOT(ISBLANK(_xlfn.IFNA(VLOOKUP($A18, $A$40:$O$199, 10, FALSE), ))), _xlfn.IFNA(VLOOKUP($A18, $A$40:$O$199, 10, FALSE), ), "")</f>
        <v>58.8</v>
      </c>
      <c r="K18" s="32">
        <f t="shared" ref="K18:K36" si="9">IF(NOT(ISBLANK(_xlfn.IFNA(VLOOKUP($A18, $A$40:$O$199, 11, FALSE), ))), _xlfn.IFNA(VLOOKUP($A18, $A$40:$O$199, 11, FALSE), ), "")</f>
        <v>4.0707964601769862E-2</v>
      </c>
      <c r="L18" s="18">
        <f t="shared" ref="L18:L36" si="10">IF(NOT(ISBLANK(_xlfn.IFNA(VLOOKUP($A18, $A$40:$O$199, 12, FALSE), ))), _xlfn.IFNA(VLOOKUP($A18, $A$40:$O$199, 12, FALSE), ), "")</f>
        <v>4070.7964601769863</v>
      </c>
      <c r="M18" s="31">
        <f t="shared" ref="M18:M36" si="11">IF(NOT(ISBLANK(_xlfn.IFNA(VLOOKUP($A18, $A$40:$O$199, 13, FALSE), ))), _xlfn.IFNA(VLOOKUP($A18, $A$40:$O$199, 13, FALSE), ), "")</f>
        <v>58.2</v>
      </c>
      <c r="N18" s="32">
        <f t="shared" ref="N18:N36" si="12">IF(NOT(ISBLANK(_xlfn.IFNA(VLOOKUP($A18, $A$40:$O$199, 14, FALSE), ))), _xlfn.IFNA(VLOOKUP($A18, $A$40:$O$199, 14, FALSE), ), "")</f>
        <v>3.0088495575221291E-2</v>
      </c>
      <c r="O18" s="18">
        <f t="shared" ref="O18:O36" si="13">IF(NOT(ISBLANK(_xlfn.IFNA(VLOOKUP($A18, $A$40:$O$199, 15, FALSE), ))), _xlfn.IFNA(VLOOKUP($A18, $A$40:$O$199, 15, FALSE), ), "")</f>
        <v>3008.8495575221291</v>
      </c>
      <c r="Q18" s="245"/>
      <c r="R18" s="245"/>
      <c r="S18" s="245"/>
    </row>
    <row r="19" spans="1:19" ht="17.25" customHeight="1" thickBot="1">
      <c r="A19" s="162" t="s">
        <v>202</v>
      </c>
      <c r="B19" s="126">
        <f t="shared" si="0"/>
        <v>91.1</v>
      </c>
      <c r="C19" s="77">
        <f t="shared" si="1"/>
        <v>1.2222222200000001E-2</v>
      </c>
      <c r="D19" s="15">
        <f t="shared" si="2"/>
        <v>89.3</v>
      </c>
      <c r="E19" s="32">
        <f t="shared" si="3"/>
        <v>-1.9758507135016437E-2</v>
      </c>
      <c r="F19" s="18">
        <f t="shared" si="4"/>
        <v>-1975.8507135016437</v>
      </c>
      <c r="G19" s="31">
        <f t="shared" si="5"/>
        <v>90.9</v>
      </c>
      <c r="H19" s="32">
        <f t="shared" si="6"/>
        <v>-2.1953896816683713E-3</v>
      </c>
      <c r="I19" s="101">
        <f t="shared" si="7"/>
        <v>-219.53896816683712</v>
      </c>
      <c r="J19" s="15">
        <f t="shared" si="8"/>
        <v>90.5</v>
      </c>
      <c r="K19" s="32">
        <f t="shared" si="9"/>
        <v>-6.5861690450054267E-3</v>
      </c>
      <c r="L19" s="18">
        <f t="shared" si="10"/>
        <v>-658.61690450054266</v>
      </c>
      <c r="M19" s="31">
        <f t="shared" si="11"/>
        <v>90</v>
      </c>
      <c r="N19" s="32">
        <f t="shared" si="12"/>
        <v>-1.2074643249176667E-2</v>
      </c>
      <c r="O19" s="18">
        <f t="shared" si="13"/>
        <v>-1207.4643249176668</v>
      </c>
      <c r="Q19" s="235"/>
      <c r="R19" s="235"/>
      <c r="S19" s="235"/>
    </row>
    <row r="20" spans="1:19" ht="17.25" customHeight="1" thickBot="1">
      <c r="A20" s="162" t="s">
        <v>120</v>
      </c>
      <c r="B20" s="126">
        <f t="shared" si="0"/>
        <v>139</v>
      </c>
      <c r="C20" s="77">
        <f t="shared" si="1"/>
        <v>7.2463768E-3</v>
      </c>
      <c r="D20" s="15">
        <f t="shared" si="2"/>
        <v>136</v>
      </c>
      <c r="E20" s="32">
        <f t="shared" si="3"/>
        <v>-2.1582733812949641E-2</v>
      </c>
      <c r="F20" s="18">
        <f t="shared" si="4"/>
        <v>-2158.2733812949641</v>
      </c>
      <c r="G20" s="31">
        <f t="shared" si="5"/>
        <v>136</v>
      </c>
      <c r="H20" s="32">
        <f t="shared" si="6"/>
        <v>-2.1582733812949641E-2</v>
      </c>
      <c r="I20" s="101">
        <f t="shared" si="7"/>
        <v>-2158.2733812949641</v>
      </c>
      <c r="J20" s="15">
        <f t="shared" si="8"/>
        <v>136</v>
      </c>
      <c r="K20" s="32">
        <f t="shared" si="9"/>
        <v>-2.1582733812949641E-2</v>
      </c>
      <c r="L20" s="18">
        <f t="shared" si="10"/>
        <v>-2158.2733812949641</v>
      </c>
      <c r="M20" s="31">
        <f t="shared" si="11"/>
        <v>135</v>
      </c>
      <c r="N20" s="32">
        <f t="shared" si="12"/>
        <v>-2.8776978417266189E-2</v>
      </c>
      <c r="O20" s="18">
        <f t="shared" si="13"/>
        <v>-2877.6978417266187</v>
      </c>
      <c r="Q20" s="235"/>
      <c r="R20" s="235"/>
      <c r="S20" s="235"/>
    </row>
    <row r="21" spans="1:19" ht="17.25" customHeight="1" thickBot="1">
      <c r="A21" s="163" t="s">
        <v>246</v>
      </c>
      <c r="B21" s="128">
        <f t="shared" si="0"/>
        <v>262</v>
      </c>
      <c r="C21" s="78">
        <f t="shared" si="1"/>
        <v>-2.9629629599999999E-2</v>
      </c>
      <c r="D21" s="20">
        <f t="shared" si="2"/>
        <v>257</v>
      </c>
      <c r="E21" s="21">
        <f t="shared" si="3"/>
        <v>-1.9083969465648856E-2</v>
      </c>
      <c r="F21" s="22">
        <f t="shared" si="4"/>
        <v>-1908.3969465648856</v>
      </c>
      <c r="G21" s="30">
        <f t="shared" si="5"/>
        <v>259</v>
      </c>
      <c r="H21" s="21">
        <f t="shared" si="6"/>
        <v>-1.1450381679389313E-2</v>
      </c>
      <c r="I21" s="105">
        <f t="shared" si="7"/>
        <v>-1145.0381679389313</v>
      </c>
      <c r="J21" s="20">
        <f t="shared" si="8"/>
        <v>260</v>
      </c>
      <c r="K21" s="21">
        <f t="shared" si="9"/>
        <v>-7.6335877862595417E-3</v>
      </c>
      <c r="L21" s="22">
        <f t="shared" si="10"/>
        <v>-763.35877862595419</v>
      </c>
      <c r="M21" s="30">
        <f t="shared" si="11"/>
        <v>261</v>
      </c>
      <c r="N21" s="21">
        <f t="shared" si="12"/>
        <v>-3.8167938931297708E-3</v>
      </c>
      <c r="O21" s="22">
        <f t="shared" si="13"/>
        <v>-381.67938931297709</v>
      </c>
      <c r="Q21" s="235"/>
      <c r="R21" s="235"/>
      <c r="S21" s="235"/>
    </row>
    <row r="22" spans="1:19" ht="17.25" customHeight="1" thickBot="1">
      <c r="A22" s="162" t="s">
        <v>232</v>
      </c>
      <c r="B22" s="129">
        <f t="shared" si="0"/>
        <v>94.3</v>
      </c>
      <c r="C22" s="80">
        <f t="shared" si="1"/>
        <v>0.1107184923</v>
      </c>
      <c r="D22" s="106">
        <f t="shared" si="2"/>
        <v>93.4</v>
      </c>
      <c r="E22" s="107">
        <f t="shared" si="3"/>
        <v>-9.544008483563007E-3</v>
      </c>
      <c r="F22" s="108">
        <f t="shared" si="4"/>
        <v>-954.40084835630068</v>
      </c>
      <c r="G22" s="109">
        <f t="shared" si="5"/>
        <v>93</v>
      </c>
      <c r="H22" s="107">
        <f t="shared" si="6"/>
        <v>-1.3785790031813332E-2</v>
      </c>
      <c r="I22" s="110">
        <f t="shared" si="7"/>
        <v>-1378.5790031813333</v>
      </c>
      <c r="J22" s="106">
        <f t="shared" si="8"/>
        <v>92.8</v>
      </c>
      <c r="K22" s="107">
        <f t="shared" si="9"/>
        <v>-1.5906680805938496E-2</v>
      </c>
      <c r="L22" s="108">
        <f t="shared" si="10"/>
        <v>-1590.6680805938495</v>
      </c>
      <c r="M22" s="109">
        <f t="shared" si="11"/>
        <v>92.6</v>
      </c>
      <c r="N22" s="107">
        <f t="shared" si="12"/>
        <v>-1.8027571580063656E-2</v>
      </c>
      <c r="O22" s="108">
        <f t="shared" si="13"/>
        <v>-1802.7571580063657</v>
      </c>
      <c r="Q22" s="235"/>
      <c r="R22" s="235"/>
      <c r="S22" s="235"/>
    </row>
    <row r="23" spans="1:19" ht="17.25" customHeight="1" thickBot="1">
      <c r="A23" s="162" t="s">
        <v>160</v>
      </c>
      <c r="B23" s="126">
        <f t="shared" si="0"/>
        <v>1650</v>
      </c>
      <c r="C23" s="77">
        <f t="shared" si="1"/>
        <v>9.6345515000000007E-2</v>
      </c>
      <c r="D23" s="15">
        <f t="shared" si="2"/>
        <v>1665</v>
      </c>
      <c r="E23" s="32">
        <f t="shared" si="3"/>
        <v>9.0909090909090905E-3</v>
      </c>
      <c r="F23" s="18">
        <f t="shared" si="4"/>
        <v>909.09090909090901</v>
      </c>
      <c r="G23" s="31">
        <f t="shared" si="5"/>
        <v>1610</v>
      </c>
      <c r="H23" s="32">
        <f t="shared" si="6"/>
        <v>-2.4242424242424242E-2</v>
      </c>
      <c r="I23" s="101">
        <f t="shared" si="7"/>
        <v>-2424.242424242424</v>
      </c>
      <c r="J23" s="15">
        <f t="shared" si="8"/>
        <v>1600</v>
      </c>
      <c r="K23" s="32">
        <f t="shared" si="9"/>
        <v>-3.0303030303030304E-2</v>
      </c>
      <c r="L23" s="18">
        <f t="shared" si="10"/>
        <v>-3030.3030303030305</v>
      </c>
      <c r="M23" s="31">
        <f t="shared" si="11"/>
        <v>1590</v>
      </c>
      <c r="N23" s="32">
        <f t="shared" si="12"/>
        <v>-3.6363636363636362E-2</v>
      </c>
      <c r="O23" s="18">
        <f t="shared" si="13"/>
        <v>-3636.363636363636</v>
      </c>
      <c r="Q23" s="235"/>
      <c r="R23" s="235"/>
      <c r="S23" s="235"/>
    </row>
    <row r="24" spans="1:19" ht="17.25" customHeight="1" thickBot="1">
      <c r="A24" s="162" t="s">
        <v>126</v>
      </c>
      <c r="B24" s="126">
        <f t="shared" si="0"/>
        <v>26.3</v>
      </c>
      <c r="C24" s="77">
        <f t="shared" si="1"/>
        <v>7.3469387799999994E-2</v>
      </c>
      <c r="D24" s="15">
        <f t="shared" si="2"/>
        <v>26.4</v>
      </c>
      <c r="E24" s="32">
        <f t="shared" si="3"/>
        <v>3.8022813688212117E-3</v>
      </c>
      <c r="F24" s="18">
        <f t="shared" si="4"/>
        <v>380.22813688212119</v>
      </c>
      <c r="G24" s="31">
        <f t="shared" si="5"/>
        <v>26.1</v>
      </c>
      <c r="H24" s="32">
        <f t="shared" si="6"/>
        <v>-7.6045627376425586E-3</v>
      </c>
      <c r="I24" s="101">
        <f t="shared" si="7"/>
        <v>-760.45627376425591</v>
      </c>
      <c r="J24" s="15">
        <f t="shared" si="8"/>
        <v>26.2</v>
      </c>
      <c r="K24" s="32">
        <f t="shared" si="9"/>
        <v>-3.8022813688213465E-3</v>
      </c>
      <c r="L24" s="18">
        <f t="shared" si="10"/>
        <v>-380.22813688213466</v>
      </c>
      <c r="M24" s="31">
        <f t="shared" si="11"/>
        <v>25.4</v>
      </c>
      <c r="N24" s="32">
        <f t="shared" si="12"/>
        <v>-3.4220532319391712E-2</v>
      </c>
      <c r="O24" s="18">
        <f t="shared" si="13"/>
        <v>-3422.0532319391714</v>
      </c>
      <c r="Q24" s="235"/>
      <c r="R24" s="235"/>
      <c r="S24" s="235"/>
    </row>
    <row r="25" spans="1:19" ht="17.25" customHeight="1" thickBot="1">
      <c r="A25" s="162" t="s">
        <v>150</v>
      </c>
      <c r="B25" s="126">
        <f t="shared" si="0"/>
        <v>2340</v>
      </c>
      <c r="C25" s="77">
        <f t="shared" si="1"/>
        <v>6.8493150700000005E-2</v>
      </c>
      <c r="D25" s="15">
        <f t="shared" si="2"/>
        <v>2415</v>
      </c>
      <c r="E25" s="32">
        <f t="shared" si="3"/>
        <v>3.2051282051282048E-2</v>
      </c>
      <c r="F25" s="18">
        <f t="shared" si="4"/>
        <v>3205.1282051282046</v>
      </c>
      <c r="G25" s="31">
        <f t="shared" si="5"/>
        <v>2450</v>
      </c>
      <c r="H25" s="32">
        <f t="shared" si="6"/>
        <v>4.7008547008547008E-2</v>
      </c>
      <c r="I25" s="101">
        <f t="shared" si="7"/>
        <v>4700.8547008547012</v>
      </c>
      <c r="J25" s="15">
        <f t="shared" si="8"/>
        <v>2430</v>
      </c>
      <c r="K25" s="32">
        <f t="shared" si="9"/>
        <v>3.8461538461538464E-2</v>
      </c>
      <c r="L25" s="18">
        <f t="shared" si="10"/>
        <v>3846.1538461538462</v>
      </c>
      <c r="M25" s="31">
        <f t="shared" si="11"/>
        <v>2400</v>
      </c>
      <c r="N25" s="32">
        <f t="shared" si="12"/>
        <v>2.564102564102564E-2</v>
      </c>
      <c r="O25" s="18">
        <f t="shared" si="13"/>
        <v>2564.102564102564</v>
      </c>
      <c r="Q25" s="33"/>
      <c r="R25" s="33"/>
    </row>
    <row r="26" spans="1:19" ht="17.25" customHeight="1" thickBot="1">
      <c r="A26" s="130" t="s">
        <v>226</v>
      </c>
      <c r="B26" s="131">
        <f t="shared" si="0"/>
        <v>217</v>
      </c>
      <c r="C26" s="79">
        <f t="shared" si="1"/>
        <v>6.3725490199999998E-2</v>
      </c>
      <c r="D26" s="24">
        <f t="shared" si="2"/>
        <v>218</v>
      </c>
      <c r="E26" s="25">
        <f t="shared" si="3"/>
        <v>4.608294930875576E-3</v>
      </c>
      <c r="F26" s="104">
        <f t="shared" si="4"/>
        <v>460.82949308755758</v>
      </c>
      <c r="G26" s="102">
        <f t="shared" si="5"/>
        <v>215</v>
      </c>
      <c r="H26" s="25">
        <f t="shared" si="6"/>
        <v>-9.2165898617511521E-3</v>
      </c>
      <c r="I26" s="103">
        <f t="shared" si="7"/>
        <v>-921.65898617511516</v>
      </c>
      <c r="J26" s="24">
        <f t="shared" si="8"/>
        <v>217</v>
      </c>
      <c r="K26" s="25">
        <f t="shared" si="9"/>
        <v>0</v>
      </c>
      <c r="L26" s="104">
        <f t="shared" si="10"/>
        <v>0</v>
      </c>
      <c r="M26" s="102">
        <f t="shared" si="11"/>
        <v>216</v>
      </c>
      <c r="N26" s="25">
        <f t="shared" si="12"/>
        <v>-4.608294930875576E-3</v>
      </c>
      <c r="O26" s="104">
        <f t="shared" si="13"/>
        <v>-460.82949308755758</v>
      </c>
      <c r="Q26" s="236"/>
      <c r="R26" s="237"/>
      <c r="S26" s="238"/>
    </row>
    <row r="27" spans="1:19" ht="17.25" customHeight="1">
      <c r="A27" s="161" t="s">
        <v>224</v>
      </c>
      <c r="B27" s="124">
        <f t="shared" si="0"/>
        <v>1170</v>
      </c>
      <c r="C27" s="76">
        <f t="shared" si="1"/>
        <v>5.8823529399999998E-2</v>
      </c>
      <c r="D27" s="13">
        <f t="shared" si="2"/>
        <v>1160</v>
      </c>
      <c r="E27" s="14">
        <f t="shared" si="3"/>
        <v>-8.5470085470085479E-3</v>
      </c>
      <c r="F27" s="16">
        <f t="shared" si="4"/>
        <v>-854.70085470085473</v>
      </c>
      <c r="G27" s="29">
        <f t="shared" si="5"/>
        <v>1165</v>
      </c>
      <c r="H27" s="14">
        <f t="shared" si="6"/>
        <v>-4.2735042735042739E-3</v>
      </c>
      <c r="I27" s="100">
        <f t="shared" si="7"/>
        <v>-427.35042735042737</v>
      </c>
      <c r="J27" s="13">
        <f t="shared" si="8"/>
        <v>1170</v>
      </c>
      <c r="K27" s="14">
        <f t="shared" si="9"/>
        <v>0</v>
      </c>
      <c r="L27" s="16">
        <f t="shared" si="10"/>
        <v>0</v>
      </c>
      <c r="M27" s="29">
        <f t="shared" si="11"/>
        <v>1160</v>
      </c>
      <c r="N27" s="14">
        <f t="shared" si="12"/>
        <v>-8.5470085470085479E-3</v>
      </c>
      <c r="O27" s="16">
        <f t="shared" si="13"/>
        <v>-854.70085470085473</v>
      </c>
      <c r="Q27" s="239"/>
      <c r="R27" s="240"/>
      <c r="S27" s="241"/>
    </row>
    <row r="28" spans="1:19" ht="17.25" customHeight="1" thickBot="1">
      <c r="A28" s="162" t="s">
        <v>242</v>
      </c>
      <c r="B28" s="126">
        <f t="shared" si="0"/>
        <v>3515</v>
      </c>
      <c r="C28" s="77">
        <f t="shared" si="1"/>
        <v>5.5555555600000001E-2</v>
      </c>
      <c r="D28" s="15">
        <f t="shared" si="2"/>
        <v>3560</v>
      </c>
      <c r="E28" s="32">
        <f t="shared" si="3"/>
        <v>1.2802275960170697E-2</v>
      </c>
      <c r="F28" s="18">
        <f t="shared" si="4"/>
        <v>1280.2275960170696</v>
      </c>
      <c r="G28" s="31">
        <f t="shared" si="5"/>
        <v>3480</v>
      </c>
      <c r="H28" s="32">
        <f t="shared" si="6"/>
        <v>-9.9573257467994308E-3</v>
      </c>
      <c r="I28" s="101">
        <f t="shared" si="7"/>
        <v>-995.73257467994313</v>
      </c>
      <c r="J28" s="15">
        <f t="shared" si="8"/>
        <v>3445</v>
      </c>
      <c r="K28" s="32">
        <f t="shared" si="9"/>
        <v>-1.9914651493598862E-2</v>
      </c>
      <c r="L28" s="18">
        <f t="shared" si="10"/>
        <v>-1991.4651493598863</v>
      </c>
      <c r="M28" s="31">
        <f t="shared" si="11"/>
        <v>3420</v>
      </c>
      <c r="N28" s="32">
        <f t="shared" si="12"/>
        <v>-2.7027027027027029E-2</v>
      </c>
      <c r="O28" s="18">
        <f t="shared" si="13"/>
        <v>-2702.7027027027029</v>
      </c>
      <c r="Q28" s="242"/>
      <c r="R28" s="243"/>
      <c r="S28" s="244"/>
    </row>
    <row r="29" spans="1:19" ht="17.25" customHeight="1" thickBot="1">
      <c r="A29" s="162" t="s">
        <v>69</v>
      </c>
      <c r="B29" s="126">
        <f t="shared" si="0"/>
        <v>4795</v>
      </c>
      <c r="C29" s="77">
        <f t="shared" si="1"/>
        <v>5.26893524E-2</v>
      </c>
      <c r="D29" s="15">
        <f t="shared" si="2"/>
        <v>4885</v>
      </c>
      <c r="E29" s="32">
        <f t="shared" si="3"/>
        <v>1.8769551616266946E-2</v>
      </c>
      <c r="F29" s="18">
        <f t="shared" si="4"/>
        <v>1876.9551616266947</v>
      </c>
      <c r="G29" s="31">
        <f t="shared" si="5"/>
        <v>4885</v>
      </c>
      <c r="H29" s="32">
        <f t="shared" si="6"/>
        <v>1.8769551616266946E-2</v>
      </c>
      <c r="I29" s="101">
        <f t="shared" si="7"/>
        <v>1876.9551616266947</v>
      </c>
      <c r="J29" s="15">
        <f t="shared" si="8"/>
        <v>4875</v>
      </c>
      <c r="K29" s="32">
        <f t="shared" si="9"/>
        <v>1.6684045881126174E-2</v>
      </c>
      <c r="L29" s="18">
        <f t="shared" si="10"/>
        <v>1668.4045881126174</v>
      </c>
      <c r="M29" s="31">
        <f t="shared" si="11"/>
        <v>4820</v>
      </c>
      <c r="N29" s="32">
        <f t="shared" si="12"/>
        <v>5.2137643378519288E-3</v>
      </c>
      <c r="O29" s="18">
        <f t="shared" si="13"/>
        <v>521.37643378519283</v>
      </c>
      <c r="Q29" s="235"/>
      <c r="R29" s="235"/>
      <c r="S29" s="235"/>
    </row>
    <row r="30" spans="1:19" ht="17.25" customHeight="1" thickBot="1">
      <c r="A30" s="162" t="s">
        <v>174</v>
      </c>
      <c r="B30" s="126">
        <f t="shared" si="0"/>
        <v>120</v>
      </c>
      <c r="C30" s="77">
        <f t="shared" si="1"/>
        <v>5.2631578900000003E-2</v>
      </c>
      <c r="D30" s="15">
        <f t="shared" si="2"/>
        <v>128</v>
      </c>
      <c r="E30" s="32">
        <f t="shared" si="3"/>
        <v>6.6666666666666666E-2</v>
      </c>
      <c r="F30" s="18">
        <f t="shared" si="4"/>
        <v>6666.666666666667</v>
      </c>
      <c r="G30" s="31">
        <f t="shared" si="5"/>
        <v>127</v>
      </c>
      <c r="H30" s="32">
        <f t="shared" si="6"/>
        <v>5.8333333333333334E-2</v>
      </c>
      <c r="I30" s="101">
        <f t="shared" si="7"/>
        <v>5833.333333333333</v>
      </c>
      <c r="J30" s="15">
        <f t="shared" si="8"/>
        <v>129</v>
      </c>
      <c r="K30" s="32">
        <f t="shared" si="9"/>
        <v>7.4999999999999997E-2</v>
      </c>
      <c r="L30" s="18">
        <f t="shared" si="10"/>
        <v>7500</v>
      </c>
      <c r="M30" s="31">
        <f t="shared" si="11"/>
        <v>128</v>
      </c>
      <c r="N30" s="32">
        <f t="shared" si="12"/>
        <v>6.6666666666666666E-2</v>
      </c>
      <c r="O30" s="18">
        <f t="shared" si="13"/>
        <v>6666.666666666667</v>
      </c>
      <c r="Q30" s="245"/>
      <c r="R30" s="245"/>
      <c r="S30" s="245"/>
    </row>
    <row r="31" spans="1:19" ht="17.25" customHeight="1" thickBot="1">
      <c r="A31" s="163" t="s">
        <v>270</v>
      </c>
      <c r="B31" s="128">
        <f t="shared" si="0"/>
        <v>338</v>
      </c>
      <c r="C31" s="78">
        <f t="shared" si="1"/>
        <v>3.3639143699999999E-2</v>
      </c>
      <c r="D31" s="20">
        <f t="shared" si="2"/>
        <v>336</v>
      </c>
      <c r="E31" s="21">
        <f t="shared" si="3"/>
        <v>-5.9171597633136093E-3</v>
      </c>
      <c r="F31" s="22">
        <f t="shared" si="4"/>
        <v>-591.71597633136093</v>
      </c>
      <c r="G31" s="30">
        <f t="shared" si="5"/>
        <v>335</v>
      </c>
      <c r="H31" s="21">
        <f t="shared" si="6"/>
        <v>-8.8757396449704144E-3</v>
      </c>
      <c r="I31" s="105">
        <f t="shared" si="7"/>
        <v>-887.5739644970414</v>
      </c>
      <c r="J31" s="20">
        <f t="shared" si="8"/>
        <v>335</v>
      </c>
      <c r="K31" s="21">
        <f t="shared" si="9"/>
        <v>-8.8757396449704144E-3</v>
      </c>
      <c r="L31" s="22">
        <f t="shared" si="10"/>
        <v>-887.5739644970414</v>
      </c>
      <c r="M31" s="30">
        <f t="shared" si="11"/>
        <v>335</v>
      </c>
      <c r="N31" s="21">
        <f t="shared" si="12"/>
        <v>-8.8757396449704144E-3</v>
      </c>
      <c r="O31" s="22">
        <f t="shared" si="13"/>
        <v>-887.5739644970414</v>
      </c>
      <c r="Q31" s="245"/>
      <c r="R31" s="245"/>
      <c r="S31" s="24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5"/>
      <c r="R32" s="235"/>
      <c r="S32" s="235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5"/>
      <c r="R33" s="235"/>
      <c r="S33" s="235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5"/>
      <c r="R34" s="235"/>
      <c r="S34" s="235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4"/>
      <c r="R35" s="225"/>
      <c r="S35" s="22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7"/>
      <c r="R36" s="228"/>
      <c r="S36" s="229"/>
    </row>
    <row r="37" spans="1:19" ht="17.25" customHeight="1" thickBot="1">
      <c r="A37" s="132" t="s">
        <v>42</v>
      </c>
      <c r="B37" s="288">
        <v>100000</v>
      </c>
      <c r="C37" s="289"/>
      <c r="D37" s="26" t="s">
        <v>43</v>
      </c>
      <c r="E37" s="27">
        <f>IF(COUNT(E17:E36), SUM(E17:E36) / COUNT(E17:E36), 0)</f>
        <v>3.7518818973195367E-3</v>
      </c>
      <c r="F37" s="28">
        <f>SUM(F17:F36)</f>
        <v>5627.8228459793054</v>
      </c>
      <c r="G37" s="26" t="s">
        <v>43</v>
      </c>
      <c r="H37" s="27">
        <f>IF(COUNT(H17:H36), SUM(H17:H36) / COUNT(H17:H36), 0)</f>
        <v>3.8226945973032084E-3</v>
      </c>
      <c r="I37" s="28">
        <f>SUM(I17:I36)</f>
        <v>5734.0418959548133</v>
      </c>
      <c r="J37" s="26" t="s">
        <v>43</v>
      </c>
      <c r="K37" s="27">
        <f>IF(COUNT(K17:K36), SUM(K17:K36) / COUNT(K17:K36), 0)</f>
        <v>3.3404112360902877E-3</v>
      </c>
      <c r="L37" s="28">
        <f>SUM(L17:L36)</f>
        <v>5010.6168541354318</v>
      </c>
      <c r="M37" s="26" t="s">
        <v>43</v>
      </c>
      <c r="N37" s="27">
        <f>IF(COUNT(N17:N36), SUM(N17:N36) / COUNT(N17:N36), 0)</f>
        <v>-4.3856523205527687E-3</v>
      </c>
      <c r="O37" s="28">
        <f>SUM(O17:O36)</f>
        <v>-6578.4784808291524</v>
      </c>
      <c r="Q37" s="230"/>
      <c r="R37" s="231"/>
      <c r="S37" s="232"/>
    </row>
    <row r="38" spans="1:19" ht="17.25" customHeight="1"/>
    <row r="39" spans="1:19" ht="17.25" customHeight="1" thickBot="1"/>
    <row r="40" spans="1:19" ht="17.25" customHeight="1" thickBot="1">
      <c r="A40" s="246" t="s">
        <v>44</v>
      </c>
      <c r="B40" s="247"/>
      <c r="C40" s="247"/>
      <c r="D40" s="247"/>
      <c r="E40" s="247"/>
      <c r="F40" s="247"/>
      <c r="G40" s="247"/>
      <c r="H40" s="247"/>
      <c r="I40" s="247"/>
      <c r="J40" s="247"/>
      <c r="K40" s="247"/>
      <c r="L40" s="247"/>
      <c r="M40" s="247"/>
      <c r="N40" s="247"/>
      <c r="O40" s="248"/>
      <c r="Q40" s="245"/>
      <c r="R40" s="245"/>
      <c r="S40" s="245"/>
    </row>
    <row r="41" spans="1:19" ht="17.25" customHeight="1" thickBot="1">
      <c r="A41" s="216" t="s">
        <v>297</v>
      </c>
      <c r="B41" s="246" t="s">
        <v>49</v>
      </c>
      <c r="C41" s="248"/>
      <c r="D41" s="246" t="s">
        <v>58</v>
      </c>
      <c r="E41" s="247"/>
      <c r="F41" s="248"/>
      <c r="G41" s="249">
        <f>_xlfn.IFNA(VLOOKUP(B41, 현재가테이블!$B$2:$D$200, 2, FALSE), "-")</f>
        <v>45335000</v>
      </c>
      <c r="H41" s="250"/>
      <c r="I41" s="251"/>
      <c r="J41" s="246" t="s">
        <v>59</v>
      </c>
      <c r="K41" s="247"/>
      <c r="L41" s="248"/>
      <c r="M41" s="252">
        <f>_xlfn.IFNA(VLOOKUP(B41, 현재가테이블!$B$2:$D$200, 3, FALSE), "-")</f>
        <v>-2.27209037E-2</v>
      </c>
      <c r="N41" s="253"/>
      <c r="O41" s="254"/>
      <c r="Q41" s="245"/>
      <c r="R41" s="245"/>
      <c r="S41" s="245"/>
    </row>
    <row r="42" spans="1:19" ht="17.25" customHeight="1" thickBot="1">
      <c r="A42" s="290" t="s">
        <v>55</v>
      </c>
      <c r="B42" s="286" t="str">
        <f>TEXT($G$1, "[$-ko-KR]yyyy-mm-dd(ddd) ") &amp; "오전 00:00"</f>
        <v>2021-06-15(화) 오전 00:00</v>
      </c>
      <c r="C42" s="287"/>
      <c r="D42" s="259" t="str">
        <f>TEXT($G$1, "[$-ko-KR]yyyy-mm-dd(ddd) ") &amp; "오후 14:00"</f>
        <v>2021-06-15(화) 오후 14:00</v>
      </c>
      <c r="E42" s="260"/>
      <c r="F42" s="261"/>
      <c r="G42" s="259" t="str">
        <f>TEXT($G$1, "[$-ko-KR]yyyy-mm-dd(ddd) ") &amp; "오후 19:00"</f>
        <v>2021-06-15(화) 오후 19:00</v>
      </c>
      <c r="H42" s="260"/>
      <c r="I42" s="261"/>
      <c r="J42" s="259" t="str">
        <f>TEXT($G$1, "[$-ko-KR]yyyy-mm-dd(ddd) ") &amp; "오후 21:00"</f>
        <v>2021-06-15(화) 오후 21:00</v>
      </c>
      <c r="K42" s="260"/>
      <c r="L42" s="261"/>
      <c r="M42" s="259" t="str">
        <f>TEXT($G$1+1, "[$-ko-KR]yyyy-mm-dd(ddd) ") &amp; "오전 00:00"</f>
        <v>2021-06-16(수) 오전 00:00</v>
      </c>
      <c r="N42" s="260"/>
      <c r="O42" s="261"/>
      <c r="Q42" s="245"/>
      <c r="R42" s="245"/>
      <c r="S42" s="245"/>
    </row>
    <row r="43" spans="1:19" ht="17.25" customHeight="1" thickBot="1">
      <c r="A43" s="291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217" t="s">
        <v>58</v>
      </c>
      <c r="H43" s="218" t="s">
        <v>298</v>
      </c>
      <c r="I43" s="219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5"/>
      <c r="R43" s="235"/>
      <c r="S43" s="235"/>
    </row>
    <row r="44" spans="1:19" ht="17.25" customHeight="1" thickBot="1">
      <c r="A44" s="161" t="s">
        <v>198</v>
      </c>
      <c r="B44" s="124">
        <v>13.7</v>
      </c>
      <c r="C44" s="76">
        <v>0.22321428569999999</v>
      </c>
      <c r="D44" s="13">
        <v>15.5</v>
      </c>
      <c r="E44" s="14">
        <f>IF(ISNUMBER(D44), (D44 - $B44) / $B44, "")</f>
        <v>0.13138686131386867</v>
      </c>
      <c r="F44" s="16">
        <f>IF(ISNUMBER(D44), $B64 * E44, "")</f>
        <v>13138.686131386867</v>
      </c>
      <c r="G44" s="29">
        <v>15.6</v>
      </c>
      <c r="H44" s="14">
        <f>IF(ISNUMBER(G44), (G44 - $B44) / $B44, "")</f>
        <v>0.13868613138686134</v>
      </c>
      <c r="I44" s="100">
        <f>IF(ISNUMBER(G44), $B64 * H44, "")</f>
        <v>13868.613138686134</v>
      </c>
      <c r="J44" s="13">
        <v>16.2</v>
      </c>
      <c r="K44" s="14">
        <f>IF(ISNUMBER(J44), (J44 - $B44) / $B44, "")</f>
        <v>0.18248175182481752</v>
      </c>
      <c r="L44" s="16">
        <f>IF(ISNUMBER(J44), $B64 * K44, "")</f>
        <v>18248.175182481751</v>
      </c>
      <c r="M44" s="29">
        <v>15.3</v>
      </c>
      <c r="N44" s="14">
        <f>IF(ISNUMBER(M44), (M44 - $B44) / $B44, "")</f>
        <v>0.11678832116788332</v>
      </c>
      <c r="O44" s="16">
        <f>IF(ISNUMBER(M44), $B64 * N44, "")</f>
        <v>11678.832116788331</v>
      </c>
      <c r="Q44" s="245"/>
      <c r="R44" s="245"/>
      <c r="S44" s="245"/>
    </row>
    <row r="45" spans="1:19" ht="17.25" customHeight="1" thickBot="1">
      <c r="A45" s="162" t="s">
        <v>238</v>
      </c>
      <c r="B45" s="126">
        <v>96.1</v>
      </c>
      <c r="C45" s="77">
        <v>0.1454112038</v>
      </c>
      <c r="D45" s="15">
        <v>99</v>
      </c>
      <c r="E45" s="32">
        <f t="shared" ref="E45:E48" si="14">IF(ISNUMBER(D45), (D45 - $B45) / $B45, "")</f>
        <v>3.0176899063475607E-2</v>
      </c>
      <c r="F45" s="18">
        <f>IF(ISNUMBER(D45), $B64 * E45, "")</f>
        <v>3017.6899063475607</v>
      </c>
      <c r="G45" s="31">
        <v>94.6</v>
      </c>
      <c r="H45" s="32">
        <f t="shared" ref="H45:H48" si="15">IF(ISNUMBER(G45), (G45 - $B45) / $B45, "")</f>
        <v>-1.5608740894901146E-2</v>
      </c>
      <c r="I45" s="101">
        <f>IF(ISNUMBER(G45), $B64 * H45, "")</f>
        <v>-1560.8740894901146</v>
      </c>
      <c r="J45" s="15">
        <v>94.6</v>
      </c>
      <c r="K45" s="32">
        <f t="shared" ref="K45:K48" si="16">IF(ISNUMBER(J45), (J45 - $B45) / $B45, "")</f>
        <v>-1.5608740894901146E-2</v>
      </c>
      <c r="L45" s="18">
        <f>IF(ISNUMBER(J45), $B64 * K45, "")</f>
        <v>-1560.8740894901146</v>
      </c>
      <c r="M45" s="31">
        <v>93.4</v>
      </c>
      <c r="N45" s="32">
        <f t="shared" ref="N45:N48" si="17">IF(ISNUMBER(M45), (M45 - $B45) / $B45, "")</f>
        <v>-2.8095733610821943E-2</v>
      </c>
      <c r="O45" s="18">
        <f>IF(ISNUMBER(M45), $B64 * N45, "")</f>
        <v>-2809.5733610821944</v>
      </c>
      <c r="Q45" s="245"/>
      <c r="R45" s="245"/>
      <c r="S45" s="245"/>
    </row>
    <row r="46" spans="1:19" ht="17.25" customHeight="1" thickBot="1">
      <c r="A46" s="162" t="s">
        <v>218</v>
      </c>
      <c r="B46" s="126">
        <v>5.8</v>
      </c>
      <c r="C46" s="77">
        <v>0.14398422089999999</v>
      </c>
      <c r="D46" s="15">
        <v>6.9</v>
      </c>
      <c r="E46" s="32">
        <f t="shared" si="14"/>
        <v>0.1896551724137932</v>
      </c>
      <c r="F46" s="18">
        <f>IF(ISNUMBER(D46), $B64 * E46, "")</f>
        <v>18965.517241379319</v>
      </c>
      <c r="G46" s="31">
        <v>6.04</v>
      </c>
      <c r="H46" s="32">
        <f t="shared" si="15"/>
        <v>4.1379310344827627E-2</v>
      </c>
      <c r="I46" s="101">
        <f>IF(ISNUMBER(G46), $B64 * H46, "")</f>
        <v>4137.9310344827627</v>
      </c>
      <c r="J46" s="15">
        <v>6.03</v>
      </c>
      <c r="K46" s="32">
        <f t="shared" si="16"/>
        <v>3.9655172413793176E-2</v>
      </c>
      <c r="L46" s="18">
        <f>IF(ISNUMBER(J46), $B64 * K46, "")</f>
        <v>3965.5172413793175</v>
      </c>
      <c r="M46" s="31">
        <v>6.12</v>
      </c>
      <c r="N46" s="32">
        <f t="shared" si="17"/>
        <v>5.5172413793103496E-2</v>
      </c>
      <c r="O46" s="18">
        <f>IF(ISNUMBER(M46), $B64 * N46, "")</f>
        <v>5517.2413793103497</v>
      </c>
      <c r="Q46" s="235"/>
      <c r="R46" s="235"/>
      <c r="S46" s="235"/>
    </row>
    <row r="47" spans="1:19" ht="17.25" customHeight="1" thickBot="1">
      <c r="A47" s="162" t="s">
        <v>232</v>
      </c>
      <c r="B47" s="126">
        <v>94.3</v>
      </c>
      <c r="C47" s="77">
        <v>0.1107184923</v>
      </c>
      <c r="D47" s="15">
        <v>93.4</v>
      </c>
      <c r="E47" s="32">
        <f t="shared" si="14"/>
        <v>-9.544008483563007E-3</v>
      </c>
      <c r="F47" s="18">
        <f>IF(ISNUMBER(D47), $B64 * E47, "")</f>
        <v>-954.40084835630068</v>
      </c>
      <c r="G47" s="31">
        <v>93</v>
      </c>
      <c r="H47" s="32">
        <f t="shared" si="15"/>
        <v>-1.3785790031813332E-2</v>
      </c>
      <c r="I47" s="101">
        <f>IF(ISNUMBER(G47), $B64 * H47, "")</f>
        <v>-1378.5790031813333</v>
      </c>
      <c r="J47" s="15">
        <v>92.8</v>
      </c>
      <c r="K47" s="32">
        <f t="shared" si="16"/>
        <v>-1.5906680805938496E-2</v>
      </c>
      <c r="L47" s="18">
        <f>IF(ISNUMBER(J47), $B64 * K47, "")</f>
        <v>-1590.6680805938495</v>
      </c>
      <c r="M47" s="31">
        <v>92.6</v>
      </c>
      <c r="N47" s="32">
        <f t="shared" si="17"/>
        <v>-1.8027571580063656E-2</v>
      </c>
      <c r="O47" s="18">
        <f>IF(ISNUMBER(M47), $B64 * N47, "")</f>
        <v>-1802.7571580063657</v>
      </c>
      <c r="Q47" s="235"/>
      <c r="R47" s="235"/>
      <c r="S47" s="235"/>
    </row>
    <row r="48" spans="1:19" ht="17.25" customHeight="1" thickBot="1">
      <c r="A48" s="163" t="s">
        <v>208</v>
      </c>
      <c r="B48" s="128">
        <v>97.8</v>
      </c>
      <c r="C48" s="78">
        <v>8.6666666700000006E-2</v>
      </c>
      <c r="D48" s="20">
        <v>110</v>
      </c>
      <c r="E48" s="21">
        <f t="shared" si="14"/>
        <v>0.12474437627811864</v>
      </c>
      <c r="F48" s="22">
        <f>IF(ISNUMBER(D48), $B64 * E48, "")</f>
        <v>12474.437627811863</v>
      </c>
      <c r="G48" s="30">
        <v>99.7</v>
      </c>
      <c r="H48" s="21">
        <f t="shared" si="15"/>
        <v>1.9427402862985745E-2</v>
      </c>
      <c r="I48" s="105">
        <f>IF(ISNUMBER(G48), $B64 * H48, "")</f>
        <v>1942.7402862985746</v>
      </c>
      <c r="J48" s="20">
        <v>99.4</v>
      </c>
      <c r="K48" s="21">
        <f t="shared" si="16"/>
        <v>1.6359918200409086E-2</v>
      </c>
      <c r="L48" s="22">
        <f>IF(ISNUMBER(J48), $B64 * K48, "")</f>
        <v>1635.9918200409086</v>
      </c>
      <c r="M48" s="30">
        <v>98.4</v>
      </c>
      <c r="N48" s="21">
        <f t="shared" si="17"/>
        <v>6.134969325153462E-3</v>
      </c>
      <c r="O48" s="22">
        <f>IF(ISNUMBER(M48), $B64 * N48, "")</f>
        <v>613.4969325153462</v>
      </c>
      <c r="Q48" s="235"/>
      <c r="R48" s="235"/>
      <c r="S48" s="235"/>
    </row>
    <row r="49" spans="1:19" ht="17.25" customHeight="1" thickBot="1">
      <c r="A49" s="162" t="s">
        <v>214</v>
      </c>
      <c r="B49" s="129">
        <v>9.9700000000000006</v>
      </c>
      <c r="C49" s="80">
        <v>8.6056644900000007E-2</v>
      </c>
      <c r="D49" s="106">
        <v>10.1</v>
      </c>
      <c r="E49" s="107">
        <f>IF(ISNUMBER(D49), (D49 - $B49) / $B49, "")</f>
        <v>1.3039117352056068E-2</v>
      </c>
      <c r="F49" s="108">
        <f>IF(ISNUMBER(D49), $B64 * E49, "")</f>
        <v>1303.9117352056069</v>
      </c>
      <c r="G49" s="109">
        <v>10.7</v>
      </c>
      <c r="H49" s="107">
        <f>IF(ISNUMBER(G49), (G49 - $B49) / $B49, "")</f>
        <v>7.3219658976930654E-2</v>
      </c>
      <c r="I49" s="110">
        <f>IF(ISNUMBER(G49), $B64 * H49, "")</f>
        <v>7321.965897693065</v>
      </c>
      <c r="J49" s="106">
        <v>10.7</v>
      </c>
      <c r="K49" s="107">
        <f>IF(ISNUMBER(J49), (J49 - $B49) / $B49, "")</f>
        <v>7.3219658976930654E-2</v>
      </c>
      <c r="L49" s="108">
        <f>IF(ISNUMBER(J49), $B64 * K49, "")</f>
        <v>7321.965897693065</v>
      </c>
      <c r="M49" s="109">
        <v>10.5</v>
      </c>
      <c r="N49" s="107">
        <f>IF(ISNUMBER(M49), (M49 - $B49) / $B49, "")</f>
        <v>5.315947843530585E-2</v>
      </c>
      <c r="O49" s="108">
        <f>IF(ISNUMBER(M49), $B64 * N49, "")</f>
        <v>5315.9478435305846</v>
      </c>
      <c r="Q49" s="235"/>
      <c r="R49" s="235"/>
      <c r="S49" s="235"/>
    </row>
    <row r="50" spans="1:19" ht="17.25" customHeight="1" thickBot="1">
      <c r="A50" s="162" t="s">
        <v>126</v>
      </c>
      <c r="B50" s="126">
        <v>26.3</v>
      </c>
      <c r="C50" s="77">
        <v>7.3469387799999994E-2</v>
      </c>
      <c r="D50" s="15">
        <v>26.4</v>
      </c>
      <c r="E50" s="32">
        <f t="shared" ref="E50:E53" si="18">IF(ISNUMBER(D50), (D50 - $B50) / $B50, "")</f>
        <v>3.8022813688212117E-3</v>
      </c>
      <c r="F50" s="18">
        <f>IF(ISNUMBER(D50), $B64 * E50, "")</f>
        <v>380.22813688212119</v>
      </c>
      <c r="G50" s="31">
        <v>26.1</v>
      </c>
      <c r="H50" s="32">
        <f t="shared" ref="H50:H53" si="19">IF(ISNUMBER(G50), (G50 - $B50) / $B50, "")</f>
        <v>-7.6045627376425586E-3</v>
      </c>
      <c r="I50" s="101">
        <f>IF(ISNUMBER(G50), $B64 * H50, "")</f>
        <v>-760.45627376425591</v>
      </c>
      <c r="J50" s="15">
        <v>26.2</v>
      </c>
      <c r="K50" s="32">
        <f t="shared" ref="K50:K53" si="20">IF(ISNUMBER(J50), (J50 - $B50) / $B50, "")</f>
        <v>-3.8022813688213465E-3</v>
      </c>
      <c r="L50" s="18">
        <f>IF(ISNUMBER(J50), $B64 * K50, "")</f>
        <v>-380.22813688213466</v>
      </c>
      <c r="M50" s="31">
        <v>25.4</v>
      </c>
      <c r="N50" s="32">
        <f t="shared" ref="N50:N53" si="21">IF(ISNUMBER(M50), (M50 - $B50) / $B50, "")</f>
        <v>-3.4220532319391712E-2</v>
      </c>
      <c r="O50" s="18">
        <f>IF(ISNUMBER(M50), $B64 * N50, "")</f>
        <v>-3422.0532319391714</v>
      </c>
      <c r="Q50" s="235"/>
      <c r="R50" s="235"/>
      <c r="S50" s="235"/>
    </row>
    <row r="51" spans="1:19" ht="17.25" customHeight="1" thickBot="1">
      <c r="A51" s="162" t="s">
        <v>254</v>
      </c>
      <c r="B51" s="126">
        <v>20.6</v>
      </c>
      <c r="C51" s="77">
        <v>5.6410256399999997E-2</v>
      </c>
      <c r="D51" s="15">
        <v>23</v>
      </c>
      <c r="E51" s="32">
        <f t="shared" si="18"/>
        <v>0.11650485436893196</v>
      </c>
      <c r="F51" s="18">
        <f>IF(ISNUMBER(D51), $B64 * E51, "")</f>
        <v>11650.485436893196</v>
      </c>
      <c r="G51" s="31">
        <v>21.1</v>
      </c>
      <c r="H51" s="32">
        <f t="shared" si="19"/>
        <v>2.4271844660194174E-2</v>
      </c>
      <c r="I51" s="101">
        <f>IF(ISNUMBER(G51), $B64 * H51, "")</f>
        <v>2427.1844660194174</v>
      </c>
      <c r="J51" s="15">
        <v>21.2</v>
      </c>
      <c r="K51" s="32">
        <f t="shared" si="20"/>
        <v>2.9126213592232903E-2</v>
      </c>
      <c r="L51" s="18">
        <f>IF(ISNUMBER(J51), $B64 * K51, "")</f>
        <v>2912.6213592232903</v>
      </c>
      <c r="M51" s="31">
        <v>21.8</v>
      </c>
      <c r="N51" s="32">
        <f t="shared" si="21"/>
        <v>5.825242718446598E-2</v>
      </c>
      <c r="O51" s="18">
        <f>IF(ISNUMBER(M51), $B64 * N51, "")</f>
        <v>5825.2427184465978</v>
      </c>
      <c r="Q51" s="235"/>
      <c r="R51" s="235"/>
      <c r="S51" s="235"/>
    </row>
    <row r="52" spans="1:19" ht="17.25" customHeight="1" thickBot="1">
      <c r="A52" s="162" t="s">
        <v>228</v>
      </c>
      <c r="B52" s="126">
        <v>8.17</v>
      </c>
      <c r="C52" s="77">
        <v>5.41935484E-2</v>
      </c>
      <c r="D52" s="15">
        <v>8.1199999999999992</v>
      </c>
      <c r="E52" s="32">
        <f t="shared" si="18"/>
        <v>-6.1199510403917639E-3</v>
      </c>
      <c r="F52" s="18">
        <f>IF(ISNUMBER(D52), $B64 * E52, "")</f>
        <v>-611.99510403917634</v>
      </c>
      <c r="G52" s="31">
        <v>9.15</v>
      </c>
      <c r="H52" s="32">
        <f t="shared" si="19"/>
        <v>0.11995104039167692</v>
      </c>
      <c r="I52" s="101">
        <f>IF(ISNUMBER(G52), $B64 * H52, "")</f>
        <v>11995.104039167692</v>
      </c>
      <c r="J52" s="15">
        <v>9.06</v>
      </c>
      <c r="K52" s="32">
        <f t="shared" si="20"/>
        <v>0.10893512851897191</v>
      </c>
      <c r="L52" s="18">
        <f>IF(ISNUMBER(J52), $B64 * K52, "")</f>
        <v>10893.512851897191</v>
      </c>
      <c r="M52" s="31">
        <v>8.6300000000000008</v>
      </c>
      <c r="N52" s="32">
        <f t="shared" si="21"/>
        <v>5.630354957160353E-2</v>
      </c>
      <c r="O52" s="18">
        <f>IF(ISNUMBER(M52), $B64 * N52, "")</f>
        <v>5630.3549571603526</v>
      </c>
      <c r="Q52" s="33"/>
      <c r="R52" s="33"/>
    </row>
    <row r="53" spans="1:19" ht="17.25" customHeight="1" thickBot="1">
      <c r="A53" s="130" t="s">
        <v>250</v>
      </c>
      <c r="B53" s="131">
        <v>58</v>
      </c>
      <c r="C53" s="79">
        <v>5.0724637699999998E-2</v>
      </c>
      <c r="D53" s="24">
        <v>90.6</v>
      </c>
      <c r="E53" s="25">
        <f t="shared" si="18"/>
        <v>0.56206896551724128</v>
      </c>
      <c r="F53" s="104">
        <f>IF(ISNUMBER(D53), $B64 * E53, "")</f>
        <v>56206.89655172413</v>
      </c>
      <c r="G53" s="102">
        <v>78.3</v>
      </c>
      <c r="H53" s="25">
        <f t="shared" si="19"/>
        <v>0.35</v>
      </c>
      <c r="I53" s="103">
        <f>IF(ISNUMBER(G53), $B64 * H53, "")</f>
        <v>35000</v>
      </c>
      <c r="J53" s="24">
        <v>78.900000000000006</v>
      </c>
      <c r="K53" s="25">
        <f t="shared" si="20"/>
        <v>0.36034482758620701</v>
      </c>
      <c r="L53" s="104">
        <f>IF(ISNUMBER(J53), $B64 * K53, "")</f>
        <v>36034.482758620703</v>
      </c>
      <c r="M53" s="102">
        <v>79.400000000000006</v>
      </c>
      <c r="N53" s="25">
        <f t="shared" si="21"/>
        <v>0.36896551724137938</v>
      </c>
      <c r="O53" s="104">
        <f>IF(ISNUMBER(M53), $B64 * N53, "")</f>
        <v>36896.551724137935</v>
      </c>
      <c r="Q53" s="236"/>
      <c r="R53" s="237"/>
      <c r="S53" s="238"/>
    </row>
    <row r="54" spans="1:19" ht="17.25" customHeight="1">
      <c r="A54" s="161" t="s">
        <v>240</v>
      </c>
      <c r="B54" s="124">
        <v>90.3</v>
      </c>
      <c r="C54" s="76">
        <v>0.05</v>
      </c>
      <c r="D54" s="13">
        <v>88.8</v>
      </c>
      <c r="E54" s="14">
        <f>IF(ISNUMBER(D54), (D54 - $B54) / $B54, "")</f>
        <v>-1.6611295681063124E-2</v>
      </c>
      <c r="F54" s="16">
        <f>IF(ISNUMBER(D54), $B64 * E54, "")</f>
        <v>-1661.1295681063125</v>
      </c>
      <c r="G54" s="29">
        <v>88.9</v>
      </c>
      <c r="H54" s="14">
        <f>IF(ISNUMBER(G54), (G54 - $B54) / $B54, "")</f>
        <v>-1.5503875968992154E-2</v>
      </c>
      <c r="I54" s="100">
        <f>IF(ISNUMBER(G54), $B64 * H54, "")</f>
        <v>-1550.3875968992154</v>
      </c>
      <c r="J54" s="13">
        <v>88.7</v>
      </c>
      <c r="K54" s="14">
        <f>IF(ISNUMBER(J54), (J54 - $B54) / $B54, "")</f>
        <v>-1.7718715393133935E-2</v>
      </c>
      <c r="L54" s="16">
        <f>IF(ISNUMBER(J54), $B64 * K54, "")</f>
        <v>-1771.8715393133934</v>
      </c>
      <c r="M54" s="29">
        <v>88.9</v>
      </c>
      <c r="N54" s="14">
        <f>IF(ISNUMBER(M54), (M54 - $B54) / $B54, "")</f>
        <v>-1.5503875968992154E-2</v>
      </c>
      <c r="O54" s="16">
        <f>IF(ISNUMBER(M54), $B64 * N54, "")</f>
        <v>-1550.3875968992154</v>
      </c>
      <c r="Q54" s="239"/>
      <c r="R54" s="240"/>
      <c r="S54" s="241"/>
    </row>
    <row r="55" spans="1:19" ht="17.25" customHeight="1" thickBot="1">
      <c r="A55" s="162" t="s">
        <v>134</v>
      </c>
      <c r="B55" s="126">
        <v>81.400000000000006</v>
      </c>
      <c r="C55" s="77">
        <v>4.0920716099999997E-2</v>
      </c>
      <c r="D55" s="15">
        <v>81.400000000000006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81</v>
      </c>
      <c r="H55" s="32">
        <f t="shared" ref="H55:H58" si="23">IF(ISNUMBER(G55), (G55 - $B55) / $B55, "")</f>
        <v>-4.9140049140049833E-3</v>
      </c>
      <c r="I55" s="101">
        <f>IF(ISNUMBER(G55), $B64 * H55, "")</f>
        <v>-491.40049140049831</v>
      </c>
      <c r="J55" s="15">
        <v>80.900000000000006</v>
      </c>
      <c r="K55" s="32">
        <f t="shared" ref="K55:K58" si="24">IF(ISNUMBER(J55), (J55 - $B55) / $B55, "")</f>
        <v>-6.1425061425061421E-3</v>
      </c>
      <c r="L55" s="18">
        <f>IF(ISNUMBER(J55), $B64 * K55, "")</f>
        <v>-614.25061425061426</v>
      </c>
      <c r="M55" s="31">
        <v>80.5</v>
      </c>
      <c r="N55" s="32">
        <f t="shared" ref="N55:N58" si="25">IF(ISNUMBER(M55), (M55 - $B55) / $B55, "")</f>
        <v>-1.1056511056511125E-2</v>
      </c>
      <c r="O55" s="18">
        <f>IF(ISNUMBER(M55), $B64 * N55, "")</f>
        <v>-1105.6511056511126</v>
      </c>
      <c r="Q55" s="242"/>
      <c r="R55" s="243"/>
      <c r="S55" s="244"/>
    </row>
    <row r="56" spans="1:19" ht="17.25" customHeight="1" thickBot="1">
      <c r="A56" s="162" t="s">
        <v>168</v>
      </c>
      <c r="B56" s="126">
        <v>85.7</v>
      </c>
      <c r="C56" s="77">
        <v>3.8787878800000002E-2</v>
      </c>
      <c r="D56" s="15">
        <v>86.1</v>
      </c>
      <c r="E56" s="32">
        <f t="shared" si="22"/>
        <v>4.6674445740955833E-3</v>
      </c>
      <c r="F56" s="18">
        <f>IF(ISNUMBER(D56), $B64 * E56, "")</f>
        <v>466.74445740955832</v>
      </c>
      <c r="G56" s="31">
        <v>85.2</v>
      </c>
      <c r="H56" s="32">
        <f t="shared" si="23"/>
        <v>-5.8343057176196032E-3</v>
      </c>
      <c r="I56" s="101">
        <f>IF(ISNUMBER(G56), $B64 * H56, "")</f>
        <v>-583.43057176196032</v>
      </c>
      <c r="J56" s="15">
        <v>84.6</v>
      </c>
      <c r="K56" s="32">
        <f t="shared" si="24"/>
        <v>-1.2835472578763225E-2</v>
      </c>
      <c r="L56" s="18">
        <f>IF(ISNUMBER(J56), $B64 * K56, "")</f>
        <v>-1283.5472578763226</v>
      </c>
      <c r="M56" s="31">
        <v>84.2</v>
      </c>
      <c r="N56" s="32">
        <f t="shared" si="25"/>
        <v>-1.7502917152858809E-2</v>
      </c>
      <c r="O56" s="18">
        <f>IF(ISNUMBER(M56), $B64 * N56, "")</f>
        <v>-1750.2917152858809</v>
      </c>
      <c r="Q56" s="235"/>
      <c r="R56" s="235"/>
      <c r="S56" s="235"/>
    </row>
    <row r="57" spans="1:19" ht="17.25" customHeight="1" thickBot="1">
      <c r="A57" s="162" t="s">
        <v>210</v>
      </c>
      <c r="B57" s="126">
        <v>86.5</v>
      </c>
      <c r="C57" s="77">
        <v>3.3452807600000002E-2</v>
      </c>
      <c r="D57" s="15">
        <v>86.3</v>
      </c>
      <c r="E57" s="32">
        <f t="shared" si="22"/>
        <v>-2.3121387283237321E-3</v>
      </c>
      <c r="F57" s="18">
        <f>IF(ISNUMBER(D57), $B64 * E57, "")</f>
        <v>-231.2138728323732</v>
      </c>
      <c r="G57" s="31">
        <v>88.8</v>
      </c>
      <c r="H57" s="32">
        <f t="shared" si="23"/>
        <v>2.6589595375722509E-2</v>
      </c>
      <c r="I57" s="101">
        <f>IF(ISNUMBER(G57), $B64 * H57, "")</f>
        <v>2658.9595375722511</v>
      </c>
      <c r="J57" s="15">
        <v>88.5</v>
      </c>
      <c r="K57" s="32">
        <f t="shared" si="24"/>
        <v>2.3121387283236993E-2</v>
      </c>
      <c r="L57" s="18">
        <f>IF(ISNUMBER(J57), $B64 * K57, "")</f>
        <v>2312.1387283236995</v>
      </c>
      <c r="M57" s="31">
        <v>89.1</v>
      </c>
      <c r="N57" s="32">
        <f t="shared" si="25"/>
        <v>3.0057803468208025E-2</v>
      </c>
      <c r="O57" s="18">
        <f>IF(ISNUMBER(M57), $B64 * N57, "")</f>
        <v>3005.7803468208026</v>
      </c>
      <c r="Q57" s="245"/>
      <c r="R57" s="245"/>
      <c r="S57" s="245"/>
    </row>
    <row r="58" spans="1:19" ht="17.25" customHeight="1" thickBot="1">
      <c r="A58" s="163" t="s">
        <v>154</v>
      </c>
      <c r="B58" s="128">
        <v>8.76</v>
      </c>
      <c r="C58" s="78">
        <v>2.8169014100000001E-2</v>
      </c>
      <c r="D58" s="20">
        <v>8.6999999999999993</v>
      </c>
      <c r="E58" s="21">
        <f t="shared" si="22"/>
        <v>-6.8493150684932076E-3</v>
      </c>
      <c r="F58" s="22">
        <f>IF(ISNUMBER(D58), $B64 * E58, "")</f>
        <v>-684.93150684932073</v>
      </c>
      <c r="G58" s="30">
        <v>9.2899999999999991</v>
      </c>
      <c r="H58" s="21">
        <f t="shared" si="23"/>
        <v>6.0502283105022758E-2</v>
      </c>
      <c r="I58" s="105">
        <f>IF(ISNUMBER(G58), $B64 * H58, "")</f>
        <v>6050.2283105022761</v>
      </c>
      <c r="J58" s="20">
        <v>9.26</v>
      </c>
      <c r="K58" s="21">
        <f t="shared" si="24"/>
        <v>5.7077625570776259E-2</v>
      </c>
      <c r="L58" s="22">
        <f>IF(ISNUMBER(J58), $B64 * K58, "")</f>
        <v>5707.7625570776263</v>
      </c>
      <c r="M58" s="30">
        <v>9.09</v>
      </c>
      <c r="N58" s="21">
        <f t="shared" si="25"/>
        <v>3.7671232876712341E-2</v>
      </c>
      <c r="O58" s="22">
        <f>IF(ISNUMBER(M58), $B64 * N58, "")</f>
        <v>3767.1232876712343</v>
      </c>
      <c r="Q58" s="245"/>
      <c r="R58" s="245"/>
      <c r="S58" s="245"/>
    </row>
    <row r="59" spans="1:19" ht="17.25" customHeight="1" thickBot="1">
      <c r="A59" s="162" t="s">
        <v>196</v>
      </c>
      <c r="B59" s="129">
        <v>8.5500000000000007</v>
      </c>
      <c r="C59" s="80">
        <v>2.5179856099999998E-2</v>
      </c>
      <c r="D59" s="106">
        <v>8.5500000000000007</v>
      </c>
      <c r="E59" s="107">
        <f>IF(ISNUMBER(D59), (D59 - $B59) / $B59, "")</f>
        <v>0</v>
      </c>
      <c r="F59" s="108">
        <f>IF(ISNUMBER(D59), $B64 * E59, "")</f>
        <v>0</v>
      </c>
      <c r="G59" s="109">
        <v>9.2899999999999991</v>
      </c>
      <c r="H59" s="107">
        <f>IF(ISNUMBER(G59), (G59 - $B59) / $B59, "")</f>
        <v>8.6549707602338988E-2</v>
      </c>
      <c r="I59" s="110">
        <f>IF(ISNUMBER(G59), $B64 * H59, "")</f>
        <v>8654.9707602338985</v>
      </c>
      <c r="J59" s="106">
        <v>9.32</v>
      </c>
      <c r="K59" s="107">
        <f>IF(ISNUMBER(J59), (J59 - $B59) / $B59, "")</f>
        <v>9.0058479532163685E-2</v>
      </c>
      <c r="L59" s="108">
        <f>IF(ISNUMBER(J59), $B64 * K59, "")</f>
        <v>9005.8479532163692</v>
      </c>
      <c r="M59" s="109">
        <v>9.16</v>
      </c>
      <c r="N59" s="107">
        <f>IF(ISNUMBER(M59), (M59 - $B59) / $B59, "")</f>
        <v>7.1345029239766003E-2</v>
      </c>
      <c r="O59" s="108">
        <f>IF(ISNUMBER(M59), $B64 * N59, "")</f>
        <v>7134.5029239766</v>
      </c>
      <c r="Q59" s="235"/>
      <c r="R59" s="235"/>
      <c r="S59" s="235"/>
    </row>
    <row r="60" spans="1:19" ht="17.25" customHeight="1" thickBot="1">
      <c r="A60" s="162" t="s">
        <v>65</v>
      </c>
      <c r="B60" s="126">
        <v>33</v>
      </c>
      <c r="C60" s="77">
        <v>2.48447205E-2</v>
      </c>
      <c r="D60" s="15">
        <v>33.799999999999997</v>
      </c>
      <c r="E60" s="32">
        <f t="shared" ref="E60:E63" si="26">IF(ISNUMBER(D60), (D60 - $B60) / $B60, "")</f>
        <v>2.4242424242424156E-2</v>
      </c>
      <c r="F60" s="18">
        <f>IF(ISNUMBER(D60), $B64 * E60, "")</f>
        <v>2424.2424242424154</v>
      </c>
      <c r="G60" s="31">
        <v>33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33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32.799999999999997</v>
      </c>
      <c r="N60" s="32">
        <f t="shared" ref="N60:N63" si="29">IF(ISNUMBER(M60), (M60 - $B60) / $B60, "")</f>
        <v>-6.0606060606061465E-3</v>
      </c>
      <c r="O60" s="18">
        <f>IF(ISNUMBER(M60), $B64 * N60, "")</f>
        <v>-606.06060606061465</v>
      </c>
      <c r="Q60" s="235"/>
      <c r="R60" s="235"/>
      <c r="S60" s="235"/>
    </row>
    <row r="61" spans="1:19" ht="17.25" customHeight="1" thickBot="1">
      <c r="A61" s="162" t="s">
        <v>172</v>
      </c>
      <c r="B61" s="126">
        <v>4.79</v>
      </c>
      <c r="C61" s="77">
        <v>2.3504273499999999E-2</v>
      </c>
      <c r="D61" s="15">
        <v>5.38</v>
      </c>
      <c r="E61" s="32">
        <f t="shared" si="26"/>
        <v>0.12317327766179538</v>
      </c>
      <c r="F61" s="18">
        <f>IF(ISNUMBER(D61), $B64 * E61, "")</f>
        <v>12317.327766179538</v>
      </c>
      <c r="G61" s="31">
        <v>5.0599999999999996</v>
      </c>
      <c r="H61" s="32">
        <f t="shared" si="27"/>
        <v>5.6367432150313063E-2</v>
      </c>
      <c r="I61" s="101">
        <f>IF(ISNUMBER(G61), $B64 * H61, "")</f>
        <v>5636.7432150313061</v>
      </c>
      <c r="J61" s="15">
        <v>5.14</v>
      </c>
      <c r="K61" s="32">
        <f t="shared" si="28"/>
        <v>7.3068893528183645E-2</v>
      </c>
      <c r="L61" s="18">
        <f>IF(ISNUMBER(J61), $B64 * K61, "")</f>
        <v>7306.8893528183644</v>
      </c>
      <c r="M61" s="31">
        <v>5.19</v>
      </c>
      <c r="N61" s="32">
        <f t="shared" si="29"/>
        <v>8.3507306889352886E-2</v>
      </c>
      <c r="O61" s="18">
        <f>IF(ISNUMBER(M61), $B64 * N61, "")</f>
        <v>8350.7306889352894</v>
      </c>
      <c r="Q61" s="235"/>
      <c r="R61" s="235"/>
      <c r="S61" s="235"/>
    </row>
    <row r="62" spans="1:19" ht="17.25" customHeight="1">
      <c r="A62" s="162" t="s">
        <v>122</v>
      </c>
      <c r="B62" s="126">
        <v>22.5</v>
      </c>
      <c r="C62" s="77">
        <v>2.2727272699999999E-2</v>
      </c>
      <c r="D62" s="15">
        <v>25.9</v>
      </c>
      <c r="E62" s="32">
        <f t="shared" si="26"/>
        <v>0.15111111111111106</v>
      </c>
      <c r="F62" s="18">
        <f>IF(ISNUMBER(D62), $B64 * E62, "")</f>
        <v>15111.111111111106</v>
      </c>
      <c r="G62" s="31">
        <v>23.7</v>
      </c>
      <c r="H62" s="32">
        <f t="shared" si="27"/>
        <v>5.3333333333333302E-2</v>
      </c>
      <c r="I62" s="101">
        <f>IF(ISNUMBER(G62), $B64 * H62, "")</f>
        <v>5333.3333333333303</v>
      </c>
      <c r="J62" s="15">
        <v>23.8</v>
      </c>
      <c r="K62" s="32">
        <f t="shared" si="28"/>
        <v>5.777777777777781E-2</v>
      </c>
      <c r="L62" s="18">
        <f>IF(ISNUMBER(J62), $B64 * K62, "")</f>
        <v>5777.777777777781</v>
      </c>
      <c r="M62" s="31">
        <v>24.2</v>
      </c>
      <c r="N62" s="32">
        <f t="shared" si="29"/>
        <v>7.5555555555555529E-2</v>
      </c>
      <c r="O62" s="18">
        <f>IF(ISNUMBER(M62), $B64 * N62, "")</f>
        <v>7555.5555555555529</v>
      </c>
      <c r="Q62" s="224"/>
      <c r="R62" s="225"/>
      <c r="S62" s="226"/>
    </row>
    <row r="63" spans="1:19" ht="17.25" customHeight="1" thickBot="1">
      <c r="A63" s="130" t="s">
        <v>236</v>
      </c>
      <c r="B63" s="131">
        <v>18.600000000000001</v>
      </c>
      <c r="C63" s="79">
        <v>2.1978022E-2</v>
      </c>
      <c r="D63" s="24">
        <v>20.7</v>
      </c>
      <c r="E63" s="25">
        <f t="shared" si="26"/>
        <v>0.11290322580645148</v>
      </c>
      <c r="F63" s="104">
        <f>IF(ISNUMBER(D63), $B64 * E63, "")</f>
        <v>11290.322580645148</v>
      </c>
      <c r="G63" s="102">
        <v>19.2</v>
      </c>
      <c r="H63" s="25">
        <f t="shared" si="27"/>
        <v>3.2258064516128913E-2</v>
      </c>
      <c r="I63" s="103">
        <f>IF(ISNUMBER(G63), $B64 * H63, "")</f>
        <v>3225.8064516128911</v>
      </c>
      <c r="J63" s="24">
        <v>19.2</v>
      </c>
      <c r="K63" s="25">
        <f t="shared" si="28"/>
        <v>3.2258064516128913E-2</v>
      </c>
      <c r="L63" s="104">
        <f>IF(ISNUMBER(J63), $B64 * K63, "")</f>
        <v>3225.8064516128911</v>
      </c>
      <c r="M63" s="102">
        <v>19.3</v>
      </c>
      <c r="N63" s="25">
        <f t="shared" si="29"/>
        <v>3.7634408602150497E-2</v>
      </c>
      <c r="O63" s="104">
        <f>IF(ISNUMBER(M63), $B64 * N63, "")</f>
        <v>3763.4408602150497</v>
      </c>
      <c r="Q63" s="227"/>
      <c r="R63" s="228"/>
      <c r="S63" s="229"/>
    </row>
    <row r="64" spans="1:19" ht="17.25" customHeight="1" thickBot="1">
      <c r="A64" s="132" t="s">
        <v>300</v>
      </c>
      <c r="B64" s="288">
        <f>$B$37</f>
        <v>100000</v>
      </c>
      <c r="C64" s="289"/>
      <c r="D64" s="26" t="s">
        <v>301</v>
      </c>
      <c r="E64" s="27">
        <f>IF(COUNT(E44:E63), SUM(E44:E63) / COUNT(E44:E63), 0)</f>
        <v>7.7301965103517473E-2</v>
      </c>
      <c r="F64" s="28">
        <f>SUM(F44:F63)</f>
        <v>154603.93020703495</v>
      </c>
      <c r="G64" s="26" t="s">
        <v>301</v>
      </c>
      <c r="H64" s="27">
        <f>IF(COUNT(H44:H63), SUM(H44:H63) / COUNT(H44:H63), 0)</f>
        <v>5.0964226222068122E-2</v>
      </c>
      <c r="I64" s="28">
        <f>SUM(I44:I63)</f>
        <v>101928.45244413623</v>
      </c>
      <c r="J64" s="26" t="s">
        <v>301</v>
      </c>
      <c r="K64" s="27">
        <f>IF(COUNT(K44:K63), SUM(K44:K63) / COUNT(K44:K63), 0)</f>
        <v>5.357352510687826E-2</v>
      </c>
      <c r="L64" s="28">
        <f>SUM(L44:L63)</f>
        <v>107147.05021375655</v>
      </c>
      <c r="M64" s="26" t="s">
        <v>301</v>
      </c>
      <c r="N64" s="27">
        <f>IF(COUNT(N44:N63), SUM(N44:N63) / COUNT(N44:N63), 0)</f>
        <v>4.6004013280069742E-2</v>
      </c>
      <c r="O64" s="28">
        <f>SUM(O44:O63)</f>
        <v>92008.026560139479</v>
      </c>
      <c r="Q64" s="230"/>
      <c r="R64" s="231"/>
      <c r="S64" s="232"/>
    </row>
    <row r="65" spans="1:19" ht="17.25" customHeight="1"/>
    <row r="66" spans="1:19" ht="17.25" customHeight="1" thickBot="1"/>
    <row r="67" spans="1:19" ht="17.25" thickBot="1">
      <c r="A67" s="246" t="s">
        <v>45</v>
      </c>
      <c r="B67" s="247"/>
      <c r="C67" s="247"/>
      <c r="D67" s="247"/>
      <c r="E67" s="247"/>
      <c r="F67" s="247"/>
      <c r="G67" s="247"/>
      <c r="H67" s="247"/>
      <c r="I67" s="247"/>
      <c r="J67" s="247"/>
      <c r="K67" s="247"/>
      <c r="L67" s="247"/>
      <c r="M67" s="247"/>
      <c r="N67" s="247"/>
      <c r="O67" s="248"/>
      <c r="Q67" s="245"/>
      <c r="R67" s="245"/>
      <c r="S67" s="245"/>
    </row>
    <row r="68" spans="1:19" ht="17.25" thickBot="1">
      <c r="A68" s="216" t="s">
        <v>297</v>
      </c>
      <c r="B68" s="246" t="s">
        <v>49</v>
      </c>
      <c r="C68" s="248"/>
      <c r="D68" s="246" t="s">
        <v>58</v>
      </c>
      <c r="E68" s="247"/>
      <c r="F68" s="248"/>
      <c r="G68" s="249">
        <f>_xlfn.IFNA(VLOOKUP(B68, 현재가테이블!$B$2:$D$200, 2, FALSE), "-")</f>
        <v>45335000</v>
      </c>
      <c r="H68" s="250"/>
      <c r="I68" s="251"/>
      <c r="J68" s="246" t="s">
        <v>59</v>
      </c>
      <c r="K68" s="247"/>
      <c r="L68" s="248"/>
      <c r="M68" s="252">
        <f>_xlfn.IFNA(VLOOKUP(B68, 현재가테이블!$B$2:$D$200, 3, FALSE), "-")</f>
        <v>-2.27209037E-2</v>
      </c>
      <c r="N68" s="253"/>
      <c r="O68" s="254"/>
      <c r="Q68" s="245"/>
      <c r="R68" s="245"/>
      <c r="S68" s="245"/>
    </row>
    <row r="69" spans="1:19" ht="17.25" thickBot="1">
      <c r="A69" s="290" t="s">
        <v>55</v>
      </c>
      <c r="B69" s="286" t="str">
        <f>TEXT($G$1, "[$-ko-KR]yyyy-mm-dd(ddd) ") &amp; "오전 00:00"</f>
        <v>2021-06-15(화) 오전 00:00</v>
      </c>
      <c r="C69" s="287"/>
      <c r="D69" s="259" t="str">
        <f>TEXT($G$1, "[$-ko-KR]yyyy-mm-dd(ddd) ") &amp; "오후 14:00"</f>
        <v>2021-06-15(화) 오후 14:00</v>
      </c>
      <c r="E69" s="260"/>
      <c r="F69" s="261"/>
      <c r="G69" s="259" t="str">
        <f>TEXT($G$1, "[$-ko-KR]yyyy-mm-dd(ddd) ") &amp; "오후 19:00"</f>
        <v>2021-06-15(화) 오후 19:00</v>
      </c>
      <c r="H69" s="260"/>
      <c r="I69" s="261"/>
      <c r="J69" s="259" t="str">
        <f>TEXT($G$1, "[$-ko-KR]yyyy-mm-dd(ddd) ") &amp; "오후 21:00"</f>
        <v>2021-06-15(화) 오후 21:00</v>
      </c>
      <c r="K69" s="260"/>
      <c r="L69" s="261"/>
      <c r="M69" s="259" t="str">
        <f>TEXT($G$1+1, "[$-ko-KR]yyyy-mm-dd(ddd) ") &amp; "오전 00:00"</f>
        <v>2021-06-16(수) 오전 00:00</v>
      </c>
      <c r="N69" s="260"/>
      <c r="O69" s="261"/>
      <c r="Q69" s="245"/>
      <c r="R69" s="245"/>
      <c r="S69" s="245"/>
    </row>
    <row r="70" spans="1:19" ht="17.25" thickBot="1">
      <c r="A70" s="291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217" t="s">
        <v>58</v>
      </c>
      <c r="H70" s="218" t="s">
        <v>298</v>
      </c>
      <c r="I70" s="219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5"/>
      <c r="R70" s="235"/>
      <c r="S70" s="235"/>
    </row>
    <row r="71" spans="1:19" ht="17.25" thickBot="1">
      <c r="A71" s="161" t="s">
        <v>162</v>
      </c>
      <c r="B71" s="124">
        <v>760</v>
      </c>
      <c r="C71" s="76">
        <v>0.52</v>
      </c>
      <c r="D71" s="13">
        <v>855</v>
      </c>
      <c r="E71" s="14">
        <f>IF(ISNUMBER(D71), (D71 - $B71) / $B71, "")</f>
        <v>0.125</v>
      </c>
      <c r="F71" s="16">
        <f>IF(ISNUMBER(D71), $B91 * E71, "")</f>
        <v>12500</v>
      </c>
      <c r="G71" s="29">
        <v>759</v>
      </c>
      <c r="H71" s="14">
        <f>IF(ISNUMBER(G71), (G71 - $B71) / $B71, "")</f>
        <v>-1.3157894736842105E-3</v>
      </c>
      <c r="I71" s="100">
        <f>IF(ISNUMBER(G71), $B91 * H71, "")</f>
        <v>-131.57894736842104</v>
      </c>
      <c r="J71" s="13">
        <v>765</v>
      </c>
      <c r="K71" s="14">
        <f>IF(ISNUMBER(J71), (J71 - $B71) / $B71, "")</f>
        <v>6.5789473684210523E-3</v>
      </c>
      <c r="L71" s="16">
        <f>IF(ISNUMBER(J71), $B91 * K71, "")</f>
        <v>657.8947368421052</v>
      </c>
      <c r="M71" s="29">
        <v>736</v>
      </c>
      <c r="N71" s="14">
        <f>IF(ISNUMBER(M71), (M71 - $B71) / $B71, "")</f>
        <v>-3.1578947368421054E-2</v>
      </c>
      <c r="O71" s="16">
        <f>IF(ISNUMBER(M71), $B91 * N71, "")</f>
        <v>-3157.8947368421054</v>
      </c>
      <c r="Q71" s="245"/>
      <c r="R71" s="245"/>
      <c r="S71" s="245"/>
    </row>
    <row r="72" spans="1:19" ht="17.25" thickBot="1">
      <c r="A72" s="162" t="s">
        <v>234</v>
      </c>
      <c r="B72" s="126">
        <v>360</v>
      </c>
      <c r="C72" s="77">
        <v>0.18811881189999999</v>
      </c>
      <c r="D72" s="15">
        <v>391</v>
      </c>
      <c r="E72" s="32">
        <f t="shared" ref="E72:E75" si="30">IF(ISNUMBER(D72), (D72 - $B72) / $B72, "")</f>
        <v>8.611111111111111E-2</v>
      </c>
      <c r="F72" s="18">
        <f>IF(ISNUMBER(D72), $B91 * E72, "")</f>
        <v>8611.1111111111113</v>
      </c>
      <c r="G72" s="31">
        <v>347</v>
      </c>
      <c r="H72" s="32">
        <f t="shared" ref="H72:H75" si="31">IF(ISNUMBER(G72), (G72 - $B72) / $B72, "")</f>
        <v>-3.6111111111111108E-2</v>
      </c>
      <c r="I72" s="101">
        <f>IF(ISNUMBER(G72), $B91 * H72, "")</f>
        <v>-3611.1111111111109</v>
      </c>
      <c r="J72" s="15">
        <v>344</v>
      </c>
      <c r="K72" s="32">
        <f t="shared" ref="K72:K75" si="32">IF(ISNUMBER(J72), (J72 - $B72) / $B72, "")</f>
        <v>-4.4444444444444446E-2</v>
      </c>
      <c r="L72" s="18">
        <f>IF(ISNUMBER(J72), $B91 * K72, "")</f>
        <v>-4444.4444444444443</v>
      </c>
      <c r="M72" s="31">
        <v>345</v>
      </c>
      <c r="N72" s="32">
        <f t="shared" ref="N72:N75" si="33">IF(ISNUMBER(M72), (M72 - $B72) / $B72, "")</f>
        <v>-4.1666666666666664E-2</v>
      </c>
      <c r="O72" s="18">
        <f>IF(ISNUMBER(M72), $B91 * N72, "")</f>
        <v>-4166.6666666666661</v>
      </c>
      <c r="Q72" s="245"/>
      <c r="R72" s="245"/>
      <c r="S72" s="245"/>
    </row>
    <row r="73" spans="1:19" ht="17.25" thickBot="1">
      <c r="A73" s="162" t="s">
        <v>226</v>
      </c>
      <c r="B73" s="126">
        <v>217</v>
      </c>
      <c r="C73" s="77">
        <v>6.3725490199999998E-2</v>
      </c>
      <c r="D73" s="15">
        <v>218</v>
      </c>
      <c r="E73" s="32">
        <f t="shared" si="30"/>
        <v>4.608294930875576E-3</v>
      </c>
      <c r="F73" s="18">
        <f>IF(ISNUMBER(D73), $B91 * E73, "")</f>
        <v>460.82949308755758</v>
      </c>
      <c r="G73" s="31">
        <v>215</v>
      </c>
      <c r="H73" s="32">
        <f t="shared" si="31"/>
        <v>-9.2165898617511521E-3</v>
      </c>
      <c r="I73" s="101">
        <f>IF(ISNUMBER(G73), $B91 * H73, "")</f>
        <v>-921.65898617511516</v>
      </c>
      <c r="J73" s="15">
        <v>217</v>
      </c>
      <c r="K73" s="32">
        <f t="shared" si="32"/>
        <v>0</v>
      </c>
      <c r="L73" s="18">
        <f>IF(ISNUMBER(J73), $B91 * K73, "")</f>
        <v>0</v>
      </c>
      <c r="M73" s="31">
        <v>216</v>
      </c>
      <c r="N73" s="32">
        <f t="shared" si="33"/>
        <v>-4.608294930875576E-3</v>
      </c>
      <c r="O73" s="18">
        <f>IF(ISNUMBER(M73), $B91 * N73, "")</f>
        <v>-460.82949308755758</v>
      </c>
      <c r="Q73" s="235"/>
      <c r="R73" s="235"/>
      <c r="S73" s="235"/>
    </row>
    <row r="74" spans="1:19" ht="17.25" thickBot="1">
      <c r="A74" s="162" t="s">
        <v>252</v>
      </c>
      <c r="B74" s="126">
        <v>102</v>
      </c>
      <c r="C74" s="77">
        <v>5.3719008300000003E-2</v>
      </c>
      <c r="D74" s="15">
        <v>122</v>
      </c>
      <c r="E74" s="32">
        <f t="shared" si="30"/>
        <v>0.19607843137254902</v>
      </c>
      <c r="F74" s="18">
        <f>IF(ISNUMBER(D74), $B91 * E74, "")</f>
        <v>19607.843137254902</v>
      </c>
      <c r="G74" s="31">
        <v>113</v>
      </c>
      <c r="H74" s="32">
        <f t="shared" si="31"/>
        <v>0.10784313725490197</v>
      </c>
      <c r="I74" s="101">
        <f>IF(ISNUMBER(G74), $B91 * H74, "")</f>
        <v>10784.313725490196</v>
      </c>
      <c r="J74" s="15">
        <v>109</v>
      </c>
      <c r="K74" s="32">
        <f t="shared" si="32"/>
        <v>6.8627450980392163E-2</v>
      </c>
      <c r="L74" s="18">
        <f>IF(ISNUMBER(J74), $B91 * K74, "")</f>
        <v>6862.7450980392159</v>
      </c>
      <c r="M74" s="31">
        <v>110</v>
      </c>
      <c r="N74" s="32">
        <f t="shared" si="33"/>
        <v>7.8431372549019607E-2</v>
      </c>
      <c r="O74" s="18">
        <f>IF(ISNUMBER(M74), $B91 * N74, "")</f>
        <v>7843.1372549019607</v>
      </c>
      <c r="Q74" s="235"/>
      <c r="R74" s="235"/>
      <c r="S74" s="235"/>
    </row>
    <row r="75" spans="1:19" ht="17.25" thickBot="1">
      <c r="A75" s="163" t="s">
        <v>174</v>
      </c>
      <c r="B75" s="128">
        <v>120</v>
      </c>
      <c r="C75" s="78">
        <v>5.2631578900000003E-2</v>
      </c>
      <c r="D75" s="20">
        <v>128</v>
      </c>
      <c r="E75" s="21">
        <f t="shared" si="30"/>
        <v>6.6666666666666666E-2</v>
      </c>
      <c r="F75" s="22">
        <f>IF(ISNUMBER(D75), $B91 * E75, "")</f>
        <v>6666.666666666667</v>
      </c>
      <c r="G75" s="30">
        <v>127</v>
      </c>
      <c r="H75" s="21">
        <f t="shared" si="31"/>
        <v>5.8333333333333334E-2</v>
      </c>
      <c r="I75" s="105">
        <f>IF(ISNUMBER(G75), $B91 * H75, "")</f>
        <v>5833.333333333333</v>
      </c>
      <c r="J75" s="20">
        <v>129</v>
      </c>
      <c r="K75" s="21">
        <f t="shared" si="32"/>
        <v>7.4999999999999997E-2</v>
      </c>
      <c r="L75" s="22">
        <f>IF(ISNUMBER(J75), $B91 * K75, "")</f>
        <v>7500</v>
      </c>
      <c r="M75" s="30">
        <v>128</v>
      </c>
      <c r="N75" s="21">
        <f t="shared" si="33"/>
        <v>6.6666666666666666E-2</v>
      </c>
      <c r="O75" s="22">
        <f>IF(ISNUMBER(M75), $B91 * N75, "")</f>
        <v>6666.666666666667</v>
      </c>
      <c r="Q75" s="235"/>
      <c r="R75" s="235"/>
      <c r="S75" s="235"/>
    </row>
    <row r="76" spans="1:19" ht="17.25" thickBot="1">
      <c r="A76" s="162" t="s">
        <v>270</v>
      </c>
      <c r="B76" s="129">
        <v>338</v>
      </c>
      <c r="C76" s="80">
        <v>3.3639143699999999E-2</v>
      </c>
      <c r="D76" s="106">
        <v>336</v>
      </c>
      <c r="E76" s="107">
        <f>IF(ISNUMBER(D76), (D76 - $B76) / $B76, "")</f>
        <v>-5.9171597633136093E-3</v>
      </c>
      <c r="F76" s="108">
        <f>IF(ISNUMBER(D76), $B91 * E76, "")</f>
        <v>-591.71597633136093</v>
      </c>
      <c r="G76" s="109">
        <v>335</v>
      </c>
      <c r="H76" s="107">
        <f>IF(ISNUMBER(G76), (G76 - $B76) / $B76, "")</f>
        <v>-8.8757396449704144E-3</v>
      </c>
      <c r="I76" s="110">
        <f>IF(ISNUMBER(G76), $B91 * H76, "")</f>
        <v>-887.5739644970414</v>
      </c>
      <c r="J76" s="106">
        <v>335</v>
      </c>
      <c r="K76" s="107">
        <f>IF(ISNUMBER(J76), (J76 - $B76) / $B76, "")</f>
        <v>-8.8757396449704144E-3</v>
      </c>
      <c r="L76" s="108">
        <f>IF(ISNUMBER(J76), $B91 * K76, "")</f>
        <v>-887.5739644970414</v>
      </c>
      <c r="M76" s="109">
        <v>335</v>
      </c>
      <c r="N76" s="107">
        <f>IF(ISNUMBER(M76), (M76 - $B76) / $B76, "")</f>
        <v>-8.8757396449704144E-3</v>
      </c>
      <c r="O76" s="108">
        <f>IF(ISNUMBER(M76), $B91 * N76, "")</f>
        <v>-887.5739644970414</v>
      </c>
      <c r="Q76" s="235"/>
      <c r="R76" s="235"/>
      <c r="S76" s="235"/>
    </row>
    <row r="77" spans="1:19" ht="17.25" thickBot="1">
      <c r="A77" s="162" t="s">
        <v>80</v>
      </c>
      <c r="B77" s="126">
        <v>771</v>
      </c>
      <c r="C77" s="77">
        <v>3.3512064299999998E-2</v>
      </c>
      <c r="D77" s="15">
        <v>816</v>
      </c>
      <c r="E77" s="32">
        <f t="shared" ref="E77:E80" si="34">IF(ISNUMBER(D77), (D77 - $B77) / $B77, "")</f>
        <v>5.8365758754863814E-2</v>
      </c>
      <c r="F77" s="18">
        <f>IF(ISNUMBER(D77), $B91 * E77, "")</f>
        <v>5836.5758754863818</v>
      </c>
      <c r="G77" s="31">
        <v>812</v>
      </c>
      <c r="H77" s="32">
        <f t="shared" ref="H77:H80" si="35">IF(ISNUMBER(G77), (G77 - $B77) / $B77, "")</f>
        <v>5.3177691309987028E-2</v>
      </c>
      <c r="I77" s="101">
        <f>IF(ISNUMBER(G77), $B91 * H77, "")</f>
        <v>5317.7691309987031</v>
      </c>
      <c r="J77" s="15">
        <v>805</v>
      </c>
      <c r="K77" s="32">
        <f t="shared" ref="K77:K80" si="36">IF(ISNUMBER(J77), (J77 - $B77) / $B77, "")</f>
        <v>4.4098573281452662E-2</v>
      </c>
      <c r="L77" s="18">
        <f>IF(ISNUMBER(J77), $B91 * K77, "")</f>
        <v>4409.8573281452664</v>
      </c>
      <c r="M77" s="31">
        <v>793</v>
      </c>
      <c r="N77" s="32">
        <f t="shared" ref="N77:N80" si="37">IF(ISNUMBER(M77), (M77 - $B77) / $B77, "")</f>
        <v>2.8534370946822308E-2</v>
      </c>
      <c r="O77" s="18">
        <f>IF(ISNUMBER(M77), $B91 * N77, "")</f>
        <v>2853.437094682231</v>
      </c>
      <c r="Q77" s="235"/>
      <c r="R77" s="235"/>
      <c r="S77" s="235"/>
    </row>
    <row r="78" spans="1:19" ht="17.25" thickBot="1">
      <c r="A78" s="162" t="s">
        <v>128</v>
      </c>
      <c r="B78" s="126">
        <v>316</v>
      </c>
      <c r="C78" s="77">
        <v>3.2679738600000001E-2</v>
      </c>
      <c r="D78" s="15">
        <v>315</v>
      </c>
      <c r="E78" s="32">
        <f t="shared" si="34"/>
        <v>-3.1645569620253164E-3</v>
      </c>
      <c r="F78" s="18">
        <f>IF(ISNUMBER(D78), $B91 * E78, "")</f>
        <v>-316.45569620253161</v>
      </c>
      <c r="G78" s="31">
        <v>313</v>
      </c>
      <c r="H78" s="32">
        <f t="shared" si="35"/>
        <v>-9.4936708860759497E-3</v>
      </c>
      <c r="I78" s="101">
        <f>IF(ISNUMBER(G78), $B91 * H78, "")</f>
        <v>-949.36708860759495</v>
      </c>
      <c r="J78" s="15">
        <v>311</v>
      </c>
      <c r="K78" s="32">
        <f t="shared" si="36"/>
        <v>-1.5822784810126583E-2</v>
      </c>
      <c r="L78" s="18">
        <f>IF(ISNUMBER(J78), $B91 * K78, "")</f>
        <v>-1582.2784810126584</v>
      </c>
      <c r="M78" s="31">
        <v>307</v>
      </c>
      <c r="N78" s="32">
        <f t="shared" si="37"/>
        <v>-2.8481012658227847E-2</v>
      </c>
      <c r="O78" s="18">
        <f>IF(ISNUMBER(M78), $B91 * N78, "")</f>
        <v>-2848.1012658227846</v>
      </c>
      <c r="Q78" s="235"/>
      <c r="R78" s="235"/>
      <c r="S78" s="235"/>
    </row>
    <row r="79" spans="1:19" ht="17.25" thickBot="1">
      <c r="A79" s="162" t="s">
        <v>61</v>
      </c>
      <c r="B79" s="126">
        <v>816</v>
      </c>
      <c r="C79" s="77">
        <v>2.5125628099999998E-2</v>
      </c>
      <c r="D79" s="15">
        <v>831</v>
      </c>
      <c r="E79" s="32">
        <f t="shared" si="34"/>
        <v>1.8382352941176471E-2</v>
      </c>
      <c r="F79" s="18">
        <f>IF(ISNUMBER(D79), $B91 * E79, "")</f>
        <v>1838.2352941176471</v>
      </c>
      <c r="G79" s="31">
        <v>811</v>
      </c>
      <c r="H79" s="32">
        <f t="shared" si="35"/>
        <v>-6.1274509803921568E-3</v>
      </c>
      <c r="I79" s="101">
        <f>IF(ISNUMBER(G79), $B91 * H79, "")</f>
        <v>-612.74509803921569</v>
      </c>
      <c r="J79" s="15">
        <v>805</v>
      </c>
      <c r="K79" s="32">
        <f t="shared" si="36"/>
        <v>-1.3480392156862746E-2</v>
      </c>
      <c r="L79" s="18">
        <f>IF(ISNUMBER(J79), $B91 * K79, "")</f>
        <v>-1348.0392156862745</v>
      </c>
      <c r="M79" s="31">
        <v>802</v>
      </c>
      <c r="N79" s="32">
        <f t="shared" si="37"/>
        <v>-1.7156862745098041E-2</v>
      </c>
      <c r="O79" s="18">
        <f>IF(ISNUMBER(M79), $B91 * N79, "")</f>
        <v>-1715.686274509804</v>
      </c>
      <c r="Q79" s="33"/>
      <c r="R79" s="33"/>
    </row>
    <row r="80" spans="1:19" ht="17.25" thickBot="1">
      <c r="A80" s="130" t="s">
        <v>284</v>
      </c>
      <c r="B80" s="131">
        <v>206</v>
      </c>
      <c r="C80" s="79">
        <v>2.4875621899999999E-2</v>
      </c>
      <c r="D80" s="24">
        <v>208</v>
      </c>
      <c r="E80" s="25">
        <f t="shared" si="34"/>
        <v>9.7087378640776691E-3</v>
      </c>
      <c r="F80" s="104">
        <f>IF(ISNUMBER(D80), $B91 * E80, "")</f>
        <v>970.87378640776694</v>
      </c>
      <c r="G80" s="102">
        <v>205</v>
      </c>
      <c r="H80" s="25">
        <f t="shared" si="35"/>
        <v>-4.8543689320388345E-3</v>
      </c>
      <c r="I80" s="103">
        <f>IF(ISNUMBER(G80), $B91 * H80, "")</f>
        <v>-485.43689320388347</v>
      </c>
      <c r="J80" s="24">
        <v>205</v>
      </c>
      <c r="K80" s="25">
        <f t="shared" si="36"/>
        <v>-4.8543689320388345E-3</v>
      </c>
      <c r="L80" s="104">
        <f>IF(ISNUMBER(J80), $B91 * K80, "")</f>
        <v>-485.43689320388347</v>
      </c>
      <c r="M80" s="102">
        <v>204</v>
      </c>
      <c r="N80" s="25">
        <f t="shared" si="37"/>
        <v>-9.7087378640776691E-3</v>
      </c>
      <c r="O80" s="104">
        <f>IF(ISNUMBER(M80), $B91 * N80, "")</f>
        <v>-970.87378640776694</v>
      </c>
      <c r="Q80" s="236"/>
      <c r="R80" s="237"/>
      <c r="S80" s="238"/>
    </row>
    <row r="81" spans="1:19">
      <c r="A81" s="161" t="s">
        <v>296</v>
      </c>
      <c r="B81" s="124">
        <v>380</v>
      </c>
      <c r="C81" s="76">
        <v>2.4258760099999999E-2</v>
      </c>
      <c r="D81" s="13">
        <v>377</v>
      </c>
      <c r="E81" s="14">
        <f>IF(ISNUMBER(D81), (D81 - $B81) / $B81, "")</f>
        <v>-7.8947368421052634E-3</v>
      </c>
      <c r="F81" s="16">
        <f>IF(ISNUMBER(D81), $B91 * E81, "")</f>
        <v>-789.47368421052636</v>
      </c>
      <c r="G81" s="29">
        <v>374</v>
      </c>
      <c r="H81" s="14">
        <f>IF(ISNUMBER(G81), (G81 - $B81) / $B81, "")</f>
        <v>-1.5789473684210527E-2</v>
      </c>
      <c r="I81" s="100">
        <f>IF(ISNUMBER(G81), $B91 * H81, "")</f>
        <v>-1578.9473684210527</v>
      </c>
      <c r="J81" s="13">
        <v>374</v>
      </c>
      <c r="K81" s="14">
        <f>IF(ISNUMBER(J81), (J81 - $B81) / $B81, "")</f>
        <v>-1.5789473684210527E-2</v>
      </c>
      <c r="L81" s="16">
        <f>IF(ISNUMBER(J81), $B91 * K81, "")</f>
        <v>-1578.9473684210527</v>
      </c>
      <c r="M81" s="29">
        <v>369</v>
      </c>
      <c r="N81" s="14">
        <f>IF(ISNUMBER(M81), (M81 - $B81) / $B81, "")</f>
        <v>-2.8947368421052631E-2</v>
      </c>
      <c r="O81" s="16">
        <f>IF(ISNUMBER(M81), $B91 * N81, "")</f>
        <v>-2894.7368421052633</v>
      </c>
      <c r="Q81" s="239"/>
      <c r="R81" s="240"/>
      <c r="S81" s="241"/>
    </row>
    <row r="82" spans="1:19" ht="17.25" thickBot="1">
      <c r="A82" s="162" t="s">
        <v>132</v>
      </c>
      <c r="B82" s="126">
        <v>132</v>
      </c>
      <c r="C82" s="77">
        <v>2.3255814E-2</v>
      </c>
      <c r="D82" s="15">
        <v>130</v>
      </c>
      <c r="E82" s="32">
        <f t="shared" ref="E82:E85" si="38">IF(ISNUMBER(D82), (D82 - $B82) / $B82, "")</f>
        <v>-1.5151515151515152E-2</v>
      </c>
      <c r="F82" s="18">
        <f>IF(ISNUMBER(D82), $B91 * E82, "")</f>
        <v>-1515.1515151515152</v>
      </c>
      <c r="G82" s="31">
        <v>129</v>
      </c>
      <c r="H82" s="32">
        <f t="shared" ref="H82:H85" si="39">IF(ISNUMBER(G82), (G82 - $B82) / $B82, "")</f>
        <v>-2.2727272727272728E-2</v>
      </c>
      <c r="I82" s="101">
        <f>IF(ISNUMBER(G82), $B91 * H82, "")</f>
        <v>-2272.727272727273</v>
      </c>
      <c r="J82" s="15">
        <v>129</v>
      </c>
      <c r="K82" s="32">
        <f t="shared" ref="K82:K85" si="40">IF(ISNUMBER(J82), (J82 - $B82) / $B82, "")</f>
        <v>-2.2727272727272728E-2</v>
      </c>
      <c r="L82" s="18">
        <f>IF(ISNUMBER(J82), $B91 * K82, "")</f>
        <v>-2272.727272727273</v>
      </c>
      <c r="M82" s="31">
        <v>129</v>
      </c>
      <c r="N82" s="32">
        <f t="shared" ref="N82:N85" si="41">IF(ISNUMBER(M82), (M82 - $B82) / $B82, "")</f>
        <v>-2.2727272727272728E-2</v>
      </c>
      <c r="O82" s="18">
        <f>IF(ISNUMBER(M82), $B91 * N82, "")</f>
        <v>-2272.727272727273</v>
      </c>
      <c r="Q82" s="242"/>
      <c r="R82" s="243"/>
      <c r="S82" s="244"/>
    </row>
    <row r="83" spans="1:19" ht="17.25" thickBot="1">
      <c r="A83" s="162" t="s">
        <v>57</v>
      </c>
      <c r="B83" s="126">
        <v>194</v>
      </c>
      <c r="C83" s="77">
        <v>2.10526316E-2</v>
      </c>
      <c r="D83" s="15">
        <v>198</v>
      </c>
      <c r="E83" s="32">
        <f t="shared" si="38"/>
        <v>2.0618556701030927E-2</v>
      </c>
      <c r="F83" s="18">
        <f>IF(ISNUMBER(D83), $B91 * E83, "")</f>
        <v>2061.855670103093</v>
      </c>
      <c r="G83" s="31">
        <v>197</v>
      </c>
      <c r="H83" s="32">
        <f t="shared" si="39"/>
        <v>1.5463917525773196E-2</v>
      </c>
      <c r="I83" s="101">
        <f>IF(ISNUMBER(G83), $B91 * H83, "")</f>
        <v>1546.3917525773197</v>
      </c>
      <c r="J83" s="15">
        <v>196</v>
      </c>
      <c r="K83" s="32">
        <f t="shared" si="40"/>
        <v>1.0309278350515464E-2</v>
      </c>
      <c r="L83" s="18">
        <f>IF(ISNUMBER(J83), $B91 * K83, "")</f>
        <v>1030.9278350515465</v>
      </c>
      <c r="M83" s="31">
        <v>197</v>
      </c>
      <c r="N83" s="32">
        <f t="shared" si="41"/>
        <v>1.5463917525773196E-2</v>
      </c>
      <c r="O83" s="18">
        <f>IF(ISNUMBER(M83), $B91 * N83, "")</f>
        <v>1546.3917525773197</v>
      </c>
      <c r="Q83" s="235"/>
      <c r="R83" s="235"/>
      <c r="S83" s="235"/>
    </row>
    <row r="84" spans="1:19" ht="17.25" thickBot="1">
      <c r="A84" s="162" t="s">
        <v>116</v>
      </c>
      <c r="B84" s="126">
        <v>323</v>
      </c>
      <c r="C84" s="77">
        <v>1.8927444799999998E-2</v>
      </c>
      <c r="D84" s="15">
        <v>325</v>
      </c>
      <c r="E84" s="32">
        <f t="shared" si="38"/>
        <v>6.1919504643962852E-3</v>
      </c>
      <c r="F84" s="18">
        <f>IF(ISNUMBER(D84), $B91 * E84, "")</f>
        <v>619.19504643962853</v>
      </c>
      <c r="G84" s="31">
        <v>321</v>
      </c>
      <c r="H84" s="32">
        <f t="shared" si="39"/>
        <v>-6.1919504643962852E-3</v>
      </c>
      <c r="I84" s="101">
        <f>IF(ISNUMBER(G84), $B91 * H84, "")</f>
        <v>-619.19504643962853</v>
      </c>
      <c r="J84" s="15">
        <v>321</v>
      </c>
      <c r="K84" s="32">
        <f t="shared" si="40"/>
        <v>-6.1919504643962852E-3</v>
      </c>
      <c r="L84" s="18">
        <f>IF(ISNUMBER(J84), $B91 * K84, "")</f>
        <v>-619.19504643962853</v>
      </c>
      <c r="M84" s="31">
        <v>318</v>
      </c>
      <c r="N84" s="32">
        <f t="shared" si="41"/>
        <v>-1.5479876160990712E-2</v>
      </c>
      <c r="O84" s="18">
        <f>IF(ISNUMBER(M84), $B91 * N84, "")</f>
        <v>-1547.9876160990711</v>
      </c>
      <c r="Q84" s="245"/>
      <c r="R84" s="245"/>
      <c r="S84" s="245"/>
    </row>
    <row r="85" spans="1:19" ht="17.25" thickBot="1">
      <c r="A85" s="163" t="s">
        <v>54</v>
      </c>
      <c r="B85" s="128">
        <v>229</v>
      </c>
      <c r="C85" s="78">
        <v>1.32743363E-2</v>
      </c>
      <c r="D85" s="20">
        <v>239</v>
      </c>
      <c r="E85" s="21">
        <f t="shared" si="38"/>
        <v>4.3668122270742356E-2</v>
      </c>
      <c r="F85" s="22">
        <f>IF(ISNUMBER(D85), $B91 * E85, "")</f>
        <v>4366.812227074236</v>
      </c>
      <c r="G85" s="30">
        <v>240</v>
      </c>
      <c r="H85" s="21">
        <f t="shared" si="39"/>
        <v>4.8034934497816595E-2</v>
      </c>
      <c r="I85" s="105">
        <f>IF(ISNUMBER(G85), $B91 * H85, "")</f>
        <v>4803.4934497816594</v>
      </c>
      <c r="J85" s="20">
        <v>240</v>
      </c>
      <c r="K85" s="21">
        <f t="shared" si="40"/>
        <v>4.8034934497816595E-2</v>
      </c>
      <c r="L85" s="22">
        <f>IF(ISNUMBER(J85), $B91 * K85, "")</f>
        <v>4803.4934497816594</v>
      </c>
      <c r="M85" s="30">
        <v>246</v>
      </c>
      <c r="N85" s="21">
        <f t="shared" si="41"/>
        <v>7.4235807860262015E-2</v>
      </c>
      <c r="O85" s="22">
        <f>IF(ISNUMBER(M85), $B91 * N85, "")</f>
        <v>7423.5807860262012</v>
      </c>
      <c r="Q85" s="245"/>
      <c r="R85" s="245"/>
      <c r="S85" s="245"/>
    </row>
    <row r="86" spans="1:19" ht="17.25" thickBot="1">
      <c r="A86" s="162" t="s">
        <v>148</v>
      </c>
      <c r="B86" s="129">
        <v>102</v>
      </c>
      <c r="C86" s="80">
        <v>9.9009900999999997E-3</v>
      </c>
      <c r="D86" s="106">
        <v>101</v>
      </c>
      <c r="E86" s="107">
        <f>IF(ISNUMBER(D86), (D86 - $B86) / $B86, "")</f>
        <v>-9.8039215686274508E-3</v>
      </c>
      <c r="F86" s="108">
        <f>IF(ISNUMBER(D86), $B91 * E86, "")</f>
        <v>-980.39215686274508</v>
      </c>
      <c r="G86" s="109">
        <v>102</v>
      </c>
      <c r="H86" s="107">
        <f>IF(ISNUMBER(G86), (G86 - $B86) / $B86, "")</f>
        <v>0</v>
      </c>
      <c r="I86" s="110">
        <f>IF(ISNUMBER(G86), $B91 * H86, "")</f>
        <v>0</v>
      </c>
      <c r="J86" s="106">
        <v>100</v>
      </c>
      <c r="K86" s="107">
        <f>IF(ISNUMBER(J86), (J86 - $B86) / $B86, "")</f>
        <v>-1.9607843137254902E-2</v>
      </c>
      <c r="L86" s="108">
        <f>IF(ISNUMBER(J86), $B91 * K86, "")</f>
        <v>-1960.7843137254902</v>
      </c>
      <c r="M86" s="109">
        <v>98.2</v>
      </c>
      <c r="N86" s="107">
        <f>IF(ISNUMBER(M86), (M86 - $B86) / $B86, "")</f>
        <v>-3.7254901960784285E-2</v>
      </c>
      <c r="O86" s="108">
        <f>IF(ISNUMBER(M86), $B91 * N86, "")</f>
        <v>-3725.4901960784287</v>
      </c>
      <c r="Q86" s="235"/>
      <c r="R86" s="235"/>
      <c r="S86" s="235"/>
    </row>
    <row r="87" spans="1:19" ht="17.25" thickBot="1">
      <c r="A87" s="162" t="s">
        <v>182</v>
      </c>
      <c r="B87" s="126">
        <v>237</v>
      </c>
      <c r="C87" s="77">
        <v>8.5106382999999997E-3</v>
      </c>
      <c r="D87" s="15">
        <v>236</v>
      </c>
      <c r="E87" s="32">
        <f t="shared" ref="E87:E90" si="42">IF(ISNUMBER(D87), (D87 - $B87) / $B87, "")</f>
        <v>-4.2194092827004216E-3</v>
      </c>
      <c r="F87" s="18">
        <f>IF(ISNUMBER(D87), $B91 * E87, "")</f>
        <v>-421.94092827004215</v>
      </c>
      <c r="G87" s="31">
        <v>235</v>
      </c>
      <c r="H87" s="32">
        <f t="shared" ref="H87:H90" si="43">IF(ISNUMBER(G87), (G87 - $B87) / $B87, "")</f>
        <v>-8.4388185654008432E-3</v>
      </c>
      <c r="I87" s="101">
        <f>IF(ISNUMBER(G87), $B91 * H87, "")</f>
        <v>-843.8818565400843</v>
      </c>
      <c r="J87" s="15">
        <v>234</v>
      </c>
      <c r="K87" s="32">
        <f t="shared" ref="K87:K90" si="44">IF(ISNUMBER(J87), (J87 - $B87) / $B87, "")</f>
        <v>-1.2658227848101266E-2</v>
      </c>
      <c r="L87" s="18">
        <f>IF(ISNUMBER(J87), $B91 * K87, "")</f>
        <v>-1265.8227848101264</v>
      </c>
      <c r="M87" s="31">
        <v>234</v>
      </c>
      <c r="N87" s="32">
        <f t="shared" ref="N87:N90" si="45">IF(ISNUMBER(M87), (M87 - $B87) / $B87, "")</f>
        <v>-1.2658227848101266E-2</v>
      </c>
      <c r="O87" s="18">
        <f>IF(ISNUMBER(M87), $B91 * N87, "")</f>
        <v>-1265.8227848101264</v>
      </c>
      <c r="Q87" s="235"/>
      <c r="R87" s="235"/>
      <c r="S87" s="235"/>
    </row>
    <row r="88" spans="1:19" ht="17.25" thickBot="1">
      <c r="A88" s="162" t="s">
        <v>136</v>
      </c>
      <c r="B88" s="126">
        <v>125</v>
      </c>
      <c r="C88" s="77">
        <v>8.0645161000000003E-3</v>
      </c>
      <c r="D88" s="15">
        <v>129</v>
      </c>
      <c r="E88" s="32">
        <f t="shared" si="42"/>
        <v>3.2000000000000001E-2</v>
      </c>
      <c r="F88" s="18">
        <f>IF(ISNUMBER(D88), $B91 * E88, "")</f>
        <v>3200</v>
      </c>
      <c r="G88" s="31">
        <v>128</v>
      </c>
      <c r="H88" s="32">
        <f t="shared" si="43"/>
        <v>2.4E-2</v>
      </c>
      <c r="I88" s="101">
        <f>IF(ISNUMBER(G88), $B91 * H88, "")</f>
        <v>2400</v>
      </c>
      <c r="J88" s="15">
        <v>129</v>
      </c>
      <c r="K88" s="32">
        <f t="shared" si="44"/>
        <v>3.2000000000000001E-2</v>
      </c>
      <c r="L88" s="18">
        <f>IF(ISNUMBER(J88), $B91 * K88, "")</f>
        <v>3200</v>
      </c>
      <c r="M88" s="31">
        <v>126</v>
      </c>
      <c r="N88" s="32">
        <f t="shared" si="45"/>
        <v>8.0000000000000002E-3</v>
      </c>
      <c r="O88" s="18">
        <f>IF(ISNUMBER(M88), $B91 * N88, "")</f>
        <v>800</v>
      </c>
      <c r="Q88" s="235"/>
      <c r="R88" s="235"/>
      <c r="S88" s="235"/>
    </row>
    <row r="89" spans="1:19">
      <c r="A89" s="162" t="s">
        <v>120</v>
      </c>
      <c r="B89" s="126">
        <v>139</v>
      </c>
      <c r="C89" s="77">
        <v>7.2463768E-3</v>
      </c>
      <c r="D89" s="15">
        <v>136</v>
      </c>
      <c r="E89" s="32">
        <f t="shared" si="42"/>
        <v>-2.1582733812949641E-2</v>
      </c>
      <c r="F89" s="18">
        <f>IF(ISNUMBER(D89), $B91 * E89, "")</f>
        <v>-2158.2733812949641</v>
      </c>
      <c r="G89" s="31">
        <v>136</v>
      </c>
      <c r="H89" s="32">
        <f t="shared" si="43"/>
        <v>-2.1582733812949641E-2</v>
      </c>
      <c r="I89" s="101">
        <f>IF(ISNUMBER(G89), $B91 * H89, "")</f>
        <v>-2158.2733812949641</v>
      </c>
      <c r="J89" s="15">
        <v>136</v>
      </c>
      <c r="K89" s="32">
        <f t="shared" si="44"/>
        <v>-2.1582733812949641E-2</v>
      </c>
      <c r="L89" s="18">
        <f>IF(ISNUMBER(J89), $B91 * K89, "")</f>
        <v>-2158.2733812949641</v>
      </c>
      <c r="M89" s="31">
        <v>135</v>
      </c>
      <c r="N89" s="32">
        <f t="shared" si="45"/>
        <v>-2.8776978417266189E-2</v>
      </c>
      <c r="O89" s="18">
        <f>IF(ISNUMBER(M89), $B91 * N89, "")</f>
        <v>-2877.6978417266187</v>
      </c>
      <c r="Q89" s="224"/>
      <c r="R89" s="225"/>
      <c r="S89" s="226"/>
    </row>
    <row r="90" spans="1:19" ht="17.25" thickBot="1">
      <c r="A90" s="130" t="s">
        <v>256</v>
      </c>
      <c r="B90" s="131">
        <v>147</v>
      </c>
      <c r="C90" s="79">
        <v>6.8493151000000004E-3</v>
      </c>
      <c r="D90" s="24">
        <v>148</v>
      </c>
      <c r="E90" s="25">
        <f t="shared" si="42"/>
        <v>6.8027210884353739E-3</v>
      </c>
      <c r="F90" s="104">
        <f>IF(ISNUMBER(D90), $B91 * E90, "")</f>
        <v>680.27210884353735</v>
      </c>
      <c r="G90" s="102">
        <v>146</v>
      </c>
      <c r="H90" s="25">
        <f t="shared" si="43"/>
        <v>-6.8027210884353739E-3</v>
      </c>
      <c r="I90" s="103">
        <f>IF(ISNUMBER(G90), $B91 * H90, "")</f>
        <v>-680.27210884353735</v>
      </c>
      <c r="J90" s="24">
        <v>148</v>
      </c>
      <c r="K90" s="25">
        <f t="shared" si="44"/>
        <v>6.8027210884353739E-3</v>
      </c>
      <c r="L90" s="104">
        <f>IF(ISNUMBER(J90), $B91 * K90, "")</f>
        <v>680.27210884353735</v>
      </c>
      <c r="M90" s="102">
        <v>150</v>
      </c>
      <c r="N90" s="25">
        <f t="shared" si="45"/>
        <v>2.0408163265306121E-2</v>
      </c>
      <c r="O90" s="104">
        <f>IF(ISNUMBER(M90), $B91 * N90, "")</f>
        <v>2040.8163265306121</v>
      </c>
      <c r="Q90" s="227"/>
      <c r="R90" s="228"/>
      <c r="S90" s="229"/>
    </row>
    <row r="91" spans="1:19" ht="17.25" thickBot="1">
      <c r="A91" s="132" t="s">
        <v>300</v>
      </c>
      <c r="B91" s="288">
        <f>$B$37</f>
        <v>100000</v>
      </c>
      <c r="C91" s="289"/>
      <c r="D91" s="26" t="s">
        <v>301</v>
      </c>
      <c r="E91" s="27">
        <f>IF(COUNT(E71:E90), SUM(E71:E90) / COUNT(E71:E90), 0)</f>
        <v>3.0323433539134425E-2</v>
      </c>
      <c r="F91" s="28">
        <f>SUM(F71:F90)</f>
        <v>60646.867078268842</v>
      </c>
      <c r="G91" s="26" t="s">
        <v>301</v>
      </c>
      <c r="H91" s="27">
        <f>IF(COUNT(H71:H90), SUM(H71:H90) / COUNT(H71:H90), 0)</f>
        <v>7.4662661344561424E-3</v>
      </c>
      <c r="I91" s="28">
        <f>SUM(I71:I90)</f>
        <v>14932.532268912288</v>
      </c>
      <c r="J91" s="26" t="s">
        <v>301</v>
      </c>
      <c r="K91" s="27">
        <f>IF(COUNT(K71:K90), SUM(K71:K90) / COUNT(K71:K90), 0)</f>
        <v>5.2708336952202459E-3</v>
      </c>
      <c r="L91" s="28">
        <f>SUM(L71:L90)</f>
        <v>10541.667390440492</v>
      </c>
      <c r="M91" s="26" t="s">
        <v>301</v>
      </c>
      <c r="N91" s="27">
        <f>IF(COUNT(N71:N90), SUM(N71:N90) / COUNT(N71:N90), 0)</f>
        <v>1.9097057000224145E-4</v>
      </c>
      <c r="O91" s="28">
        <f>SUM(O71:O90)</f>
        <v>381.94114000448326</v>
      </c>
      <c r="Q91" s="230"/>
      <c r="R91" s="231"/>
      <c r="S91" s="232"/>
    </row>
    <row r="93" spans="1:19" ht="17.25" thickBot="1"/>
    <row r="94" spans="1:19" ht="17.25" thickBot="1">
      <c r="A94" s="246" t="s">
        <v>46</v>
      </c>
      <c r="B94" s="247"/>
      <c r="C94" s="247"/>
      <c r="D94" s="247"/>
      <c r="E94" s="247"/>
      <c r="F94" s="247"/>
      <c r="G94" s="247"/>
      <c r="H94" s="247"/>
      <c r="I94" s="247"/>
      <c r="J94" s="247"/>
      <c r="K94" s="247"/>
      <c r="L94" s="247"/>
      <c r="M94" s="247"/>
      <c r="N94" s="247"/>
      <c r="O94" s="248"/>
      <c r="Q94" s="245"/>
      <c r="R94" s="245"/>
      <c r="S94" s="245"/>
    </row>
    <row r="95" spans="1:19" ht="17.25" thickBot="1">
      <c r="A95" s="216" t="s">
        <v>297</v>
      </c>
      <c r="B95" s="246" t="s">
        <v>49</v>
      </c>
      <c r="C95" s="248"/>
      <c r="D95" s="246" t="s">
        <v>58</v>
      </c>
      <c r="E95" s="247"/>
      <c r="F95" s="248"/>
      <c r="G95" s="249">
        <f>_xlfn.IFNA(VLOOKUP(B95, 현재가테이블!$B$2:$D$200, 2, FALSE), "-")</f>
        <v>45335000</v>
      </c>
      <c r="H95" s="250"/>
      <c r="I95" s="251"/>
      <c r="J95" s="246" t="s">
        <v>59</v>
      </c>
      <c r="K95" s="247"/>
      <c r="L95" s="248"/>
      <c r="M95" s="252">
        <f>_xlfn.IFNA(VLOOKUP(B95, 현재가테이블!$B$2:$D$200, 3, FALSE), "-")</f>
        <v>-2.27209037E-2</v>
      </c>
      <c r="N95" s="253"/>
      <c r="O95" s="254"/>
      <c r="Q95" s="245"/>
      <c r="R95" s="245"/>
      <c r="S95" s="245"/>
    </row>
    <row r="96" spans="1:19" ht="17.25" thickBot="1">
      <c r="A96" s="290" t="s">
        <v>55</v>
      </c>
      <c r="B96" s="286" t="str">
        <f>TEXT($G$1, "[$-ko-KR]yyyy-mm-dd(ddd) ") &amp; "오전 00:00"</f>
        <v>2021-06-15(화) 오전 00:00</v>
      </c>
      <c r="C96" s="287"/>
      <c r="D96" s="259" t="str">
        <f>TEXT($G$1, "[$-ko-KR]yyyy-mm-dd(ddd) ") &amp; "오후 14:00"</f>
        <v>2021-06-15(화) 오후 14:00</v>
      </c>
      <c r="E96" s="260"/>
      <c r="F96" s="261"/>
      <c r="G96" s="259" t="str">
        <f>TEXT($G$1, "[$-ko-KR]yyyy-mm-dd(ddd) ") &amp; "오후 19:00"</f>
        <v>2021-06-15(화) 오후 19:00</v>
      </c>
      <c r="H96" s="260"/>
      <c r="I96" s="261"/>
      <c r="J96" s="259" t="str">
        <f>TEXT($G$1, "[$-ko-KR]yyyy-mm-dd(ddd) ") &amp; "오후 21:00"</f>
        <v>2021-06-15(화) 오후 21:00</v>
      </c>
      <c r="K96" s="260"/>
      <c r="L96" s="261"/>
      <c r="M96" s="259" t="str">
        <f>TEXT($G$1+1, "[$-ko-KR]yyyy-mm-dd(ddd) ") &amp; "오전 00:00"</f>
        <v>2021-06-16(수) 오전 00:00</v>
      </c>
      <c r="N96" s="260"/>
      <c r="O96" s="261"/>
      <c r="Q96" s="245"/>
      <c r="R96" s="245"/>
      <c r="S96" s="245"/>
    </row>
    <row r="97" spans="1:19" ht="17.25" thickBot="1">
      <c r="A97" s="291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217" t="s">
        <v>58</v>
      </c>
      <c r="H97" s="218" t="s">
        <v>298</v>
      </c>
      <c r="I97" s="219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5"/>
      <c r="R97" s="235"/>
      <c r="S97" s="235"/>
    </row>
    <row r="98" spans="1:19" ht="17.25" thickBot="1">
      <c r="A98" s="161" t="s">
        <v>162</v>
      </c>
      <c r="B98" s="124">
        <v>760</v>
      </c>
      <c r="C98" s="76">
        <v>0.52</v>
      </c>
      <c r="D98" s="13">
        <v>855</v>
      </c>
      <c r="E98" s="14">
        <f>IF(ISNUMBER(D98), (D98 - $B98) / $B98, "")</f>
        <v>0.125</v>
      </c>
      <c r="F98" s="16">
        <f>IF(ISNUMBER(D98), $B118 * E98, "")</f>
        <v>12500</v>
      </c>
      <c r="G98" s="29">
        <v>759</v>
      </c>
      <c r="H98" s="14">
        <f>IF(ISNUMBER(G98), (G98 - $B98) / $B98, "")</f>
        <v>-1.3157894736842105E-3</v>
      </c>
      <c r="I98" s="100">
        <f>IF(ISNUMBER(G98), $B118 * H98, "")</f>
        <v>-131.57894736842104</v>
      </c>
      <c r="J98" s="13">
        <v>765</v>
      </c>
      <c r="K98" s="14">
        <f>IF(ISNUMBER(J98), (J98 - $B98) / $B98, "")</f>
        <v>6.5789473684210523E-3</v>
      </c>
      <c r="L98" s="16">
        <f>IF(ISNUMBER(J98), $B118 * K98, "")</f>
        <v>657.8947368421052</v>
      </c>
      <c r="M98" s="29">
        <v>736</v>
      </c>
      <c r="N98" s="14">
        <f>IF(ISNUMBER(M98), (M98 - $B98) / $B98, "")</f>
        <v>-3.1578947368421054E-2</v>
      </c>
      <c r="O98" s="16">
        <f>IF(ISNUMBER(M98), $B118 * N98, "")</f>
        <v>-3157.8947368421054</v>
      </c>
      <c r="Q98" s="245"/>
      <c r="R98" s="245"/>
      <c r="S98" s="245"/>
    </row>
    <row r="99" spans="1:19" ht="17.25" thickBot="1">
      <c r="A99" s="162" t="s">
        <v>198</v>
      </c>
      <c r="B99" s="126">
        <v>13.7</v>
      </c>
      <c r="C99" s="77">
        <v>0.22321428569999999</v>
      </c>
      <c r="D99" s="15">
        <v>15.5</v>
      </c>
      <c r="E99" s="32">
        <f t="shared" ref="E99:E102" si="46">IF(ISNUMBER(D99), (D99 - $B99) / $B99, "")</f>
        <v>0.13138686131386867</v>
      </c>
      <c r="F99" s="18">
        <f>IF(ISNUMBER(D99), $B118 * E99, "")</f>
        <v>13138.686131386867</v>
      </c>
      <c r="G99" s="31">
        <v>15.6</v>
      </c>
      <c r="H99" s="32">
        <f t="shared" ref="H99:H102" si="47">IF(ISNUMBER(G99), (G99 - $B99) / $B99, "")</f>
        <v>0.13868613138686134</v>
      </c>
      <c r="I99" s="101">
        <f>IF(ISNUMBER(G99), $B118 * H99, "")</f>
        <v>13868.613138686134</v>
      </c>
      <c r="J99" s="15">
        <v>16.2</v>
      </c>
      <c r="K99" s="32">
        <f t="shared" ref="K99:K102" si="48">IF(ISNUMBER(J99), (J99 - $B99) / $B99, "")</f>
        <v>0.18248175182481752</v>
      </c>
      <c r="L99" s="18">
        <f>IF(ISNUMBER(J99), $B118 * K99, "")</f>
        <v>18248.175182481751</v>
      </c>
      <c r="M99" s="31">
        <v>15.3</v>
      </c>
      <c r="N99" s="32">
        <f t="shared" ref="N99:N102" si="49">IF(ISNUMBER(M99), (M99 - $B99) / $B99, "")</f>
        <v>0.11678832116788332</v>
      </c>
      <c r="O99" s="18">
        <f>IF(ISNUMBER(M99), $B118 * N99, "")</f>
        <v>11678.832116788331</v>
      </c>
      <c r="Q99" s="245"/>
      <c r="R99" s="245"/>
      <c r="S99" s="245"/>
    </row>
    <row r="100" spans="1:19" ht="17.25" thickBot="1">
      <c r="A100" s="162" t="s">
        <v>234</v>
      </c>
      <c r="B100" s="126">
        <v>360</v>
      </c>
      <c r="C100" s="77">
        <v>0.18811881189999999</v>
      </c>
      <c r="D100" s="15">
        <v>391</v>
      </c>
      <c r="E100" s="32">
        <f t="shared" si="46"/>
        <v>8.611111111111111E-2</v>
      </c>
      <c r="F100" s="18">
        <f>IF(ISNUMBER(D100), $B118 * E100, "")</f>
        <v>8611.1111111111113</v>
      </c>
      <c r="G100" s="31">
        <v>347</v>
      </c>
      <c r="H100" s="32">
        <f t="shared" si="47"/>
        <v>-3.6111111111111108E-2</v>
      </c>
      <c r="I100" s="101">
        <f>IF(ISNUMBER(G100), $B118 * H100, "")</f>
        <v>-3611.1111111111109</v>
      </c>
      <c r="J100" s="15">
        <v>344</v>
      </c>
      <c r="K100" s="32">
        <f t="shared" si="48"/>
        <v>-4.4444444444444446E-2</v>
      </c>
      <c r="L100" s="18">
        <f>IF(ISNUMBER(J100), $B118 * K100, "")</f>
        <v>-4444.4444444444443</v>
      </c>
      <c r="M100" s="31">
        <v>345</v>
      </c>
      <c r="N100" s="32">
        <f t="shared" si="49"/>
        <v>-4.1666666666666664E-2</v>
      </c>
      <c r="O100" s="18">
        <f>IF(ISNUMBER(M100), $B118 * N100, "")</f>
        <v>-4166.6666666666661</v>
      </c>
      <c r="Q100" s="235"/>
      <c r="R100" s="235"/>
      <c r="S100" s="235"/>
    </row>
    <row r="101" spans="1:19" ht="17.25" thickBot="1">
      <c r="A101" s="162" t="s">
        <v>238</v>
      </c>
      <c r="B101" s="126">
        <v>96.1</v>
      </c>
      <c r="C101" s="77">
        <v>0.1454112038</v>
      </c>
      <c r="D101" s="15">
        <v>99</v>
      </c>
      <c r="E101" s="32">
        <f t="shared" si="46"/>
        <v>3.0176899063475607E-2</v>
      </c>
      <c r="F101" s="18">
        <f>IF(ISNUMBER(D101), $B118 * E101, "")</f>
        <v>3017.6899063475607</v>
      </c>
      <c r="G101" s="31">
        <v>94.6</v>
      </c>
      <c r="H101" s="32">
        <f t="shared" si="47"/>
        <v>-1.5608740894901146E-2</v>
      </c>
      <c r="I101" s="101">
        <f>IF(ISNUMBER(G101), $B118 * H101, "")</f>
        <v>-1560.8740894901146</v>
      </c>
      <c r="J101" s="15">
        <v>94.6</v>
      </c>
      <c r="K101" s="32">
        <f t="shared" si="48"/>
        <v>-1.5608740894901146E-2</v>
      </c>
      <c r="L101" s="18">
        <f>IF(ISNUMBER(J101), $B118 * K101, "")</f>
        <v>-1560.8740894901146</v>
      </c>
      <c r="M101" s="31">
        <v>93.4</v>
      </c>
      <c r="N101" s="32">
        <f t="shared" si="49"/>
        <v>-2.8095733610821943E-2</v>
      </c>
      <c r="O101" s="18">
        <f>IF(ISNUMBER(M101), $B118 * N101, "")</f>
        <v>-2809.5733610821944</v>
      </c>
      <c r="Q101" s="235"/>
      <c r="R101" s="235"/>
      <c r="S101" s="235"/>
    </row>
    <row r="102" spans="1:19" ht="17.25" thickBot="1">
      <c r="A102" s="163" t="s">
        <v>218</v>
      </c>
      <c r="B102" s="128">
        <v>5.8</v>
      </c>
      <c r="C102" s="78">
        <v>0.14398422089999999</v>
      </c>
      <c r="D102" s="20">
        <v>6.9</v>
      </c>
      <c r="E102" s="21">
        <f t="shared" si="46"/>
        <v>0.1896551724137932</v>
      </c>
      <c r="F102" s="22">
        <f>IF(ISNUMBER(D102), $B118 * E102, "")</f>
        <v>18965.517241379319</v>
      </c>
      <c r="G102" s="30">
        <v>6.04</v>
      </c>
      <c r="H102" s="21">
        <f t="shared" si="47"/>
        <v>4.1379310344827627E-2</v>
      </c>
      <c r="I102" s="105">
        <f>IF(ISNUMBER(G102), $B118 * H102, "")</f>
        <v>4137.9310344827627</v>
      </c>
      <c r="J102" s="20">
        <v>6.03</v>
      </c>
      <c r="K102" s="21">
        <f t="shared" si="48"/>
        <v>3.9655172413793176E-2</v>
      </c>
      <c r="L102" s="22">
        <f>IF(ISNUMBER(J102), $B118 * K102, "")</f>
        <v>3965.5172413793175</v>
      </c>
      <c r="M102" s="30">
        <v>6.12</v>
      </c>
      <c r="N102" s="21">
        <f t="shared" si="49"/>
        <v>5.5172413793103496E-2</v>
      </c>
      <c r="O102" s="22">
        <f>IF(ISNUMBER(M102), $B118 * N102, "")</f>
        <v>5517.2413793103497</v>
      </c>
      <c r="Q102" s="235"/>
      <c r="R102" s="235"/>
      <c r="S102" s="235"/>
    </row>
    <row r="103" spans="1:19" ht="17.25" thickBot="1">
      <c r="A103" s="162" t="s">
        <v>232</v>
      </c>
      <c r="B103" s="129">
        <v>94.3</v>
      </c>
      <c r="C103" s="80">
        <v>0.1107184923</v>
      </c>
      <c r="D103" s="106">
        <v>93.4</v>
      </c>
      <c r="E103" s="107">
        <f>IF(ISNUMBER(D103), (D103 - $B103) / $B103, "")</f>
        <v>-9.544008483563007E-3</v>
      </c>
      <c r="F103" s="108">
        <f>IF(ISNUMBER(D103), $B118 * E103, "")</f>
        <v>-954.40084835630068</v>
      </c>
      <c r="G103" s="109">
        <v>93</v>
      </c>
      <c r="H103" s="107">
        <f>IF(ISNUMBER(G103), (G103 - $B103) / $B103, "")</f>
        <v>-1.3785790031813332E-2</v>
      </c>
      <c r="I103" s="110">
        <f>IF(ISNUMBER(G103), $B118 * H103, "")</f>
        <v>-1378.5790031813333</v>
      </c>
      <c r="J103" s="106">
        <v>92.8</v>
      </c>
      <c r="K103" s="107">
        <f>IF(ISNUMBER(J103), (J103 - $B103) / $B103, "")</f>
        <v>-1.5906680805938496E-2</v>
      </c>
      <c r="L103" s="108">
        <f>IF(ISNUMBER(J103), $B118 * K103, "")</f>
        <v>-1590.6680805938495</v>
      </c>
      <c r="M103" s="109">
        <v>92.6</v>
      </c>
      <c r="N103" s="107">
        <f>IF(ISNUMBER(M103), (M103 - $B103) / $B103, "")</f>
        <v>-1.8027571580063656E-2</v>
      </c>
      <c r="O103" s="108">
        <f>IF(ISNUMBER(M103), $B118 * N103, "")</f>
        <v>-1802.7571580063657</v>
      </c>
      <c r="Q103" s="235"/>
      <c r="R103" s="235"/>
      <c r="S103" s="235"/>
    </row>
    <row r="104" spans="1:19" ht="17.25" thickBot="1">
      <c r="A104" s="162" t="s">
        <v>160</v>
      </c>
      <c r="B104" s="126">
        <v>1650</v>
      </c>
      <c r="C104" s="77">
        <v>9.6345515000000007E-2</v>
      </c>
      <c r="D104" s="15">
        <v>1665</v>
      </c>
      <c r="E104" s="32">
        <f t="shared" ref="E104:E107" si="50">IF(ISNUMBER(D104), (D104 - $B104) / $B104, "")</f>
        <v>9.0909090909090905E-3</v>
      </c>
      <c r="F104" s="18">
        <f>IF(ISNUMBER(D104), $B118 * E104, "")</f>
        <v>909.09090909090901</v>
      </c>
      <c r="G104" s="31">
        <v>1610</v>
      </c>
      <c r="H104" s="32">
        <f t="shared" ref="H104:H107" si="51">IF(ISNUMBER(G104), (G104 - $B104) / $B104, "")</f>
        <v>-2.4242424242424242E-2</v>
      </c>
      <c r="I104" s="101">
        <f>IF(ISNUMBER(G104), $B118 * H104, "")</f>
        <v>-2424.242424242424</v>
      </c>
      <c r="J104" s="15">
        <v>1600</v>
      </c>
      <c r="K104" s="32">
        <f t="shared" ref="K104:K107" si="52">IF(ISNUMBER(J104), (J104 - $B104) / $B104, "")</f>
        <v>-3.0303030303030304E-2</v>
      </c>
      <c r="L104" s="18">
        <f>IF(ISNUMBER(J104), $B118 * K104, "")</f>
        <v>-3030.3030303030305</v>
      </c>
      <c r="M104" s="31">
        <v>1590</v>
      </c>
      <c r="N104" s="32">
        <f t="shared" ref="N104:N107" si="53">IF(ISNUMBER(M104), (M104 - $B104) / $B104, "")</f>
        <v>-3.6363636363636362E-2</v>
      </c>
      <c r="O104" s="18">
        <f>IF(ISNUMBER(M104), $B118 * N104, "")</f>
        <v>-3636.363636363636</v>
      </c>
      <c r="Q104" s="235"/>
      <c r="R104" s="235"/>
      <c r="S104" s="235"/>
    </row>
    <row r="105" spans="1:19" ht="17.25" thickBot="1">
      <c r="A105" s="162" t="s">
        <v>208</v>
      </c>
      <c r="B105" s="126">
        <v>97.8</v>
      </c>
      <c r="C105" s="77">
        <v>8.6666666700000006E-2</v>
      </c>
      <c r="D105" s="15">
        <v>110</v>
      </c>
      <c r="E105" s="32">
        <f t="shared" si="50"/>
        <v>0.12474437627811864</v>
      </c>
      <c r="F105" s="18">
        <f>IF(ISNUMBER(D105), $B118 * E105, "")</f>
        <v>12474.437627811863</v>
      </c>
      <c r="G105" s="31">
        <v>99.7</v>
      </c>
      <c r="H105" s="32">
        <f t="shared" si="51"/>
        <v>1.9427402862985745E-2</v>
      </c>
      <c r="I105" s="101">
        <f>IF(ISNUMBER(G105), $B118 * H105, "")</f>
        <v>1942.7402862985746</v>
      </c>
      <c r="J105" s="15">
        <v>99.4</v>
      </c>
      <c r="K105" s="32">
        <f t="shared" si="52"/>
        <v>1.6359918200409086E-2</v>
      </c>
      <c r="L105" s="18">
        <f>IF(ISNUMBER(J105), $B118 * K105, "")</f>
        <v>1635.9918200409086</v>
      </c>
      <c r="M105" s="31">
        <v>98.4</v>
      </c>
      <c r="N105" s="32">
        <f t="shared" si="53"/>
        <v>6.134969325153462E-3</v>
      </c>
      <c r="O105" s="18">
        <f>IF(ISNUMBER(M105), $B118 * N105, "")</f>
        <v>613.4969325153462</v>
      </c>
      <c r="Q105" s="235"/>
      <c r="R105" s="235"/>
      <c r="S105" s="235"/>
    </row>
    <row r="106" spans="1:19" ht="17.25" thickBot="1">
      <c r="A106" s="162" t="s">
        <v>214</v>
      </c>
      <c r="B106" s="126">
        <v>9.9700000000000006</v>
      </c>
      <c r="C106" s="77">
        <v>8.6056644900000007E-2</v>
      </c>
      <c r="D106" s="15">
        <v>10.1</v>
      </c>
      <c r="E106" s="32">
        <f t="shared" si="50"/>
        <v>1.3039117352056068E-2</v>
      </c>
      <c r="F106" s="18">
        <f>IF(ISNUMBER(D106), $B118 * E106, "")</f>
        <v>1303.9117352056069</v>
      </c>
      <c r="G106" s="31">
        <v>10.7</v>
      </c>
      <c r="H106" s="32">
        <f t="shared" si="51"/>
        <v>7.3219658976930654E-2</v>
      </c>
      <c r="I106" s="101">
        <f>IF(ISNUMBER(G106), $B118 * H106, "")</f>
        <v>7321.965897693065</v>
      </c>
      <c r="J106" s="15">
        <v>10.7</v>
      </c>
      <c r="K106" s="32">
        <f t="shared" si="52"/>
        <v>7.3219658976930654E-2</v>
      </c>
      <c r="L106" s="18">
        <f>IF(ISNUMBER(J106), $B118 * K106, "")</f>
        <v>7321.965897693065</v>
      </c>
      <c r="M106" s="31">
        <v>10.5</v>
      </c>
      <c r="N106" s="32">
        <f t="shared" si="53"/>
        <v>5.315947843530585E-2</v>
      </c>
      <c r="O106" s="18">
        <f>IF(ISNUMBER(M106), $B118 * N106, "")</f>
        <v>5315.9478435305846</v>
      </c>
      <c r="Q106" s="33"/>
      <c r="R106" s="33"/>
    </row>
    <row r="107" spans="1:19" ht="17.25" thickBot="1">
      <c r="A107" s="130" t="s">
        <v>126</v>
      </c>
      <c r="B107" s="131">
        <v>26.3</v>
      </c>
      <c r="C107" s="79">
        <v>7.3469387799999994E-2</v>
      </c>
      <c r="D107" s="24">
        <v>26.4</v>
      </c>
      <c r="E107" s="25">
        <f t="shared" si="50"/>
        <v>3.8022813688212117E-3</v>
      </c>
      <c r="F107" s="104">
        <f>IF(ISNUMBER(D107), $B118 * E107, "")</f>
        <v>380.22813688212119</v>
      </c>
      <c r="G107" s="102">
        <v>26.1</v>
      </c>
      <c r="H107" s="25">
        <f t="shared" si="51"/>
        <v>-7.6045627376425586E-3</v>
      </c>
      <c r="I107" s="103">
        <f>IF(ISNUMBER(G107), $B118 * H107, "")</f>
        <v>-760.45627376425591</v>
      </c>
      <c r="J107" s="24">
        <v>26.2</v>
      </c>
      <c r="K107" s="25">
        <f t="shared" si="52"/>
        <v>-3.8022813688213465E-3</v>
      </c>
      <c r="L107" s="104">
        <f>IF(ISNUMBER(J107), $B118 * K107, "")</f>
        <v>-380.22813688213466</v>
      </c>
      <c r="M107" s="102">
        <v>25.4</v>
      </c>
      <c r="N107" s="25">
        <f t="shared" si="53"/>
        <v>-3.4220532319391712E-2</v>
      </c>
      <c r="O107" s="104">
        <f>IF(ISNUMBER(M107), $B118 * N107, "")</f>
        <v>-3422.0532319391714</v>
      </c>
      <c r="Q107" s="236"/>
      <c r="R107" s="237"/>
      <c r="S107" s="238"/>
    </row>
    <row r="108" spans="1:19">
      <c r="A108" s="161" t="s">
        <v>150</v>
      </c>
      <c r="B108" s="124">
        <v>2340</v>
      </c>
      <c r="C108" s="76">
        <v>6.8493150700000005E-2</v>
      </c>
      <c r="D108" s="13">
        <v>2415</v>
      </c>
      <c r="E108" s="14">
        <f>IF(ISNUMBER(D108), (D108 - $B108) / $B108, "")</f>
        <v>3.2051282051282048E-2</v>
      </c>
      <c r="F108" s="16">
        <f>IF(ISNUMBER(D108), $B118 * E108, "")</f>
        <v>3205.1282051282046</v>
      </c>
      <c r="G108" s="29">
        <v>2450</v>
      </c>
      <c r="H108" s="14">
        <f>IF(ISNUMBER(G108), (G108 - $B108) / $B108, "")</f>
        <v>4.7008547008547008E-2</v>
      </c>
      <c r="I108" s="100">
        <f>IF(ISNUMBER(G108), $B118 * H108, "")</f>
        <v>4700.8547008547012</v>
      </c>
      <c r="J108" s="13">
        <v>2430</v>
      </c>
      <c r="K108" s="14">
        <f>IF(ISNUMBER(J108), (J108 - $B108) / $B108, "")</f>
        <v>3.8461538461538464E-2</v>
      </c>
      <c r="L108" s="16">
        <f>IF(ISNUMBER(J108), $B118 * K108, "")</f>
        <v>3846.1538461538462</v>
      </c>
      <c r="M108" s="29">
        <v>2400</v>
      </c>
      <c r="N108" s="14">
        <f>IF(ISNUMBER(M108), (M108 - $B108) / $B108, "")</f>
        <v>2.564102564102564E-2</v>
      </c>
      <c r="O108" s="16">
        <f>IF(ISNUMBER(M108), $B118 * N108, "")</f>
        <v>2564.102564102564</v>
      </c>
      <c r="Q108" s="239"/>
      <c r="R108" s="240"/>
      <c r="S108" s="241"/>
    </row>
    <row r="109" spans="1:19" ht="17.25" thickBot="1">
      <c r="A109" s="162" t="s">
        <v>226</v>
      </c>
      <c r="B109" s="126">
        <v>217</v>
      </c>
      <c r="C109" s="77">
        <v>6.3725490199999998E-2</v>
      </c>
      <c r="D109" s="15">
        <v>218</v>
      </c>
      <c r="E109" s="32">
        <f t="shared" ref="E109:E112" si="54">IF(ISNUMBER(D109), (D109 - $B109) / $B109, "")</f>
        <v>4.608294930875576E-3</v>
      </c>
      <c r="F109" s="18">
        <f>IF(ISNUMBER(D109), $B118 * E109, "")</f>
        <v>460.82949308755758</v>
      </c>
      <c r="G109" s="31">
        <v>215</v>
      </c>
      <c r="H109" s="32">
        <f t="shared" ref="H109:H112" si="55">IF(ISNUMBER(G109), (G109 - $B109) / $B109, "")</f>
        <v>-9.2165898617511521E-3</v>
      </c>
      <c r="I109" s="101">
        <f>IF(ISNUMBER(G109), $B118 * H109, "")</f>
        <v>-921.65898617511516</v>
      </c>
      <c r="J109" s="15">
        <v>217</v>
      </c>
      <c r="K109" s="32">
        <f t="shared" ref="K109:K112" si="56">IF(ISNUMBER(J109), (J109 - $B109) / $B109, "")</f>
        <v>0</v>
      </c>
      <c r="L109" s="18">
        <f>IF(ISNUMBER(J109), $B118 * K109, "")</f>
        <v>0</v>
      </c>
      <c r="M109" s="31">
        <v>216</v>
      </c>
      <c r="N109" s="32">
        <f t="shared" ref="N109:N112" si="57">IF(ISNUMBER(M109), (M109 - $B109) / $B109, "")</f>
        <v>-4.608294930875576E-3</v>
      </c>
      <c r="O109" s="18">
        <f>IF(ISNUMBER(M109), $B118 * N109, "")</f>
        <v>-460.82949308755758</v>
      </c>
      <c r="Q109" s="242"/>
      <c r="R109" s="243"/>
      <c r="S109" s="244"/>
    </row>
    <row r="110" spans="1:19" ht="17.25" thickBot="1">
      <c r="A110" s="162" t="s">
        <v>224</v>
      </c>
      <c r="B110" s="126">
        <v>1170</v>
      </c>
      <c r="C110" s="77">
        <v>5.8823529399999998E-2</v>
      </c>
      <c r="D110" s="15">
        <v>1160</v>
      </c>
      <c r="E110" s="32">
        <f t="shared" si="54"/>
        <v>-8.5470085470085479E-3</v>
      </c>
      <c r="F110" s="18">
        <f>IF(ISNUMBER(D110), $B118 * E110, "")</f>
        <v>-854.70085470085473</v>
      </c>
      <c r="G110" s="31">
        <v>1165</v>
      </c>
      <c r="H110" s="32">
        <f t="shared" si="55"/>
        <v>-4.2735042735042739E-3</v>
      </c>
      <c r="I110" s="101">
        <f>IF(ISNUMBER(G110), $B118 * H110, "")</f>
        <v>-427.35042735042737</v>
      </c>
      <c r="J110" s="15">
        <v>1170</v>
      </c>
      <c r="K110" s="32">
        <f t="shared" si="56"/>
        <v>0</v>
      </c>
      <c r="L110" s="18">
        <f>IF(ISNUMBER(J110), $B118 * K110, "")</f>
        <v>0</v>
      </c>
      <c r="M110" s="31">
        <v>1160</v>
      </c>
      <c r="N110" s="32">
        <f t="shared" si="57"/>
        <v>-8.5470085470085479E-3</v>
      </c>
      <c r="O110" s="18">
        <f>IF(ISNUMBER(M110), $B118 * N110, "")</f>
        <v>-854.70085470085473</v>
      </c>
      <c r="Q110" s="235"/>
      <c r="R110" s="235"/>
      <c r="S110" s="235"/>
    </row>
    <row r="111" spans="1:19" ht="17.25" thickBot="1">
      <c r="A111" s="162" t="s">
        <v>254</v>
      </c>
      <c r="B111" s="126">
        <v>20.6</v>
      </c>
      <c r="C111" s="77">
        <v>5.6410256399999997E-2</v>
      </c>
      <c r="D111" s="15">
        <v>23</v>
      </c>
      <c r="E111" s="32">
        <f t="shared" si="54"/>
        <v>0.11650485436893196</v>
      </c>
      <c r="F111" s="18">
        <f>IF(ISNUMBER(D111), $B118 * E111, "")</f>
        <v>11650.485436893196</v>
      </c>
      <c r="G111" s="31">
        <v>21.1</v>
      </c>
      <c r="H111" s="32">
        <f t="shared" si="55"/>
        <v>2.4271844660194174E-2</v>
      </c>
      <c r="I111" s="101">
        <f>IF(ISNUMBER(G111), $B118 * H111, "")</f>
        <v>2427.1844660194174</v>
      </c>
      <c r="J111" s="15">
        <v>21.2</v>
      </c>
      <c r="K111" s="32">
        <f t="shared" si="56"/>
        <v>2.9126213592232903E-2</v>
      </c>
      <c r="L111" s="18">
        <f>IF(ISNUMBER(J111), $B118 * K111, "")</f>
        <v>2912.6213592232903</v>
      </c>
      <c r="M111" s="31">
        <v>21.8</v>
      </c>
      <c r="N111" s="32">
        <f t="shared" si="57"/>
        <v>5.825242718446598E-2</v>
      </c>
      <c r="O111" s="18">
        <f>IF(ISNUMBER(M111), $B118 * N111, "")</f>
        <v>5825.2427184465978</v>
      </c>
      <c r="Q111" s="245"/>
      <c r="R111" s="245"/>
      <c r="S111" s="245"/>
    </row>
    <row r="112" spans="1:19" ht="17.25" thickBot="1">
      <c r="A112" s="163" t="s">
        <v>242</v>
      </c>
      <c r="B112" s="128">
        <v>3515</v>
      </c>
      <c r="C112" s="78">
        <v>5.5555555600000001E-2</v>
      </c>
      <c r="D112" s="20">
        <v>3560</v>
      </c>
      <c r="E112" s="21">
        <f t="shared" si="54"/>
        <v>1.2802275960170697E-2</v>
      </c>
      <c r="F112" s="22">
        <f>IF(ISNUMBER(D112), $B118 * E112, "")</f>
        <v>1280.2275960170696</v>
      </c>
      <c r="G112" s="30">
        <v>3480</v>
      </c>
      <c r="H112" s="21">
        <f t="shared" si="55"/>
        <v>-9.9573257467994308E-3</v>
      </c>
      <c r="I112" s="105">
        <f>IF(ISNUMBER(G112), $B118 * H112, "")</f>
        <v>-995.73257467994313</v>
      </c>
      <c r="J112" s="20">
        <v>3445</v>
      </c>
      <c r="K112" s="21">
        <f t="shared" si="56"/>
        <v>-1.9914651493598862E-2</v>
      </c>
      <c r="L112" s="22">
        <f>IF(ISNUMBER(J112), $B118 * K112, "")</f>
        <v>-1991.4651493598863</v>
      </c>
      <c r="M112" s="30">
        <v>3420</v>
      </c>
      <c r="N112" s="21">
        <f t="shared" si="57"/>
        <v>-2.7027027027027029E-2</v>
      </c>
      <c r="O112" s="22">
        <f>IF(ISNUMBER(M112), $B118 * N112, "")</f>
        <v>-2702.7027027027029</v>
      </c>
      <c r="Q112" s="245"/>
      <c r="R112" s="245"/>
      <c r="S112" s="245"/>
    </row>
    <row r="113" spans="1:19" ht="17.25" thickBot="1">
      <c r="A113" s="162" t="s">
        <v>228</v>
      </c>
      <c r="B113" s="129">
        <v>8.17</v>
      </c>
      <c r="C113" s="80">
        <v>5.41935484E-2</v>
      </c>
      <c r="D113" s="106">
        <v>8.1199999999999992</v>
      </c>
      <c r="E113" s="107">
        <f>IF(ISNUMBER(D113), (D113 - $B113) / $B113, "")</f>
        <v>-6.1199510403917639E-3</v>
      </c>
      <c r="F113" s="108">
        <f>IF(ISNUMBER(D113), $B118 * E113, "")</f>
        <v>-611.99510403917634</v>
      </c>
      <c r="G113" s="109">
        <v>9.15</v>
      </c>
      <c r="H113" s="107">
        <f>IF(ISNUMBER(G113), (G113 - $B113) / $B113, "")</f>
        <v>0.11995104039167692</v>
      </c>
      <c r="I113" s="110">
        <f>IF(ISNUMBER(G113), $B118 * H113, "")</f>
        <v>11995.104039167692</v>
      </c>
      <c r="J113" s="106">
        <v>9.06</v>
      </c>
      <c r="K113" s="107">
        <f>IF(ISNUMBER(J113), (J113 - $B113) / $B113, "")</f>
        <v>0.10893512851897191</v>
      </c>
      <c r="L113" s="108">
        <f>IF(ISNUMBER(J113), $B118 * K113, "")</f>
        <v>10893.512851897191</v>
      </c>
      <c r="M113" s="109">
        <v>8.6300000000000008</v>
      </c>
      <c r="N113" s="107">
        <f>IF(ISNUMBER(M113), (M113 - $B113) / $B113, "")</f>
        <v>5.630354957160353E-2</v>
      </c>
      <c r="O113" s="108">
        <f>IF(ISNUMBER(M113), $B118 * N113, "")</f>
        <v>5630.3549571603526</v>
      </c>
      <c r="Q113" s="235"/>
      <c r="R113" s="235"/>
      <c r="S113" s="235"/>
    </row>
    <row r="114" spans="1:19" ht="17.25" thickBot="1">
      <c r="A114" s="162" t="s">
        <v>252</v>
      </c>
      <c r="B114" s="126">
        <v>102</v>
      </c>
      <c r="C114" s="77">
        <v>5.3719008300000003E-2</v>
      </c>
      <c r="D114" s="15">
        <v>122</v>
      </c>
      <c r="E114" s="32">
        <f t="shared" ref="E114:E117" si="58">IF(ISNUMBER(D114), (D114 - $B114) / $B114, "")</f>
        <v>0.19607843137254902</v>
      </c>
      <c r="F114" s="18">
        <f>IF(ISNUMBER(D114), $B118 * E114, "")</f>
        <v>19607.843137254902</v>
      </c>
      <c r="G114" s="31">
        <v>113</v>
      </c>
      <c r="H114" s="32">
        <f t="shared" ref="H114:H117" si="59">IF(ISNUMBER(G114), (G114 - $B114) / $B114, "")</f>
        <v>0.10784313725490197</v>
      </c>
      <c r="I114" s="101">
        <f>IF(ISNUMBER(G114), $B118 * H114, "")</f>
        <v>10784.313725490196</v>
      </c>
      <c r="J114" s="15">
        <v>109</v>
      </c>
      <c r="K114" s="32">
        <f t="shared" ref="K114:K117" si="60">IF(ISNUMBER(J114), (J114 - $B114) / $B114, "")</f>
        <v>6.8627450980392163E-2</v>
      </c>
      <c r="L114" s="18">
        <f>IF(ISNUMBER(J114), $B118 * K114, "")</f>
        <v>6862.7450980392159</v>
      </c>
      <c r="M114" s="31">
        <v>110</v>
      </c>
      <c r="N114" s="32">
        <f t="shared" ref="N114:N117" si="61">IF(ISNUMBER(M114), (M114 - $B114) / $B114, "")</f>
        <v>7.8431372549019607E-2</v>
      </c>
      <c r="O114" s="18">
        <f>IF(ISNUMBER(M114), $B118 * N114, "")</f>
        <v>7843.1372549019607</v>
      </c>
      <c r="Q114" s="235"/>
      <c r="R114" s="235"/>
      <c r="S114" s="235"/>
    </row>
    <row r="115" spans="1:19" ht="17.25" thickBot="1">
      <c r="A115" s="162" t="s">
        <v>69</v>
      </c>
      <c r="B115" s="126">
        <v>4795</v>
      </c>
      <c r="C115" s="77">
        <v>5.26893524E-2</v>
      </c>
      <c r="D115" s="15">
        <v>4885</v>
      </c>
      <c r="E115" s="32">
        <f t="shared" si="58"/>
        <v>1.8769551616266946E-2</v>
      </c>
      <c r="F115" s="18">
        <f>IF(ISNUMBER(D115), $B118 * E115, "")</f>
        <v>1876.9551616266947</v>
      </c>
      <c r="G115" s="31">
        <v>4885</v>
      </c>
      <c r="H115" s="32">
        <f t="shared" si="59"/>
        <v>1.8769551616266946E-2</v>
      </c>
      <c r="I115" s="101">
        <f>IF(ISNUMBER(G115), $B118 * H115, "")</f>
        <v>1876.9551616266947</v>
      </c>
      <c r="J115" s="15">
        <v>4875</v>
      </c>
      <c r="K115" s="32">
        <f t="shared" si="60"/>
        <v>1.6684045881126174E-2</v>
      </c>
      <c r="L115" s="18">
        <f>IF(ISNUMBER(J115), $B118 * K115, "")</f>
        <v>1668.4045881126174</v>
      </c>
      <c r="M115" s="31">
        <v>4820</v>
      </c>
      <c r="N115" s="32">
        <f t="shared" si="61"/>
        <v>5.2137643378519288E-3</v>
      </c>
      <c r="O115" s="18">
        <f>IF(ISNUMBER(M115), $B118 * N115, "")</f>
        <v>521.37643378519283</v>
      </c>
      <c r="Q115" s="235"/>
      <c r="R115" s="235"/>
      <c r="S115" s="235"/>
    </row>
    <row r="116" spans="1:19">
      <c r="A116" s="162" t="s">
        <v>174</v>
      </c>
      <c r="B116" s="126">
        <v>120</v>
      </c>
      <c r="C116" s="77">
        <v>5.2631578900000003E-2</v>
      </c>
      <c r="D116" s="15">
        <v>128</v>
      </c>
      <c r="E116" s="32">
        <f t="shared" si="58"/>
        <v>6.6666666666666666E-2</v>
      </c>
      <c r="F116" s="18">
        <f>IF(ISNUMBER(D116), $B118 * E116, "")</f>
        <v>6666.666666666667</v>
      </c>
      <c r="G116" s="31">
        <v>127</v>
      </c>
      <c r="H116" s="32">
        <f t="shared" si="59"/>
        <v>5.8333333333333334E-2</v>
      </c>
      <c r="I116" s="101">
        <f>IF(ISNUMBER(G116), $B118 * H116, "")</f>
        <v>5833.333333333333</v>
      </c>
      <c r="J116" s="15">
        <v>129</v>
      </c>
      <c r="K116" s="32">
        <f t="shared" si="60"/>
        <v>7.4999999999999997E-2</v>
      </c>
      <c r="L116" s="18">
        <f>IF(ISNUMBER(J116), $B118 * K116, "")</f>
        <v>7500</v>
      </c>
      <c r="M116" s="31">
        <v>128</v>
      </c>
      <c r="N116" s="32">
        <f t="shared" si="61"/>
        <v>6.6666666666666666E-2</v>
      </c>
      <c r="O116" s="18">
        <f>IF(ISNUMBER(M116), $B118 * N116, "")</f>
        <v>6666.666666666667</v>
      </c>
      <c r="Q116" s="224"/>
      <c r="R116" s="225"/>
      <c r="S116" s="226"/>
    </row>
    <row r="117" spans="1:19" ht="17.25" thickBot="1">
      <c r="A117" s="130" t="s">
        <v>250</v>
      </c>
      <c r="B117" s="131">
        <v>58</v>
      </c>
      <c r="C117" s="79">
        <v>5.0724637699999998E-2</v>
      </c>
      <c r="D117" s="24">
        <v>90.6</v>
      </c>
      <c r="E117" s="25">
        <f t="shared" si="58"/>
        <v>0.56206896551724128</v>
      </c>
      <c r="F117" s="104">
        <f>IF(ISNUMBER(D117), $B118 * E117, "")</f>
        <v>56206.89655172413</v>
      </c>
      <c r="G117" s="102">
        <v>78.3</v>
      </c>
      <c r="H117" s="25">
        <f t="shared" si="59"/>
        <v>0.35</v>
      </c>
      <c r="I117" s="103">
        <f>IF(ISNUMBER(G117), $B118 * H117, "")</f>
        <v>35000</v>
      </c>
      <c r="J117" s="24">
        <v>78.900000000000006</v>
      </c>
      <c r="K117" s="25">
        <f t="shared" si="60"/>
        <v>0.36034482758620701</v>
      </c>
      <c r="L117" s="104">
        <f>IF(ISNUMBER(J117), $B118 * K117, "")</f>
        <v>36034.482758620703</v>
      </c>
      <c r="M117" s="102">
        <v>79.400000000000006</v>
      </c>
      <c r="N117" s="25">
        <f t="shared" si="61"/>
        <v>0.36896551724137938</v>
      </c>
      <c r="O117" s="104">
        <f>IF(ISNUMBER(M117), $B118 * N117, "")</f>
        <v>36896.551724137935</v>
      </c>
      <c r="Q117" s="227"/>
      <c r="R117" s="228"/>
      <c r="S117" s="229"/>
    </row>
    <row r="118" spans="1:19" ht="17.25" thickBot="1">
      <c r="A118" s="132" t="s">
        <v>300</v>
      </c>
      <c r="B118" s="288">
        <f>$B$37</f>
        <v>100000</v>
      </c>
      <c r="C118" s="289"/>
      <c r="D118" s="26" t="s">
        <v>301</v>
      </c>
      <c r="E118" s="27">
        <f>IF(COUNT(E98:E117), SUM(E98:E117) / COUNT(E98:E117), 0)</f>
        <v>8.4917304120258733E-2</v>
      </c>
      <c r="F118" s="28">
        <f>SUM(F98:F117)</f>
        <v>169834.60824051744</v>
      </c>
      <c r="G118" s="26" t="s">
        <v>301</v>
      </c>
      <c r="H118" s="27">
        <f>IF(COUNT(H98:H117), SUM(H98:H117) / COUNT(H98:H117), 0)</f>
        <v>4.3838705973144709E-2</v>
      </c>
      <c r="I118" s="28">
        <f>SUM(I98:I117)</f>
        <v>87677.41194628943</v>
      </c>
      <c r="J118" s="26" t="s">
        <v>301</v>
      </c>
      <c r="K118" s="27">
        <f>IF(COUNT(K98:K117), SUM(K98:K117) / COUNT(K98:K117), 0)</f>
        <v>4.4274741224705275E-2</v>
      </c>
      <c r="L118" s="28">
        <f>SUM(L98:L117)</f>
        <v>88549.482449410541</v>
      </c>
      <c r="M118" s="26" t="s">
        <v>301</v>
      </c>
      <c r="N118" s="27">
        <f>IF(COUNT(N98:N117), SUM(N98:N117) / COUNT(N98:N117), 0)</f>
        <v>3.3029704374977313E-2</v>
      </c>
      <c r="O118" s="28">
        <f>SUM(O98:O117)</f>
        <v>66059.408749954629</v>
      </c>
      <c r="Q118" s="230"/>
      <c r="R118" s="231"/>
      <c r="S118" s="232"/>
    </row>
    <row r="120" spans="1:19" ht="17.25" thickBot="1"/>
    <row r="121" spans="1:19" ht="17.25" thickBot="1">
      <c r="A121" s="246" t="s">
        <v>288</v>
      </c>
      <c r="B121" s="247"/>
      <c r="C121" s="247"/>
      <c r="D121" s="247"/>
      <c r="E121" s="247"/>
      <c r="F121" s="247"/>
      <c r="G121" s="247"/>
      <c r="H121" s="247"/>
      <c r="I121" s="247"/>
      <c r="J121" s="247"/>
      <c r="K121" s="247"/>
      <c r="L121" s="247"/>
      <c r="M121" s="247"/>
      <c r="N121" s="247"/>
      <c r="O121" s="248"/>
      <c r="Q121" s="245"/>
      <c r="R121" s="245"/>
      <c r="S121" s="245"/>
    </row>
    <row r="122" spans="1:19" ht="17.25" thickBot="1">
      <c r="A122" s="216" t="s">
        <v>297</v>
      </c>
      <c r="B122" s="246" t="s">
        <v>49</v>
      </c>
      <c r="C122" s="248"/>
      <c r="D122" s="246" t="s">
        <v>58</v>
      </c>
      <c r="E122" s="247"/>
      <c r="F122" s="248"/>
      <c r="G122" s="249">
        <f>_xlfn.IFNA(VLOOKUP(B122, 현재가테이블!$B$2:$D$200, 2, FALSE), "-")</f>
        <v>45335000</v>
      </c>
      <c r="H122" s="250"/>
      <c r="I122" s="251"/>
      <c r="J122" s="246" t="s">
        <v>59</v>
      </c>
      <c r="K122" s="247"/>
      <c r="L122" s="248"/>
      <c r="M122" s="252">
        <f>_xlfn.IFNA(VLOOKUP(B122, 현재가테이블!$B$2:$D$200, 3, FALSE), "-")</f>
        <v>-2.27209037E-2</v>
      </c>
      <c r="N122" s="253"/>
      <c r="O122" s="254"/>
      <c r="Q122" s="245"/>
      <c r="R122" s="245"/>
      <c r="S122" s="245"/>
    </row>
    <row r="123" spans="1:19" ht="17.25" thickBot="1">
      <c r="A123" s="290" t="s">
        <v>55</v>
      </c>
      <c r="B123" s="286" t="str">
        <f>TEXT($G$1, "[$-ko-KR]yyyy-mm-dd(ddd) ") &amp; "오전 00:00"</f>
        <v>2021-06-15(화) 오전 00:00</v>
      </c>
      <c r="C123" s="287"/>
      <c r="D123" s="259" t="str">
        <f>TEXT($G$1, "[$-ko-KR]yyyy-mm-dd(ddd) ") &amp; "오후 14:00"</f>
        <v>2021-06-15(화) 오후 14:00</v>
      </c>
      <c r="E123" s="260"/>
      <c r="F123" s="261"/>
      <c r="G123" s="259" t="str">
        <f>TEXT($G$1, "[$-ko-KR]yyyy-mm-dd(ddd) ") &amp; "오후 19:00"</f>
        <v>2021-06-15(화) 오후 19:00</v>
      </c>
      <c r="H123" s="260"/>
      <c r="I123" s="261"/>
      <c r="J123" s="259" t="str">
        <f>TEXT($G$1, "[$-ko-KR]yyyy-mm-dd(ddd) ") &amp; "오후 21:00"</f>
        <v>2021-06-15(화) 오후 21:00</v>
      </c>
      <c r="K123" s="260"/>
      <c r="L123" s="261"/>
      <c r="M123" s="259" t="str">
        <f>TEXT($G$1+1, "[$-ko-KR]yyyy-mm-dd(ddd) ") &amp; "오전 00:00"</f>
        <v>2021-06-16(수) 오전 00:00</v>
      </c>
      <c r="N123" s="260"/>
      <c r="O123" s="261"/>
      <c r="Q123" s="245"/>
      <c r="R123" s="245"/>
      <c r="S123" s="245"/>
    </row>
    <row r="124" spans="1:19" ht="17.25" thickBot="1">
      <c r="A124" s="291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217" t="s">
        <v>58</v>
      </c>
      <c r="H124" s="218" t="s">
        <v>298</v>
      </c>
      <c r="I124" s="219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5"/>
      <c r="R124" s="235"/>
      <c r="S124" s="235"/>
    </row>
    <row r="125" spans="1:19" ht="17.25" thickBot="1">
      <c r="A125" s="161" t="s">
        <v>65</v>
      </c>
      <c r="B125" s="124">
        <v>33</v>
      </c>
      <c r="C125" s="76">
        <v>2.48447205E-2</v>
      </c>
      <c r="D125" s="13">
        <v>33.799999999999997</v>
      </c>
      <c r="E125" s="14">
        <f>IF(ISNUMBER(D125), (D125 - $B125) / $B125, "")</f>
        <v>2.4242424242424156E-2</v>
      </c>
      <c r="F125" s="16">
        <f>IF(ISNUMBER(D125), $B145 * E125, "")</f>
        <v>2424.2424242424154</v>
      </c>
      <c r="G125" s="29">
        <v>33</v>
      </c>
      <c r="H125" s="14">
        <f>IF(ISNUMBER(G125), (G125 - $B125) / $B125, "")</f>
        <v>0</v>
      </c>
      <c r="I125" s="100">
        <f>IF(ISNUMBER(G125), $B145 * H125, "")</f>
        <v>0</v>
      </c>
      <c r="J125" s="13">
        <v>33</v>
      </c>
      <c r="K125" s="14">
        <f>IF(ISNUMBER(J125), (J125 - $B125) / $B125, "")</f>
        <v>0</v>
      </c>
      <c r="L125" s="16">
        <f>IF(ISNUMBER(J125), $B145 * K125, "")</f>
        <v>0</v>
      </c>
      <c r="M125" s="29">
        <v>32.799999999999997</v>
      </c>
      <c r="N125" s="14">
        <f>IF(ISNUMBER(M125), (M125 - $B125) / $B125, "")</f>
        <v>-6.0606060606061465E-3</v>
      </c>
      <c r="O125" s="16">
        <f>IF(ISNUMBER(M125), $B145 * N125, "")</f>
        <v>-606.06060606061465</v>
      </c>
      <c r="Q125" s="245"/>
      <c r="R125" s="245"/>
      <c r="S125" s="245"/>
    </row>
    <row r="126" spans="1:19" ht="17.25" thickBot="1">
      <c r="A126" s="162" t="s">
        <v>172</v>
      </c>
      <c r="B126" s="126">
        <v>4.79</v>
      </c>
      <c r="C126" s="77">
        <v>2.3504273499999999E-2</v>
      </c>
      <c r="D126" s="15">
        <v>5.38</v>
      </c>
      <c r="E126" s="32">
        <f t="shared" ref="E126:E129" si="62">IF(ISNUMBER(D126), (D126 - $B126) / $B126, "")</f>
        <v>0.12317327766179538</v>
      </c>
      <c r="F126" s="18">
        <f>IF(ISNUMBER(D126), $B145 * E126, "")</f>
        <v>12317.327766179538</v>
      </c>
      <c r="G126" s="31">
        <v>5.0599999999999996</v>
      </c>
      <c r="H126" s="32">
        <f t="shared" ref="H126:H129" si="63">IF(ISNUMBER(G126), (G126 - $B126) / $B126, "")</f>
        <v>5.6367432150313063E-2</v>
      </c>
      <c r="I126" s="101">
        <f>IF(ISNUMBER(G126), $B145 * H126, "")</f>
        <v>5636.7432150313061</v>
      </c>
      <c r="J126" s="15">
        <v>5.14</v>
      </c>
      <c r="K126" s="32">
        <f t="shared" ref="K126:K129" si="64">IF(ISNUMBER(J126), (J126 - $B126) / $B126, "")</f>
        <v>7.3068893528183645E-2</v>
      </c>
      <c r="L126" s="18">
        <f>IF(ISNUMBER(J126), $B145 * K126, "")</f>
        <v>7306.8893528183644</v>
      </c>
      <c r="M126" s="31">
        <v>5.19</v>
      </c>
      <c r="N126" s="32">
        <f t="shared" ref="N126:N129" si="65">IF(ISNUMBER(M126), (M126 - $B126) / $B126, "")</f>
        <v>8.3507306889352886E-2</v>
      </c>
      <c r="O126" s="18">
        <f>IF(ISNUMBER(M126), $B145 * N126, "")</f>
        <v>8350.7306889352894</v>
      </c>
      <c r="Q126" s="245"/>
      <c r="R126" s="245"/>
      <c r="S126" s="245"/>
    </row>
    <row r="127" spans="1:19" ht="17.25" thickBot="1">
      <c r="A127" s="162" t="s">
        <v>122</v>
      </c>
      <c r="B127" s="126">
        <v>22.5</v>
      </c>
      <c r="C127" s="77">
        <v>2.2727272699999999E-2</v>
      </c>
      <c r="D127" s="15">
        <v>25.9</v>
      </c>
      <c r="E127" s="32">
        <f t="shared" si="62"/>
        <v>0.15111111111111106</v>
      </c>
      <c r="F127" s="18">
        <f>IF(ISNUMBER(D127), $B145 * E127, "")</f>
        <v>15111.111111111106</v>
      </c>
      <c r="G127" s="31">
        <v>23.7</v>
      </c>
      <c r="H127" s="32">
        <f t="shared" si="63"/>
        <v>5.3333333333333302E-2</v>
      </c>
      <c r="I127" s="101">
        <f>IF(ISNUMBER(G127), $B145 * H127, "")</f>
        <v>5333.3333333333303</v>
      </c>
      <c r="J127" s="15">
        <v>23.8</v>
      </c>
      <c r="K127" s="32">
        <f t="shared" si="64"/>
        <v>5.777777777777781E-2</v>
      </c>
      <c r="L127" s="18">
        <f>IF(ISNUMBER(J127), $B145 * K127, "")</f>
        <v>5777.777777777781</v>
      </c>
      <c r="M127" s="31">
        <v>24.2</v>
      </c>
      <c r="N127" s="32">
        <f t="shared" si="65"/>
        <v>7.5555555555555529E-2</v>
      </c>
      <c r="O127" s="18">
        <f>IF(ISNUMBER(M127), $B145 * N127, "")</f>
        <v>7555.5555555555529</v>
      </c>
      <c r="Q127" s="235"/>
      <c r="R127" s="235"/>
      <c r="S127" s="235"/>
    </row>
    <row r="128" spans="1:19" ht="17.25" thickBot="1">
      <c r="A128" s="162" t="s">
        <v>236</v>
      </c>
      <c r="B128" s="126">
        <v>18.600000000000001</v>
      </c>
      <c r="C128" s="77">
        <v>2.1978022E-2</v>
      </c>
      <c r="D128" s="15">
        <v>20.7</v>
      </c>
      <c r="E128" s="32">
        <f t="shared" si="62"/>
        <v>0.11290322580645148</v>
      </c>
      <c r="F128" s="18">
        <f>IF(ISNUMBER(D128), $B145 * E128, "")</f>
        <v>11290.322580645148</v>
      </c>
      <c r="G128" s="31">
        <v>19.2</v>
      </c>
      <c r="H128" s="32">
        <f t="shared" si="63"/>
        <v>3.2258064516128913E-2</v>
      </c>
      <c r="I128" s="101">
        <f>IF(ISNUMBER(G128), $B145 * H128, "")</f>
        <v>3225.8064516128911</v>
      </c>
      <c r="J128" s="15">
        <v>19.2</v>
      </c>
      <c r="K128" s="32">
        <f t="shared" si="64"/>
        <v>3.2258064516128913E-2</v>
      </c>
      <c r="L128" s="18">
        <f>IF(ISNUMBER(J128), $B145 * K128, "")</f>
        <v>3225.8064516128911</v>
      </c>
      <c r="M128" s="31">
        <v>19.3</v>
      </c>
      <c r="N128" s="32">
        <f t="shared" si="65"/>
        <v>3.7634408602150497E-2</v>
      </c>
      <c r="O128" s="18">
        <f>IF(ISNUMBER(M128), $B145 * N128, "")</f>
        <v>3763.4408602150497</v>
      </c>
      <c r="Q128" s="235"/>
      <c r="R128" s="235"/>
      <c r="S128" s="235"/>
    </row>
    <row r="129" spans="1:19" ht="17.25" thickBot="1">
      <c r="A129" s="163" t="s">
        <v>268</v>
      </c>
      <c r="B129" s="128">
        <v>28.5</v>
      </c>
      <c r="C129" s="78">
        <v>2.15053763E-2</v>
      </c>
      <c r="D129" s="20">
        <v>32.299999999999997</v>
      </c>
      <c r="E129" s="21">
        <f t="shared" si="62"/>
        <v>0.13333333333333322</v>
      </c>
      <c r="F129" s="22">
        <f>IF(ISNUMBER(D129), $B145 * E129, "")</f>
        <v>13333.333333333321</v>
      </c>
      <c r="G129" s="30">
        <v>29.5</v>
      </c>
      <c r="H129" s="21">
        <f t="shared" si="63"/>
        <v>3.5087719298245612E-2</v>
      </c>
      <c r="I129" s="105">
        <f>IF(ISNUMBER(G129), $B145 * H129, "")</f>
        <v>3508.7719298245611</v>
      </c>
      <c r="J129" s="20">
        <v>29.5</v>
      </c>
      <c r="K129" s="21">
        <f t="shared" si="64"/>
        <v>3.5087719298245612E-2</v>
      </c>
      <c r="L129" s="22">
        <f>IF(ISNUMBER(J129), $B145 * K129, "")</f>
        <v>3508.7719298245611</v>
      </c>
      <c r="M129" s="30">
        <v>30.2</v>
      </c>
      <c r="N129" s="21">
        <f t="shared" si="65"/>
        <v>5.9649122807017521E-2</v>
      </c>
      <c r="O129" s="22">
        <f>IF(ISNUMBER(M129), $B145 * N129, "")</f>
        <v>5964.912280701752</v>
      </c>
      <c r="Q129" s="235"/>
      <c r="R129" s="235"/>
      <c r="S129" s="235"/>
    </row>
    <row r="130" spans="1:19" ht="17.25" thickBot="1">
      <c r="A130" s="162" t="s">
        <v>212</v>
      </c>
      <c r="B130" s="129">
        <v>56.5</v>
      </c>
      <c r="C130" s="80">
        <v>1.9855595699999999E-2</v>
      </c>
      <c r="D130" s="106">
        <v>56.1</v>
      </c>
      <c r="E130" s="107">
        <f>IF(ISNUMBER(D130), (D130 - $B130) / $B130, "")</f>
        <v>-7.0796460176990898E-3</v>
      </c>
      <c r="F130" s="108">
        <f>IF(ISNUMBER(D130), $B145 * E130, "")</f>
        <v>-707.964601769909</v>
      </c>
      <c r="G130" s="109">
        <v>59.4</v>
      </c>
      <c r="H130" s="107">
        <f>IF(ISNUMBER(G130), (G130 - $B130) / $B130, "")</f>
        <v>5.1327433628318556E-2</v>
      </c>
      <c r="I130" s="110">
        <f>IF(ISNUMBER(G130), $B145 * H130, "")</f>
        <v>5132.7433628318558</v>
      </c>
      <c r="J130" s="106">
        <v>58.8</v>
      </c>
      <c r="K130" s="107">
        <f>IF(ISNUMBER(J130), (J130 - $B130) / $B130, "")</f>
        <v>4.0707964601769862E-2</v>
      </c>
      <c r="L130" s="108">
        <f>IF(ISNUMBER(J130), $B145 * K130, "")</f>
        <v>4070.7964601769863</v>
      </c>
      <c r="M130" s="109">
        <v>58.2</v>
      </c>
      <c r="N130" s="107">
        <f>IF(ISNUMBER(M130), (M130 - $B130) / $B130, "")</f>
        <v>3.0088495575221291E-2</v>
      </c>
      <c r="O130" s="108">
        <f>IF(ISNUMBER(M130), $B145 * N130, "")</f>
        <v>3008.8495575221291</v>
      </c>
      <c r="Q130" s="235"/>
      <c r="R130" s="235"/>
      <c r="S130" s="235"/>
    </row>
    <row r="131" spans="1:19" ht="17.25" thickBot="1">
      <c r="A131" s="162" t="s">
        <v>222</v>
      </c>
      <c r="B131" s="126">
        <v>8.4</v>
      </c>
      <c r="C131" s="77">
        <v>1.6949152499999998E-2</v>
      </c>
      <c r="D131" s="15">
        <v>8.2899999999999991</v>
      </c>
      <c r="E131" s="32">
        <f t="shared" ref="E131:E134" si="66">IF(ISNUMBER(D131), (D131 - $B131) / $B131, "")</f>
        <v>-1.3095238095238238E-2</v>
      </c>
      <c r="F131" s="18">
        <f>IF(ISNUMBER(D131), $B145 * E131, "")</f>
        <v>-1309.5238095238237</v>
      </c>
      <c r="G131" s="31">
        <v>8.91</v>
      </c>
      <c r="H131" s="32">
        <f t="shared" ref="H131:H134" si="67">IF(ISNUMBER(G131), (G131 - $B131) / $B131, "")</f>
        <v>6.0714285714285686E-2</v>
      </c>
      <c r="I131" s="101">
        <f>IF(ISNUMBER(G131), $B145 * H131, "")</f>
        <v>6071.4285714285688</v>
      </c>
      <c r="J131" s="15">
        <v>9.1199999999999992</v>
      </c>
      <c r="K131" s="32">
        <f t="shared" ref="K131:K134" si="68">IF(ISNUMBER(J131), (J131 - $B131) / $B131, "")</f>
        <v>8.5714285714285576E-2</v>
      </c>
      <c r="L131" s="18">
        <f>IF(ISNUMBER(J131), $B145 * K131, "")</f>
        <v>8571.4285714285579</v>
      </c>
      <c r="M131" s="31">
        <v>9.0299999999999994</v>
      </c>
      <c r="N131" s="32">
        <f t="shared" ref="N131:N134" si="69">IF(ISNUMBER(M131), (M131 - $B131) / $B131, "")</f>
        <v>7.4999999999999872E-2</v>
      </c>
      <c r="O131" s="18">
        <f>IF(ISNUMBER(M131), $B145 * N131, "")</f>
        <v>7499.9999999999873</v>
      </c>
      <c r="Q131" s="235"/>
      <c r="R131" s="235"/>
      <c r="S131" s="235"/>
    </row>
    <row r="132" spans="1:19" ht="17.25" thickBot="1">
      <c r="A132" s="162" t="s">
        <v>152</v>
      </c>
      <c r="B132" s="126">
        <v>18.399999999999999</v>
      </c>
      <c r="C132" s="77">
        <v>1.65745856E-2</v>
      </c>
      <c r="D132" s="15">
        <v>18.7</v>
      </c>
      <c r="E132" s="32">
        <f t="shared" si="66"/>
        <v>1.6304347826086998E-2</v>
      </c>
      <c r="F132" s="18">
        <f>IF(ISNUMBER(D132), $B145 * E132, "")</f>
        <v>1630.4347826086998</v>
      </c>
      <c r="G132" s="31">
        <v>18.5</v>
      </c>
      <c r="H132" s="32">
        <f t="shared" si="67"/>
        <v>5.4347826086957301E-3</v>
      </c>
      <c r="I132" s="101">
        <f>IF(ISNUMBER(G132), $B145 * H132, "")</f>
        <v>543.47826086957298</v>
      </c>
      <c r="J132" s="15">
        <v>18.399999999999999</v>
      </c>
      <c r="K132" s="32">
        <f t="shared" si="68"/>
        <v>0</v>
      </c>
      <c r="L132" s="18">
        <f>IF(ISNUMBER(J132), $B145 * K132, "")</f>
        <v>0</v>
      </c>
      <c r="M132" s="31">
        <v>18.3</v>
      </c>
      <c r="N132" s="32">
        <f t="shared" si="69"/>
        <v>-5.4347826086955367E-3</v>
      </c>
      <c r="O132" s="18">
        <f>IF(ISNUMBER(M132), $B145 * N132, "")</f>
        <v>-543.47826086955365</v>
      </c>
      <c r="Q132" s="235"/>
      <c r="R132" s="235"/>
      <c r="S132" s="235"/>
    </row>
    <row r="133" spans="1:19" ht="17.25" thickBot="1">
      <c r="A133" s="162" t="s">
        <v>230</v>
      </c>
      <c r="B133" s="126">
        <v>93.2</v>
      </c>
      <c r="C133" s="77">
        <v>1.63576881E-2</v>
      </c>
      <c r="D133" s="15">
        <v>91.8</v>
      </c>
      <c r="E133" s="32">
        <f t="shared" si="66"/>
        <v>-1.5021459227467872E-2</v>
      </c>
      <c r="F133" s="18">
        <f>IF(ISNUMBER(D133), $B145 * E133, "")</f>
        <v>-1502.1459227467872</v>
      </c>
      <c r="G133" s="31">
        <v>92.4</v>
      </c>
      <c r="H133" s="32">
        <f t="shared" si="67"/>
        <v>-8.5836909871244323E-3</v>
      </c>
      <c r="I133" s="101">
        <f>IF(ISNUMBER(G133), $B145 * H133, "")</f>
        <v>-858.36909871244325</v>
      </c>
      <c r="J133" s="15">
        <v>92.3</v>
      </c>
      <c r="K133" s="32">
        <f t="shared" si="68"/>
        <v>-9.656652360515083E-3</v>
      </c>
      <c r="L133" s="18">
        <f>IF(ISNUMBER(J133), $B145 * K133, "")</f>
        <v>-965.66523605150826</v>
      </c>
      <c r="M133" s="31">
        <v>93.3</v>
      </c>
      <c r="N133" s="32">
        <f t="shared" si="69"/>
        <v>1.072961373390497E-3</v>
      </c>
      <c r="O133" s="18">
        <f>IF(ISNUMBER(M133), $B145 * N133, "")</f>
        <v>107.29613733904971</v>
      </c>
      <c r="Q133" s="33"/>
      <c r="R133" s="33"/>
    </row>
    <row r="134" spans="1:19" ht="17.25" thickBot="1">
      <c r="A134" s="130" t="s">
        <v>202</v>
      </c>
      <c r="B134" s="131">
        <v>91.1</v>
      </c>
      <c r="C134" s="79">
        <v>1.2222222200000001E-2</v>
      </c>
      <c r="D134" s="24">
        <v>89.3</v>
      </c>
      <c r="E134" s="25">
        <f t="shared" si="66"/>
        <v>-1.9758507135016437E-2</v>
      </c>
      <c r="F134" s="104">
        <f>IF(ISNUMBER(D134), $B145 * E134, "")</f>
        <v>-1975.8507135016437</v>
      </c>
      <c r="G134" s="102">
        <v>90.9</v>
      </c>
      <c r="H134" s="25">
        <f t="shared" si="67"/>
        <v>-2.1953896816683713E-3</v>
      </c>
      <c r="I134" s="103">
        <f>IF(ISNUMBER(G134), $B145 * H134, "")</f>
        <v>-219.53896816683712</v>
      </c>
      <c r="J134" s="24">
        <v>90.5</v>
      </c>
      <c r="K134" s="25">
        <f t="shared" si="68"/>
        <v>-6.5861690450054267E-3</v>
      </c>
      <c r="L134" s="104">
        <f>IF(ISNUMBER(J134), $B145 * K134, "")</f>
        <v>-658.61690450054266</v>
      </c>
      <c r="M134" s="102">
        <v>90</v>
      </c>
      <c r="N134" s="25">
        <f t="shared" si="69"/>
        <v>-1.2074643249176667E-2</v>
      </c>
      <c r="O134" s="104">
        <f>IF(ISNUMBER(M134), $B145 * N134, "")</f>
        <v>-1207.4643249176668</v>
      </c>
      <c r="Q134" s="236"/>
      <c r="R134" s="237"/>
      <c r="S134" s="238"/>
    </row>
    <row r="135" spans="1:19">
      <c r="A135" s="161" t="s">
        <v>282</v>
      </c>
      <c r="B135" s="124">
        <v>55.4</v>
      </c>
      <c r="C135" s="76">
        <v>1.09489051E-2</v>
      </c>
      <c r="D135" s="13">
        <v>74.599999999999994</v>
      </c>
      <c r="E135" s="14">
        <f>IF(ISNUMBER(D135), (D135 - $B135) / $B135, "")</f>
        <v>0.34657039711191329</v>
      </c>
      <c r="F135" s="16">
        <f>IF(ISNUMBER(D135), $B145 * E135, "")</f>
        <v>34657.039711191326</v>
      </c>
      <c r="G135" s="29">
        <v>65.599999999999994</v>
      </c>
      <c r="H135" s="14">
        <f>IF(ISNUMBER(G135), (G135 - $B135) / $B135, "")</f>
        <v>0.1841155234657039</v>
      </c>
      <c r="I135" s="100">
        <f>IF(ISNUMBER(G135), $B145 * H135, "")</f>
        <v>18411.552346570388</v>
      </c>
      <c r="J135" s="13">
        <v>64.2</v>
      </c>
      <c r="K135" s="14">
        <f>IF(ISNUMBER(J135), (J135 - $B135) / $B135, "")</f>
        <v>0.15884476534296038</v>
      </c>
      <c r="L135" s="16">
        <f>IF(ISNUMBER(J135), $B145 * K135, "")</f>
        <v>15884.476534296038</v>
      </c>
      <c r="M135" s="29">
        <v>63.2</v>
      </c>
      <c r="N135" s="14">
        <f>IF(ISNUMBER(M135), (M135 - $B135) / $B135, "")</f>
        <v>0.14079422382671489</v>
      </c>
      <c r="O135" s="16">
        <f>IF(ISNUMBER(M135), $B145 * N135, "")</f>
        <v>14079.422382671488</v>
      </c>
      <c r="Q135" s="239"/>
      <c r="R135" s="240"/>
      <c r="S135" s="241"/>
    </row>
    <row r="136" spans="1:19" ht="17.25" thickBot="1">
      <c r="A136" s="162" t="s">
        <v>220</v>
      </c>
      <c r="B136" s="126">
        <v>10.199999999999999</v>
      </c>
      <c r="C136" s="77">
        <v>9.9009900999999997E-3</v>
      </c>
      <c r="D136" s="15">
        <v>10</v>
      </c>
      <c r="E136" s="32">
        <f t="shared" ref="E136:E139" si="70">IF(ISNUMBER(D136), (D136 - $B136) / $B136, "")</f>
        <v>-1.9607843137254832E-2</v>
      </c>
      <c r="F136" s="18">
        <f>IF(ISNUMBER(D136), $B145 * E136, "")</f>
        <v>-1960.7843137254831</v>
      </c>
      <c r="G136" s="31">
        <v>10</v>
      </c>
      <c r="H136" s="32">
        <f t="shared" ref="H136:H139" si="71">IF(ISNUMBER(G136), (G136 - $B136) / $B136, "")</f>
        <v>-1.9607843137254832E-2</v>
      </c>
      <c r="I136" s="101">
        <f>IF(ISNUMBER(G136), $B145 * H136, "")</f>
        <v>-1960.7843137254831</v>
      </c>
      <c r="J136" s="15">
        <v>10</v>
      </c>
      <c r="K136" s="32">
        <f t="shared" ref="K136:K139" si="72">IF(ISNUMBER(J136), (J136 - $B136) / $B136, "")</f>
        <v>-1.9607843137254832E-2</v>
      </c>
      <c r="L136" s="18">
        <f>IF(ISNUMBER(J136), $B145 * K136, "")</f>
        <v>-1960.7843137254831</v>
      </c>
      <c r="M136" s="31">
        <v>9.9600000000000009</v>
      </c>
      <c r="N136" s="32">
        <f t="shared" ref="N136:N139" si="73">IF(ISNUMBER(M136), (M136 - $B136) / $B136, "")</f>
        <v>-2.3529411764705729E-2</v>
      </c>
      <c r="O136" s="18">
        <f>IF(ISNUMBER(M136), $B145 * N136, "")</f>
        <v>-2352.9411764705728</v>
      </c>
      <c r="Q136" s="242"/>
      <c r="R136" s="243"/>
      <c r="S136" s="244"/>
    </row>
    <row r="137" spans="1:19" ht="17.25" thickBot="1">
      <c r="A137" s="162" t="s">
        <v>156</v>
      </c>
      <c r="B137" s="126">
        <v>83</v>
      </c>
      <c r="C137" s="77">
        <v>8.5054677999999995E-3</v>
      </c>
      <c r="D137" s="15">
        <v>83.4</v>
      </c>
      <c r="E137" s="32">
        <f t="shared" si="70"/>
        <v>4.819277108433803E-3</v>
      </c>
      <c r="F137" s="18">
        <f>IF(ISNUMBER(D137), $B145 * E137, "")</f>
        <v>481.92771084338028</v>
      </c>
      <c r="G137" s="31">
        <v>82.5</v>
      </c>
      <c r="H137" s="32">
        <f t="shared" si="71"/>
        <v>-6.024096385542169E-3</v>
      </c>
      <c r="I137" s="101">
        <f>IF(ISNUMBER(G137), $B145 * H137, "")</f>
        <v>-602.40963855421694</v>
      </c>
      <c r="J137" s="15">
        <v>82.4</v>
      </c>
      <c r="K137" s="32">
        <f t="shared" si="72"/>
        <v>-7.2289156626505341E-3</v>
      </c>
      <c r="L137" s="18">
        <f>IF(ISNUMBER(J137), $B145 * K137, "")</f>
        <v>-722.89156626505337</v>
      </c>
      <c r="M137" s="31">
        <v>82.3</v>
      </c>
      <c r="N137" s="32">
        <f t="shared" si="73"/>
        <v>-8.4337349397590709E-3</v>
      </c>
      <c r="O137" s="18">
        <f>IF(ISNUMBER(M137), $B145 * N137, "")</f>
        <v>-843.37349397590708</v>
      </c>
      <c r="Q137" s="235"/>
      <c r="R137" s="235"/>
      <c r="S137" s="235"/>
    </row>
    <row r="138" spans="1:19" ht="17.25" thickBot="1">
      <c r="A138" s="162" t="s">
        <v>278</v>
      </c>
      <c r="B138" s="126">
        <v>71.2</v>
      </c>
      <c r="C138" s="77">
        <v>8.4985835999999999E-3</v>
      </c>
      <c r="D138" s="15">
        <v>71.900000000000006</v>
      </c>
      <c r="E138" s="32">
        <f t="shared" si="70"/>
        <v>9.831460674157343E-3</v>
      </c>
      <c r="F138" s="18">
        <f>IF(ISNUMBER(D138), $B145 * E138, "")</f>
        <v>983.14606741573425</v>
      </c>
      <c r="G138" s="31">
        <v>71.400000000000006</v>
      </c>
      <c r="H138" s="32">
        <f t="shared" si="71"/>
        <v>2.8089887640449836E-3</v>
      </c>
      <c r="I138" s="101">
        <f>IF(ISNUMBER(G138), $B145 * H138, "")</f>
        <v>280.89887640449837</v>
      </c>
      <c r="J138" s="15">
        <v>71.099999999999994</v>
      </c>
      <c r="K138" s="32">
        <f t="shared" si="72"/>
        <v>-1.4044943820225916E-3</v>
      </c>
      <c r="L138" s="18">
        <f>IF(ISNUMBER(J138), $B145 * K138, "")</f>
        <v>-140.44943820225916</v>
      </c>
      <c r="M138" s="31">
        <v>70.7</v>
      </c>
      <c r="N138" s="32">
        <f t="shared" si="73"/>
        <v>-7.0224719101123594E-3</v>
      </c>
      <c r="O138" s="18">
        <f>IF(ISNUMBER(M138), $B145 * N138, "")</f>
        <v>-702.24719101123594</v>
      </c>
      <c r="Q138" s="245"/>
      <c r="R138" s="245"/>
      <c r="S138" s="245"/>
    </row>
    <row r="139" spans="1:19" ht="17.25" thickBot="1">
      <c r="A139" s="163" t="s">
        <v>100</v>
      </c>
      <c r="B139" s="128">
        <v>4.08</v>
      </c>
      <c r="C139" s="78">
        <v>7.4074073999999997E-3</v>
      </c>
      <c r="D139" s="20">
        <v>4.05</v>
      </c>
      <c r="E139" s="21">
        <f t="shared" si="70"/>
        <v>-7.3529411764706488E-3</v>
      </c>
      <c r="F139" s="22">
        <f>IF(ISNUMBER(D139), $B145 * E139, "")</f>
        <v>-735.29411764706492</v>
      </c>
      <c r="G139" s="30">
        <v>4.03</v>
      </c>
      <c r="H139" s="21">
        <f t="shared" si="71"/>
        <v>-1.225490196078427E-2</v>
      </c>
      <c r="I139" s="105">
        <f>IF(ISNUMBER(G139), $B145 * H139, "")</f>
        <v>-1225.4901960784271</v>
      </c>
      <c r="J139" s="20">
        <v>4.01</v>
      </c>
      <c r="K139" s="21">
        <f t="shared" si="72"/>
        <v>-1.715686274509811E-2</v>
      </c>
      <c r="L139" s="22">
        <f>IF(ISNUMBER(J139), $B145 * K139, "")</f>
        <v>-1715.686274509811</v>
      </c>
      <c r="M139" s="30">
        <v>4</v>
      </c>
      <c r="N139" s="21">
        <f t="shared" si="73"/>
        <v>-1.9607843137254919E-2</v>
      </c>
      <c r="O139" s="22">
        <f>IF(ISNUMBER(M139), $B145 * N139, "")</f>
        <v>-1960.784313725492</v>
      </c>
      <c r="Q139" s="245"/>
      <c r="R139" s="245"/>
      <c r="S139" s="245"/>
    </row>
    <row r="140" spans="1:19" ht="17.25" thickBot="1">
      <c r="A140" s="162" t="s">
        <v>186</v>
      </c>
      <c r="B140" s="129">
        <v>14.9</v>
      </c>
      <c r="C140" s="80">
        <v>0</v>
      </c>
      <c r="D140" s="106">
        <v>14.7</v>
      </c>
      <c r="E140" s="107">
        <f>IF(ISNUMBER(D140), (D140 - $B140) / $B140, "")</f>
        <v>-1.342281879194638E-2</v>
      </c>
      <c r="F140" s="108">
        <f>IF(ISNUMBER(D140), $B145 * E140, "")</f>
        <v>-1342.2818791946379</v>
      </c>
      <c r="G140" s="109">
        <v>14.8</v>
      </c>
      <c r="H140" s="107">
        <f>IF(ISNUMBER(G140), (G140 - $B140) / $B140, "")</f>
        <v>-6.7114093959731299E-3</v>
      </c>
      <c r="I140" s="110">
        <f>IF(ISNUMBER(G140), $B145 * H140, "")</f>
        <v>-671.14093959731304</v>
      </c>
      <c r="J140" s="106">
        <v>14.8</v>
      </c>
      <c r="K140" s="107">
        <f>IF(ISNUMBER(J140), (J140 - $B140) / $B140, "")</f>
        <v>-6.7114093959731299E-3</v>
      </c>
      <c r="L140" s="108">
        <f>IF(ISNUMBER(J140), $B145 * K140, "")</f>
        <v>-671.14093959731304</v>
      </c>
      <c r="M140" s="109">
        <v>14.7</v>
      </c>
      <c r="N140" s="107">
        <f>IF(ISNUMBER(M140), (M140 - $B140) / $B140, "")</f>
        <v>-1.342281879194638E-2</v>
      </c>
      <c r="O140" s="108">
        <f>IF(ISNUMBER(M140), $B145 * N140, "")</f>
        <v>-1342.2818791946379</v>
      </c>
      <c r="Q140" s="235"/>
      <c r="R140" s="235"/>
      <c r="S140" s="235"/>
    </row>
    <row r="141" spans="1:19" ht="17.25" thickBot="1">
      <c r="A141" s="162" t="s">
        <v>266</v>
      </c>
      <c r="B141" s="126">
        <v>54.2</v>
      </c>
      <c r="C141" s="77">
        <v>-3.6764706E-3</v>
      </c>
      <c r="D141" s="15">
        <v>58.2</v>
      </c>
      <c r="E141" s="32">
        <f t="shared" ref="E141:E144" si="74">IF(ISNUMBER(D141), (D141 - $B141) / $B141, "")</f>
        <v>7.3800738007380073E-2</v>
      </c>
      <c r="F141" s="18">
        <f>IF(ISNUMBER(D141), $B145 * E141, "")</f>
        <v>7380.0738007380078</v>
      </c>
      <c r="G141" s="31">
        <v>56.6</v>
      </c>
      <c r="H141" s="32">
        <f t="shared" ref="H141:H144" si="75">IF(ISNUMBER(G141), (G141 - $B141) / $B141, "")</f>
        <v>4.4280442804428014E-2</v>
      </c>
      <c r="I141" s="101">
        <f>IF(ISNUMBER(G141), $B145 * H141, "")</f>
        <v>4428.0442804428012</v>
      </c>
      <c r="J141" s="15">
        <v>57.6</v>
      </c>
      <c r="K141" s="32">
        <f t="shared" ref="K141:K144" si="76">IF(ISNUMBER(J141), (J141 - $B141) / $B141, "")</f>
        <v>6.2730627306273032E-2</v>
      </c>
      <c r="L141" s="18">
        <f>IF(ISNUMBER(J141), $B145 * K141, "")</f>
        <v>6273.0627306273036</v>
      </c>
      <c r="M141" s="31">
        <v>56.3</v>
      </c>
      <c r="N141" s="32">
        <f t="shared" ref="N141:N144" si="77">IF(ISNUMBER(M141), (M141 - $B141) / $B141, "")</f>
        <v>3.874538745387443E-2</v>
      </c>
      <c r="O141" s="18">
        <f>IF(ISNUMBER(M141), $B145 * N141, "")</f>
        <v>3874.5387453874432</v>
      </c>
      <c r="Q141" s="235"/>
      <c r="R141" s="235"/>
      <c r="S141" s="235"/>
    </row>
    <row r="142" spans="1:19" ht="17.25" thickBot="1">
      <c r="A142" s="162" t="s">
        <v>72</v>
      </c>
      <c r="B142" s="126">
        <v>19</v>
      </c>
      <c r="C142" s="77">
        <v>-1.04166667E-2</v>
      </c>
      <c r="D142" s="15">
        <v>19.2</v>
      </c>
      <c r="E142" s="32">
        <f t="shared" si="74"/>
        <v>1.0526315789473648E-2</v>
      </c>
      <c r="F142" s="18">
        <f>IF(ISNUMBER(D142), $B145 * E142, "")</f>
        <v>1052.6315789473647</v>
      </c>
      <c r="G142" s="31">
        <v>19.2</v>
      </c>
      <c r="H142" s="32">
        <f t="shared" si="75"/>
        <v>1.0526315789473648E-2</v>
      </c>
      <c r="I142" s="101">
        <f>IF(ISNUMBER(G142), $B145 * H142, "")</f>
        <v>1052.6315789473647</v>
      </c>
      <c r="J142" s="15">
        <v>19.100000000000001</v>
      </c>
      <c r="K142" s="32">
        <f t="shared" si="76"/>
        <v>5.2631578947369166E-3</v>
      </c>
      <c r="L142" s="18">
        <f>IF(ISNUMBER(J142), $B145 * K142, "")</f>
        <v>526.31578947369167</v>
      </c>
      <c r="M142" s="31">
        <v>19.100000000000001</v>
      </c>
      <c r="N142" s="32">
        <f t="shared" si="77"/>
        <v>5.2631578947369166E-3</v>
      </c>
      <c r="O142" s="18">
        <f>IF(ISNUMBER(M142), $B145 * N142, "")</f>
        <v>526.31578947369167</v>
      </c>
      <c r="Q142" s="235"/>
      <c r="R142" s="235"/>
      <c r="S142" s="235"/>
    </row>
    <row r="143" spans="1:19">
      <c r="A143" s="162" t="s">
        <v>260</v>
      </c>
      <c r="B143" s="126">
        <v>58.4</v>
      </c>
      <c r="C143" s="77">
        <v>-2.8286189699999999E-2</v>
      </c>
      <c r="D143" s="15">
        <v>59.3</v>
      </c>
      <c r="E143" s="32">
        <f t="shared" si="74"/>
        <v>1.5410958904109566E-2</v>
      </c>
      <c r="F143" s="18">
        <f>IF(ISNUMBER(D143), $B145 * E143, "")</f>
        <v>1541.0958904109566</v>
      </c>
      <c r="G143" s="31">
        <v>59.8</v>
      </c>
      <c r="H143" s="32">
        <f t="shared" si="75"/>
        <v>2.3972602739726005E-2</v>
      </c>
      <c r="I143" s="101">
        <f>IF(ISNUMBER(G143), $B145 * H143, "")</f>
        <v>2397.2602739726003</v>
      </c>
      <c r="J143" s="15">
        <v>59.6</v>
      </c>
      <c r="K143" s="32">
        <f t="shared" si="76"/>
        <v>2.0547945205479503E-2</v>
      </c>
      <c r="L143" s="18">
        <f>IF(ISNUMBER(J143), $B145 * K143, "")</f>
        <v>2054.7945205479505</v>
      </c>
      <c r="M143" s="31">
        <v>59.1</v>
      </c>
      <c r="N143" s="32">
        <f t="shared" si="77"/>
        <v>1.1986301369863063E-2</v>
      </c>
      <c r="O143" s="18">
        <f>IF(ISNUMBER(M143), $B145 * N143, "")</f>
        <v>1198.6301369863063</v>
      </c>
      <c r="Q143" s="224"/>
      <c r="R143" s="225"/>
      <c r="S143" s="226"/>
    </row>
    <row r="144" spans="1:19" ht="17.25" thickBot="1">
      <c r="A144" s="130" t="s">
        <v>264</v>
      </c>
      <c r="B144" s="131">
        <v>75.8</v>
      </c>
      <c r="C144" s="79">
        <v>-3.0690537100000002E-2</v>
      </c>
      <c r="D144" s="24">
        <v>75</v>
      </c>
      <c r="E144" s="25">
        <f t="shared" si="74"/>
        <v>-1.0554089709762496E-2</v>
      </c>
      <c r="F144" s="104">
        <f>IF(ISNUMBER(D144), $B145 * E144, "")</f>
        <v>-1055.4089709762495</v>
      </c>
      <c r="G144" s="102">
        <v>75</v>
      </c>
      <c r="H144" s="25">
        <f t="shared" si="75"/>
        <v>-1.0554089709762496E-2</v>
      </c>
      <c r="I144" s="103">
        <f>IF(ISNUMBER(G144), $B145 * H144, "")</f>
        <v>-1055.4089709762495</v>
      </c>
      <c r="J144" s="24">
        <v>75</v>
      </c>
      <c r="K144" s="25">
        <f t="shared" si="76"/>
        <v>-1.0554089709762496E-2</v>
      </c>
      <c r="L144" s="104">
        <f>IF(ISNUMBER(J144), $B145 * K144, "")</f>
        <v>-1055.4089709762495</v>
      </c>
      <c r="M144" s="102">
        <v>74.5</v>
      </c>
      <c r="N144" s="25">
        <f t="shared" si="77"/>
        <v>-1.715039577836408E-2</v>
      </c>
      <c r="O144" s="104">
        <f>IF(ISNUMBER(M144), $B145 * N144, "")</f>
        <v>-1715.0395778364079</v>
      </c>
      <c r="Q144" s="227"/>
      <c r="R144" s="228"/>
      <c r="S144" s="229"/>
    </row>
    <row r="145" spans="1:19" ht="17.25" thickBot="1">
      <c r="A145" s="132" t="s">
        <v>300</v>
      </c>
      <c r="B145" s="288">
        <f>$B$37</f>
        <v>100000</v>
      </c>
      <c r="C145" s="289"/>
      <c r="D145" s="26" t="s">
        <v>301</v>
      </c>
      <c r="E145" s="27">
        <f>IF(COUNT(E125:E144), SUM(E125:E144) / COUNT(E125:E144), 0)</f>
        <v>4.5806716214290694E-2</v>
      </c>
      <c r="F145" s="28">
        <f>SUM(F125:F144)</f>
        <v>91613.432428581393</v>
      </c>
      <c r="G145" s="26" t="s">
        <v>301</v>
      </c>
      <c r="H145" s="27">
        <f>IF(COUNT(H125:H144), SUM(H125:H144) / COUNT(H125:H144), 0)</f>
        <v>2.4714775177729385E-2</v>
      </c>
      <c r="I145" s="28">
        <f>SUM(I125:I144)</f>
        <v>49429.550355458778</v>
      </c>
      <c r="J145" s="26" t="s">
        <v>301</v>
      </c>
      <c r="K145" s="27">
        <f>IF(COUNT(K125:K144), SUM(K125:K144) / COUNT(K125:K144), 0)</f>
        <v>2.4654738237377953E-2</v>
      </c>
      <c r="L145" s="28">
        <f>SUM(L125:L144)</f>
        <v>49309.476474755909</v>
      </c>
      <c r="M145" s="26" t="s">
        <v>301</v>
      </c>
      <c r="N145" s="27">
        <f>IF(COUNT(N125:N144), SUM(N125:N144) / COUNT(N125:N144), 0)</f>
        <v>2.2328010655362829E-2</v>
      </c>
      <c r="O145" s="28">
        <f>SUM(O125:O144)</f>
        <v>44656.02131072565</v>
      </c>
      <c r="Q145" s="230"/>
      <c r="R145" s="231"/>
      <c r="S145" s="232"/>
    </row>
    <row r="147" spans="1:19" ht="17.25" thickBot="1"/>
    <row r="148" spans="1:19" ht="17.25" thickBot="1">
      <c r="A148" s="246" t="s">
        <v>289</v>
      </c>
      <c r="B148" s="247"/>
      <c r="C148" s="247"/>
      <c r="D148" s="247"/>
      <c r="E148" s="247"/>
      <c r="F148" s="247"/>
      <c r="G148" s="247"/>
      <c r="H148" s="247"/>
      <c r="I148" s="247"/>
      <c r="J148" s="247"/>
      <c r="K148" s="247"/>
      <c r="L148" s="247"/>
      <c r="M148" s="247"/>
      <c r="N148" s="247"/>
      <c r="O148" s="248"/>
      <c r="Q148" s="245"/>
      <c r="R148" s="245"/>
      <c r="S148" s="245"/>
    </row>
    <row r="149" spans="1:19" ht="17.25" thickBot="1">
      <c r="A149" s="216" t="s">
        <v>297</v>
      </c>
      <c r="B149" s="246" t="s">
        <v>49</v>
      </c>
      <c r="C149" s="248"/>
      <c r="D149" s="246" t="s">
        <v>58</v>
      </c>
      <c r="E149" s="247"/>
      <c r="F149" s="248"/>
      <c r="G149" s="249">
        <f>_xlfn.IFNA(VLOOKUP(B149, 현재가테이블!$B$2:$D$200, 2, FALSE), "-")</f>
        <v>45335000</v>
      </c>
      <c r="H149" s="250"/>
      <c r="I149" s="251"/>
      <c r="J149" s="246" t="s">
        <v>59</v>
      </c>
      <c r="K149" s="247"/>
      <c r="L149" s="248"/>
      <c r="M149" s="252">
        <f>_xlfn.IFNA(VLOOKUP(B149, 현재가테이블!$B$2:$D$200, 3, FALSE), "-")</f>
        <v>-2.27209037E-2</v>
      </c>
      <c r="N149" s="253"/>
      <c r="O149" s="254"/>
      <c r="Q149" s="245"/>
      <c r="R149" s="245"/>
      <c r="S149" s="245"/>
    </row>
    <row r="150" spans="1:19" ht="17.25" thickBot="1">
      <c r="A150" s="290" t="s">
        <v>55</v>
      </c>
      <c r="B150" s="286" t="str">
        <f>TEXT($G$1, "[$-ko-KR]yyyy-mm-dd(ddd) ") &amp; "오전 00:00"</f>
        <v>2021-06-15(화) 오전 00:00</v>
      </c>
      <c r="C150" s="287"/>
      <c r="D150" s="259" t="str">
        <f>TEXT($G$1, "[$-ko-KR]yyyy-mm-dd(ddd) ") &amp; "오후 14:00"</f>
        <v>2021-06-15(화) 오후 14:00</v>
      </c>
      <c r="E150" s="260"/>
      <c r="F150" s="261"/>
      <c r="G150" s="259" t="str">
        <f>TEXT($G$1, "[$-ko-KR]yyyy-mm-dd(ddd) ") &amp; "오후 19:00"</f>
        <v>2021-06-15(화) 오후 19:00</v>
      </c>
      <c r="H150" s="260"/>
      <c r="I150" s="261"/>
      <c r="J150" s="259" t="str">
        <f>TEXT($G$1, "[$-ko-KR]yyyy-mm-dd(ddd) ") &amp; "오후 21:00"</f>
        <v>2021-06-15(화) 오후 21:00</v>
      </c>
      <c r="K150" s="260"/>
      <c r="L150" s="261"/>
      <c r="M150" s="259" t="str">
        <f>TEXT($G$1+1, "[$-ko-KR]yyyy-mm-dd(ddd) ") &amp; "오전 00:00"</f>
        <v>2021-06-16(수) 오전 00:00</v>
      </c>
      <c r="N150" s="260"/>
      <c r="O150" s="261"/>
      <c r="Q150" s="245"/>
      <c r="R150" s="245"/>
      <c r="S150" s="245"/>
    </row>
    <row r="151" spans="1:19" ht="17.25" thickBot="1">
      <c r="A151" s="291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217" t="s">
        <v>58</v>
      </c>
      <c r="H151" s="218" t="s">
        <v>298</v>
      </c>
      <c r="I151" s="219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5"/>
      <c r="R151" s="235"/>
      <c r="S151" s="235"/>
    </row>
    <row r="152" spans="1:19" ht="17.25" thickBot="1">
      <c r="A152" s="161" t="s">
        <v>116</v>
      </c>
      <c r="B152" s="124">
        <v>323</v>
      </c>
      <c r="C152" s="76">
        <v>1.8927444799999998E-2</v>
      </c>
      <c r="D152" s="13">
        <v>325</v>
      </c>
      <c r="E152" s="14">
        <f>IF(ISNUMBER(D152), (D152 - $B152) / $B152, "")</f>
        <v>6.1919504643962852E-3</v>
      </c>
      <c r="F152" s="16">
        <f>IF(ISNUMBER(D152), $B172 * E152, "")</f>
        <v>619.19504643962853</v>
      </c>
      <c r="G152" s="29">
        <v>321</v>
      </c>
      <c r="H152" s="14">
        <f>IF(ISNUMBER(G152), (G152 - $B152) / $B152, "")</f>
        <v>-6.1919504643962852E-3</v>
      </c>
      <c r="I152" s="100">
        <f>IF(ISNUMBER(G152), $B172 * H152, "")</f>
        <v>-619.19504643962853</v>
      </c>
      <c r="J152" s="13">
        <v>321</v>
      </c>
      <c r="K152" s="14">
        <f>IF(ISNUMBER(J152), (J152 - $B152) / $B152, "")</f>
        <v>-6.1919504643962852E-3</v>
      </c>
      <c r="L152" s="16">
        <f>IF(ISNUMBER(J152), $B172 * K152, "")</f>
        <v>-619.19504643962853</v>
      </c>
      <c r="M152" s="29">
        <v>318</v>
      </c>
      <c r="N152" s="14">
        <f>IF(ISNUMBER(M152), (M152 - $B152) / $B152, "")</f>
        <v>-1.5479876160990712E-2</v>
      </c>
      <c r="O152" s="16">
        <f>IF(ISNUMBER(M152), $B172 * N152, "")</f>
        <v>-1547.9876160990711</v>
      </c>
      <c r="Q152" s="245"/>
      <c r="R152" s="245"/>
      <c r="S152" s="245"/>
    </row>
    <row r="153" spans="1:19" ht="17.25" thickBot="1">
      <c r="A153" s="162" t="s">
        <v>54</v>
      </c>
      <c r="B153" s="126">
        <v>229</v>
      </c>
      <c r="C153" s="77">
        <v>1.32743363E-2</v>
      </c>
      <c r="D153" s="15">
        <v>239</v>
      </c>
      <c r="E153" s="32">
        <f t="shared" ref="E153:E156" si="78">IF(ISNUMBER(D153), (D153 - $B153) / $B153, "")</f>
        <v>4.3668122270742356E-2</v>
      </c>
      <c r="F153" s="18">
        <f>IF(ISNUMBER(D153), $B172 * E153, "")</f>
        <v>4366.812227074236</v>
      </c>
      <c r="G153" s="31">
        <v>240</v>
      </c>
      <c r="H153" s="32">
        <f t="shared" ref="H153:H156" si="79">IF(ISNUMBER(G153), (G153 - $B153) / $B153, "")</f>
        <v>4.8034934497816595E-2</v>
      </c>
      <c r="I153" s="101">
        <f>IF(ISNUMBER(G153), $B172 * H153, "")</f>
        <v>4803.4934497816594</v>
      </c>
      <c r="J153" s="15">
        <v>240</v>
      </c>
      <c r="K153" s="32">
        <f t="shared" ref="K153:K156" si="80">IF(ISNUMBER(J153), (J153 - $B153) / $B153, "")</f>
        <v>4.8034934497816595E-2</v>
      </c>
      <c r="L153" s="18">
        <f>IF(ISNUMBER(J153), $B172 * K153, "")</f>
        <v>4803.4934497816594</v>
      </c>
      <c r="M153" s="31">
        <v>246</v>
      </c>
      <c r="N153" s="32">
        <f t="shared" ref="N153:N156" si="81">IF(ISNUMBER(M153), (M153 - $B153) / $B153, "")</f>
        <v>7.4235807860262015E-2</v>
      </c>
      <c r="O153" s="18">
        <f>IF(ISNUMBER(M153), $B172 * N153, "")</f>
        <v>7423.5807860262012</v>
      </c>
      <c r="Q153" s="245"/>
      <c r="R153" s="245"/>
      <c r="S153" s="245"/>
    </row>
    <row r="154" spans="1:19" ht="17.25" thickBot="1">
      <c r="A154" s="162" t="s">
        <v>148</v>
      </c>
      <c r="B154" s="126">
        <v>102</v>
      </c>
      <c r="C154" s="77">
        <v>9.9009900999999997E-3</v>
      </c>
      <c r="D154" s="15">
        <v>101</v>
      </c>
      <c r="E154" s="32">
        <f t="shared" si="78"/>
        <v>-9.8039215686274508E-3</v>
      </c>
      <c r="F154" s="18">
        <f>IF(ISNUMBER(D154), $B172 * E154, "")</f>
        <v>-980.39215686274508</v>
      </c>
      <c r="G154" s="31">
        <v>102</v>
      </c>
      <c r="H154" s="32">
        <f t="shared" si="79"/>
        <v>0</v>
      </c>
      <c r="I154" s="101">
        <f>IF(ISNUMBER(G154), $B172 * H154, "")</f>
        <v>0</v>
      </c>
      <c r="J154" s="15">
        <v>100</v>
      </c>
      <c r="K154" s="32">
        <f t="shared" si="80"/>
        <v>-1.9607843137254902E-2</v>
      </c>
      <c r="L154" s="18">
        <f>IF(ISNUMBER(J154), $B172 * K154, "")</f>
        <v>-1960.7843137254902</v>
      </c>
      <c r="M154" s="31">
        <v>98.2</v>
      </c>
      <c r="N154" s="32">
        <f t="shared" si="81"/>
        <v>-3.7254901960784285E-2</v>
      </c>
      <c r="O154" s="18">
        <f>IF(ISNUMBER(M154), $B172 * N154, "")</f>
        <v>-3725.4901960784287</v>
      </c>
      <c r="Q154" s="235"/>
      <c r="R154" s="235"/>
      <c r="S154" s="235"/>
    </row>
    <row r="155" spans="1:19" ht="17.25" thickBot="1">
      <c r="A155" s="162" t="s">
        <v>182</v>
      </c>
      <c r="B155" s="126">
        <v>237</v>
      </c>
      <c r="C155" s="77">
        <v>8.5106382999999997E-3</v>
      </c>
      <c r="D155" s="15">
        <v>236</v>
      </c>
      <c r="E155" s="32">
        <f t="shared" si="78"/>
        <v>-4.2194092827004216E-3</v>
      </c>
      <c r="F155" s="18">
        <f>IF(ISNUMBER(D155), $B172 * E155, "")</f>
        <v>-421.94092827004215</v>
      </c>
      <c r="G155" s="31">
        <v>235</v>
      </c>
      <c r="H155" s="32">
        <f t="shared" si="79"/>
        <v>-8.4388185654008432E-3</v>
      </c>
      <c r="I155" s="101">
        <f>IF(ISNUMBER(G155), $B172 * H155, "")</f>
        <v>-843.8818565400843</v>
      </c>
      <c r="J155" s="15">
        <v>234</v>
      </c>
      <c r="K155" s="32">
        <f t="shared" si="80"/>
        <v>-1.2658227848101266E-2</v>
      </c>
      <c r="L155" s="18">
        <f>IF(ISNUMBER(J155), $B172 * K155, "")</f>
        <v>-1265.8227848101264</v>
      </c>
      <c r="M155" s="31">
        <v>234</v>
      </c>
      <c r="N155" s="32">
        <f t="shared" si="81"/>
        <v>-1.2658227848101266E-2</v>
      </c>
      <c r="O155" s="18">
        <f>IF(ISNUMBER(M155), $B172 * N155, "")</f>
        <v>-1265.8227848101264</v>
      </c>
      <c r="Q155" s="235"/>
      <c r="R155" s="235"/>
      <c r="S155" s="235"/>
    </row>
    <row r="156" spans="1:19" ht="17.25" thickBot="1">
      <c r="A156" s="163" t="s">
        <v>136</v>
      </c>
      <c r="B156" s="128">
        <v>125</v>
      </c>
      <c r="C156" s="78">
        <v>8.0645161000000003E-3</v>
      </c>
      <c r="D156" s="20">
        <v>129</v>
      </c>
      <c r="E156" s="21">
        <f t="shared" si="78"/>
        <v>3.2000000000000001E-2</v>
      </c>
      <c r="F156" s="22">
        <f>IF(ISNUMBER(D156), $B172 * E156, "")</f>
        <v>3200</v>
      </c>
      <c r="G156" s="30">
        <v>128</v>
      </c>
      <c r="H156" s="21">
        <f t="shared" si="79"/>
        <v>2.4E-2</v>
      </c>
      <c r="I156" s="105">
        <f>IF(ISNUMBER(G156), $B172 * H156, "")</f>
        <v>2400</v>
      </c>
      <c r="J156" s="20">
        <v>129</v>
      </c>
      <c r="K156" s="21">
        <f t="shared" si="80"/>
        <v>3.2000000000000001E-2</v>
      </c>
      <c r="L156" s="22">
        <f>IF(ISNUMBER(J156), $B172 * K156, "")</f>
        <v>3200</v>
      </c>
      <c r="M156" s="30">
        <v>126</v>
      </c>
      <c r="N156" s="21">
        <f t="shared" si="81"/>
        <v>8.0000000000000002E-3</v>
      </c>
      <c r="O156" s="22">
        <f>IF(ISNUMBER(M156), $B172 * N156, "")</f>
        <v>800</v>
      </c>
      <c r="Q156" s="235"/>
      <c r="R156" s="235"/>
      <c r="S156" s="235"/>
    </row>
    <row r="157" spans="1:19" ht="17.25" thickBot="1">
      <c r="A157" s="162" t="s">
        <v>120</v>
      </c>
      <c r="B157" s="129">
        <v>139</v>
      </c>
      <c r="C157" s="80">
        <v>7.2463768E-3</v>
      </c>
      <c r="D157" s="106">
        <v>136</v>
      </c>
      <c r="E157" s="107">
        <f>IF(ISNUMBER(D157), (D157 - $B157) / $B157, "")</f>
        <v>-2.1582733812949641E-2</v>
      </c>
      <c r="F157" s="108">
        <f>IF(ISNUMBER(D157), $B172 * E157, "")</f>
        <v>-2158.2733812949641</v>
      </c>
      <c r="G157" s="109">
        <v>136</v>
      </c>
      <c r="H157" s="107">
        <f>IF(ISNUMBER(G157), (G157 - $B157) / $B157, "")</f>
        <v>-2.1582733812949641E-2</v>
      </c>
      <c r="I157" s="110">
        <f>IF(ISNUMBER(G157), $B172 * H157, "")</f>
        <v>-2158.2733812949641</v>
      </c>
      <c r="J157" s="106">
        <v>136</v>
      </c>
      <c r="K157" s="107">
        <f>IF(ISNUMBER(J157), (J157 - $B157) / $B157, "")</f>
        <v>-2.1582733812949641E-2</v>
      </c>
      <c r="L157" s="108">
        <f>IF(ISNUMBER(J157), $B172 * K157, "")</f>
        <v>-2158.2733812949641</v>
      </c>
      <c r="M157" s="109">
        <v>135</v>
      </c>
      <c r="N157" s="107">
        <f>IF(ISNUMBER(M157), (M157 - $B157) / $B157, "")</f>
        <v>-2.8776978417266189E-2</v>
      </c>
      <c r="O157" s="108">
        <f>IF(ISNUMBER(M157), $B172 * N157, "")</f>
        <v>-2877.6978417266187</v>
      </c>
      <c r="Q157" s="235"/>
      <c r="R157" s="235"/>
      <c r="S157" s="235"/>
    </row>
    <row r="158" spans="1:19" ht="17.25" thickBot="1">
      <c r="A158" s="162" t="s">
        <v>256</v>
      </c>
      <c r="B158" s="126">
        <v>147</v>
      </c>
      <c r="C158" s="77">
        <v>6.8493151000000004E-3</v>
      </c>
      <c r="D158" s="15">
        <v>148</v>
      </c>
      <c r="E158" s="32">
        <f t="shared" ref="E158:E161" si="82">IF(ISNUMBER(D158), (D158 - $B158) / $B158, "")</f>
        <v>6.8027210884353739E-3</v>
      </c>
      <c r="F158" s="18">
        <f>IF(ISNUMBER(D158), $B172 * E158, "")</f>
        <v>680.27210884353735</v>
      </c>
      <c r="G158" s="31">
        <v>146</v>
      </c>
      <c r="H158" s="32">
        <f t="shared" ref="H158:H161" si="83">IF(ISNUMBER(G158), (G158 - $B158) / $B158, "")</f>
        <v>-6.8027210884353739E-3</v>
      </c>
      <c r="I158" s="101">
        <f>IF(ISNUMBER(G158), $B172 * H158, "")</f>
        <v>-680.27210884353735</v>
      </c>
      <c r="J158" s="15">
        <v>148</v>
      </c>
      <c r="K158" s="32">
        <f t="shared" ref="K158:K161" si="84">IF(ISNUMBER(J158), (J158 - $B158) / $B158, "")</f>
        <v>6.8027210884353739E-3</v>
      </c>
      <c r="L158" s="18">
        <f>IF(ISNUMBER(J158), $B172 * K158, "")</f>
        <v>680.27210884353735</v>
      </c>
      <c r="M158" s="31">
        <v>150</v>
      </c>
      <c r="N158" s="32">
        <f t="shared" ref="N158:N161" si="85">IF(ISNUMBER(M158), (M158 - $B158) / $B158, "")</f>
        <v>2.0408163265306121E-2</v>
      </c>
      <c r="O158" s="18">
        <f>IF(ISNUMBER(M158), $B172 * N158, "")</f>
        <v>2040.8163265306121</v>
      </c>
      <c r="Q158" s="235"/>
      <c r="R158" s="235"/>
      <c r="S158" s="235"/>
    </row>
    <row r="159" spans="1:19" ht="17.25" thickBot="1">
      <c r="A159" s="162" t="s">
        <v>200</v>
      </c>
      <c r="B159" s="126">
        <v>161</v>
      </c>
      <c r="C159" s="77">
        <v>6.2500000000000003E-3</v>
      </c>
      <c r="D159" s="15">
        <v>169</v>
      </c>
      <c r="E159" s="32">
        <f t="shared" si="82"/>
        <v>4.9689440993788817E-2</v>
      </c>
      <c r="F159" s="18">
        <f>IF(ISNUMBER(D159), $B172 * E159, "")</f>
        <v>4968.9440993788812</v>
      </c>
      <c r="G159" s="31">
        <v>166</v>
      </c>
      <c r="H159" s="32">
        <f t="shared" si="83"/>
        <v>3.1055900621118012E-2</v>
      </c>
      <c r="I159" s="101">
        <f>IF(ISNUMBER(G159), $B172 * H159, "")</f>
        <v>3105.5900621118012</v>
      </c>
      <c r="J159" s="15">
        <v>166</v>
      </c>
      <c r="K159" s="32">
        <f t="shared" si="84"/>
        <v>3.1055900621118012E-2</v>
      </c>
      <c r="L159" s="18">
        <f>IF(ISNUMBER(J159), $B172 * K159, "")</f>
        <v>3105.5900621118012</v>
      </c>
      <c r="M159" s="31">
        <v>168</v>
      </c>
      <c r="N159" s="32">
        <f t="shared" si="85"/>
        <v>4.3478260869565216E-2</v>
      </c>
      <c r="O159" s="18">
        <f>IF(ISNUMBER(M159), $B172 * N159, "")</f>
        <v>4347.826086956522</v>
      </c>
      <c r="Q159" s="235"/>
      <c r="R159" s="235"/>
      <c r="S159" s="235"/>
    </row>
    <row r="160" spans="1:19" ht="17.25" thickBot="1">
      <c r="A160" s="162" t="s">
        <v>88</v>
      </c>
      <c r="B160" s="126">
        <v>330</v>
      </c>
      <c r="C160" s="77">
        <v>6.0975609999999996E-3</v>
      </c>
      <c r="D160" s="15">
        <v>331</v>
      </c>
      <c r="E160" s="32">
        <f t="shared" si="82"/>
        <v>3.0303030303030303E-3</v>
      </c>
      <c r="F160" s="18">
        <f>IF(ISNUMBER(D160), $B172 * E160, "")</f>
        <v>303.030303030303</v>
      </c>
      <c r="G160" s="31">
        <v>327</v>
      </c>
      <c r="H160" s="32">
        <f t="shared" si="83"/>
        <v>-9.0909090909090905E-3</v>
      </c>
      <c r="I160" s="101">
        <f>IF(ISNUMBER(G160), $B172 * H160, "")</f>
        <v>-909.09090909090901</v>
      </c>
      <c r="J160" s="15">
        <v>326</v>
      </c>
      <c r="K160" s="32">
        <f t="shared" si="84"/>
        <v>-1.2121212121212121E-2</v>
      </c>
      <c r="L160" s="18">
        <f>IF(ISNUMBER(J160), $B172 * K160, "")</f>
        <v>-1212.121212121212</v>
      </c>
      <c r="M160" s="31">
        <v>322</v>
      </c>
      <c r="N160" s="32">
        <f t="shared" si="85"/>
        <v>-2.4242424242424242E-2</v>
      </c>
      <c r="O160" s="18">
        <f>IF(ISNUMBER(M160), $B172 * N160, "")</f>
        <v>-2424.242424242424</v>
      </c>
      <c r="Q160" s="33"/>
      <c r="R160" s="33"/>
    </row>
    <row r="161" spans="1:19" ht="17.25" thickBot="1">
      <c r="A161" s="130" t="s">
        <v>192</v>
      </c>
      <c r="B161" s="131">
        <v>999</v>
      </c>
      <c r="C161" s="79">
        <v>3.0120481999999999E-3</v>
      </c>
      <c r="D161" s="24">
        <v>1000</v>
      </c>
      <c r="E161" s="25">
        <f t="shared" si="82"/>
        <v>1.001001001001001E-3</v>
      </c>
      <c r="F161" s="104">
        <f>IF(ISNUMBER(D161), $B172 * E161, "")</f>
        <v>100.10010010010009</v>
      </c>
      <c r="G161" s="102">
        <v>992</v>
      </c>
      <c r="H161" s="25">
        <f t="shared" si="83"/>
        <v>-7.0070070070070069E-3</v>
      </c>
      <c r="I161" s="103">
        <f>IF(ISNUMBER(G161), $B172 * H161, "")</f>
        <v>-700.70070070070074</v>
      </c>
      <c r="J161" s="24">
        <v>990</v>
      </c>
      <c r="K161" s="25">
        <f t="shared" si="84"/>
        <v>-9.0090090090090089E-3</v>
      </c>
      <c r="L161" s="104">
        <f>IF(ISNUMBER(J161), $B172 * K161, "")</f>
        <v>-900.90090090090087</v>
      </c>
      <c r="M161" s="102">
        <v>982</v>
      </c>
      <c r="N161" s="25">
        <f t="shared" si="85"/>
        <v>-1.7017017017017019E-2</v>
      </c>
      <c r="O161" s="104">
        <f>IF(ISNUMBER(M161), $B172 * N161, "")</f>
        <v>-1701.7017017017019</v>
      </c>
      <c r="Q161" s="236"/>
      <c r="R161" s="237"/>
      <c r="S161" s="238"/>
    </row>
    <row r="162" spans="1:19">
      <c r="A162" s="161" t="s">
        <v>280</v>
      </c>
      <c r="B162" s="124">
        <v>843</v>
      </c>
      <c r="C162" s="76">
        <v>1.1876485000000001E-3</v>
      </c>
      <c r="D162" s="13">
        <v>840</v>
      </c>
      <c r="E162" s="14">
        <f>IF(ISNUMBER(D162), (D162 - $B162) / $B162, "")</f>
        <v>-3.5587188612099642E-3</v>
      </c>
      <c r="F162" s="16">
        <f>IF(ISNUMBER(D162), $B172 * E162, "")</f>
        <v>-355.87188612099641</v>
      </c>
      <c r="G162" s="29">
        <v>835</v>
      </c>
      <c r="H162" s="14">
        <f>IF(ISNUMBER(G162), (G162 - $B162) / $B162, "")</f>
        <v>-9.4899169632265724E-3</v>
      </c>
      <c r="I162" s="100">
        <f>IF(ISNUMBER(G162), $B172 * H162, "")</f>
        <v>-948.99169632265728</v>
      </c>
      <c r="J162" s="13">
        <v>835</v>
      </c>
      <c r="K162" s="14">
        <f>IF(ISNUMBER(J162), (J162 - $B162) / $B162, "")</f>
        <v>-9.4899169632265724E-3</v>
      </c>
      <c r="L162" s="16">
        <f>IF(ISNUMBER(J162), $B172 * K162, "")</f>
        <v>-948.99169632265728</v>
      </c>
      <c r="M162" s="29">
        <v>836</v>
      </c>
      <c r="N162" s="14">
        <f>IF(ISNUMBER(M162), (M162 - $B162) / $B162, "")</f>
        <v>-8.3036773428232496E-3</v>
      </c>
      <c r="O162" s="16">
        <f>IF(ISNUMBER(M162), $B172 * N162, "")</f>
        <v>-830.36773428232493</v>
      </c>
      <c r="Q162" s="239"/>
      <c r="R162" s="240"/>
      <c r="S162" s="241"/>
    </row>
    <row r="163" spans="1:19" ht="17.25" thickBot="1">
      <c r="A163" s="162" t="s">
        <v>51</v>
      </c>
      <c r="B163" s="126">
        <v>394</v>
      </c>
      <c r="C163" s="77">
        <v>-2.5316456000000001E-3</v>
      </c>
      <c r="D163" s="15">
        <v>400</v>
      </c>
      <c r="E163" s="32">
        <f t="shared" ref="E163:E166" si="86">IF(ISNUMBER(D163), (D163 - $B163) / $B163, "")</f>
        <v>1.5228426395939087E-2</v>
      </c>
      <c r="F163" s="18">
        <f>IF(ISNUMBER(D163), $B172 * E163, "")</f>
        <v>1522.8426395939086</v>
      </c>
      <c r="G163" s="31">
        <v>392</v>
      </c>
      <c r="H163" s="32">
        <f t="shared" ref="H163:H166" si="87">IF(ISNUMBER(G163), (G163 - $B163) / $B163, "")</f>
        <v>-5.076142131979695E-3</v>
      </c>
      <c r="I163" s="101">
        <f>IF(ISNUMBER(G163), $B172 * H163, "")</f>
        <v>-507.61421319796949</v>
      </c>
      <c r="J163" s="15">
        <v>389</v>
      </c>
      <c r="K163" s="32">
        <f t="shared" ref="K163:K166" si="88">IF(ISNUMBER(J163), (J163 - $B163) / $B163, "")</f>
        <v>-1.2690355329949238E-2</v>
      </c>
      <c r="L163" s="18">
        <f>IF(ISNUMBER(J163), $B172 * K163, "")</f>
        <v>-1269.0355329949239</v>
      </c>
      <c r="M163" s="31">
        <v>383</v>
      </c>
      <c r="N163" s="32">
        <f t="shared" ref="N163:N166" si="89">IF(ISNUMBER(M163), (M163 - $B163) / $B163, "")</f>
        <v>-2.7918781725888325E-2</v>
      </c>
      <c r="O163" s="18">
        <f>IF(ISNUMBER(M163), $B172 * N163, "")</f>
        <v>-2791.8781725888325</v>
      </c>
      <c r="Q163" s="242"/>
      <c r="R163" s="243"/>
      <c r="S163" s="244"/>
    </row>
    <row r="164" spans="1:19" ht="17.25" thickBot="1">
      <c r="A164" s="162" t="s">
        <v>170</v>
      </c>
      <c r="B164" s="126">
        <v>247</v>
      </c>
      <c r="C164" s="77">
        <v>-4.0322581E-3</v>
      </c>
      <c r="D164" s="15">
        <v>245</v>
      </c>
      <c r="E164" s="32">
        <f t="shared" si="86"/>
        <v>-8.0971659919028341E-3</v>
      </c>
      <c r="F164" s="18">
        <f>IF(ISNUMBER(D164), $B172 * E164, "")</f>
        <v>-809.71659919028343</v>
      </c>
      <c r="G164" s="31">
        <v>245</v>
      </c>
      <c r="H164" s="32">
        <f t="shared" si="87"/>
        <v>-8.0971659919028341E-3</v>
      </c>
      <c r="I164" s="101">
        <f>IF(ISNUMBER(G164), $B172 * H164, "")</f>
        <v>-809.71659919028343</v>
      </c>
      <c r="J164" s="15">
        <v>243</v>
      </c>
      <c r="K164" s="32">
        <f t="shared" si="88"/>
        <v>-1.6194331983805668E-2</v>
      </c>
      <c r="L164" s="18">
        <f>IF(ISNUMBER(J164), $B172 * K164, "")</f>
        <v>-1619.4331983805669</v>
      </c>
      <c r="M164" s="31">
        <v>247</v>
      </c>
      <c r="N164" s="32">
        <f t="shared" si="89"/>
        <v>0</v>
      </c>
      <c r="O164" s="18">
        <f>IF(ISNUMBER(M164), $B172 * N164, "")</f>
        <v>0</v>
      </c>
      <c r="Q164" s="235"/>
      <c r="R164" s="235"/>
      <c r="S164" s="235"/>
    </row>
    <row r="165" spans="1:19" ht="17.25" thickBot="1">
      <c r="A165" s="162" t="s">
        <v>258</v>
      </c>
      <c r="B165" s="126">
        <v>419</v>
      </c>
      <c r="C165" s="77">
        <v>-7.1090047000000002E-3</v>
      </c>
      <c r="D165" s="15">
        <v>416</v>
      </c>
      <c r="E165" s="32">
        <f t="shared" si="86"/>
        <v>-7.1599045346062056E-3</v>
      </c>
      <c r="F165" s="18">
        <f>IF(ISNUMBER(D165), $B172 * E165, "")</f>
        <v>-715.99045346062053</v>
      </c>
      <c r="G165" s="31">
        <v>413</v>
      </c>
      <c r="H165" s="32">
        <f t="shared" si="87"/>
        <v>-1.4319809069212411E-2</v>
      </c>
      <c r="I165" s="101">
        <f>IF(ISNUMBER(G165), $B172 * H165, "")</f>
        <v>-1431.9809069212411</v>
      </c>
      <c r="J165" s="15">
        <v>412</v>
      </c>
      <c r="K165" s="32">
        <f t="shared" si="88"/>
        <v>-1.6706443914081145E-2</v>
      </c>
      <c r="L165" s="18">
        <f>IF(ISNUMBER(J165), $B172 * K165, "")</f>
        <v>-1670.6443914081146</v>
      </c>
      <c r="M165" s="31">
        <v>413</v>
      </c>
      <c r="N165" s="32">
        <f t="shared" si="89"/>
        <v>-1.4319809069212411E-2</v>
      </c>
      <c r="O165" s="18">
        <f>IF(ISNUMBER(M165), $B172 * N165, "")</f>
        <v>-1431.9809069212411</v>
      </c>
      <c r="Q165" s="245"/>
      <c r="R165" s="245"/>
      <c r="S165" s="245"/>
    </row>
    <row r="166" spans="1:19" ht="17.25" thickBot="1">
      <c r="A166" s="163" t="s">
        <v>82</v>
      </c>
      <c r="B166" s="128">
        <v>822</v>
      </c>
      <c r="C166" s="78">
        <v>-7.2463768E-3</v>
      </c>
      <c r="D166" s="20">
        <v>886</v>
      </c>
      <c r="E166" s="21">
        <f t="shared" si="86"/>
        <v>7.785888077858881E-2</v>
      </c>
      <c r="F166" s="22">
        <f>IF(ISNUMBER(D166), $B172 * E166, "")</f>
        <v>7785.8880778588809</v>
      </c>
      <c r="G166" s="30">
        <v>827</v>
      </c>
      <c r="H166" s="21">
        <f t="shared" si="87"/>
        <v>6.082725060827251E-3</v>
      </c>
      <c r="I166" s="105">
        <f>IF(ISNUMBER(G166), $B172 * H166, "")</f>
        <v>608.27250608272504</v>
      </c>
      <c r="J166" s="20">
        <v>828</v>
      </c>
      <c r="K166" s="21">
        <f t="shared" si="88"/>
        <v>7.2992700729927005E-3</v>
      </c>
      <c r="L166" s="22">
        <f>IF(ISNUMBER(J166), $B172 * K166, "")</f>
        <v>729.92700729927003</v>
      </c>
      <c r="M166" s="30">
        <v>823</v>
      </c>
      <c r="N166" s="21">
        <f t="shared" si="89"/>
        <v>1.2165450121654502E-3</v>
      </c>
      <c r="O166" s="22">
        <f>IF(ISNUMBER(M166), $B172 * N166, "")</f>
        <v>121.65450121654501</v>
      </c>
      <c r="Q166" s="245"/>
      <c r="R166" s="245"/>
      <c r="S166" s="245"/>
    </row>
    <row r="167" spans="1:19" ht="17.25" thickBot="1">
      <c r="A167" s="162" t="s">
        <v>112</v>
      </c>
      <c r="B167" s="129">
        <v>132</v>
      </c>
      <c r="C167" s="80">
        <v>-7.5187969999999998E-3</v>
      </c>
      <c r="D167" s="106">
        <v>137</v>
      </c>
      <c r="E167" s="107">
        <f>IF(ISNUMBER(D167), (D167 - $B167) / $B167, "")</f>
        <v>3.787878787878788E-2</v>
      </c>
      <c r="F167" s="108">
        <f>IF(ISNUMBER(D167), $B172 * E167, "")</f>
        <v>3787.878787878788</v>
      </c>
      <c r="G167" s="109">
        <v>136</v>
      </c>
      <c r="H167" s="107">
        <f>IF(ISNUMBER(G167), (G167 - $B167) / $B167, "")</f>
        <v>3.0303030303030304E-2</v>
      </c>
      <c r="I167" s="110">
        <f>IF(ISNUMBER(G167), $B172 * H167, "")</f>
        <v>3030.3030303030305</v>
      </c>
      <c r="J167" s="106">
        <v>138</v>
      </c>
      <c r="K167" s="107">
        <f>IF(ISNUMBER(J167), (J167 - $B167) / $B167, "")</f>
        <v>4.5454545454545456E-2</v>
      </c>
      <c r="L167" s="108">
        <f>IF(ISNUMBER(J167), $B172 * K167, "")</f>
        <v>4545.454545454546</v>
      </c>
      <c r="M167" s="109">
        <v>137</v>
      </c>
      <c r="N167" s="107">
        <f>IF(ISNUMBER(M167), (M167 - $B167) / $B167, "")</f>
        <v>3.787878787878788E-2</v>
      </c>
      <c r="O167" s="108">
        <f>IF(ISNUMBER(M167), $B172 * N167, "")</f>
        <v>3787.878787878788</v>
      </c>
      <c r="Q167" s="235"/>
      <c r="R167" s="235"/>
      <c r="S167" s="235"/>
    </row>
    <row r="168" spans="1:19" ht="17.25" thickBot="1">
      <c r="A168" s="162" t="s">
        <v>262</v>
      </c>
      <c r="B168" s="126">
        <v>501</v>
      </c>
      <c r="C168" s="77">
        <v>-1.9569471599999999E-2</v>
      </c>
      <c r="D168" s="15">
        <v>507</v>
      </c>
      <c r="E168" s="32">
        <f t="shared" ref="E168:E171" si="90">IF(ISNUMBER(D168), (D168 - $B168) / $B168, "")</f>
        <v>1.1976047904191617E-2</v>
      </c>
      <c r="F168" s="18">
        <f>IF(ISNUMBER(D168), $B172 * E168, "")</f>
        <v>1197.6047904191616</v>
      </c>
      <c r="G168" s="31">
        <v>496</v>
      </c>
      <c r="H168" s="32">
        <f t="shared" ref="H168:H171" si="91">IF(ISNUMBER(G168), (G168 - $B168) / $B168, "")</f>
        <v>-9.9800399201596807E-3</v>
      </c>
      <c r="I168" s="101">
        <f>IF(ISNUMBER(G168), $B172 * H168, "")</f>
        <v>-998.00399201596804</v>
      </c>
      <c r="J168" s="15">
        <v>495</v>
      </c>
      <c r="K168" s="32">
        <f t="shared" ref="K168:K171" si="92">IF(ISNUMBER(J168), (J168 - $B168) / $B168, "")</f>
        <v>-1.1976047904191617E-2</v>
      </c>
      <c r="L168" s="18">
        <f>IF(ISNUMBER(J168), $B172 * K168, "")</f>
        <v>-1197.6047904191616</v>
      </c>
      <c r="M168" s="31">
        <v>491</v>
      </c>
      <c r="N168" s="32">
        <f t="shared" ref="N168:N171" si="93">IF(ISNUMBER(M168), (M168 - $B168) / $B168, "")</f>
        <v>-1.9960079840319361E-2</v>
      </c>
      <c r="O168" s="18">
        <f>IF(ISNUMBER(M168), $B172 * N168, "")</f>
        <v>-1996.0079840319361</v>
      </c>
      <c r="Q168" s="235"/>
      <c r="R168" s="235"/>
      <c r="S168" s="235"/>
    </row>
    <row r="169" spans="1:19" ht="17.25" thickBot="1">
      <c r="A169" s="162" t="s">
        <v>142</v>
      </c>
      <c r="B169" s="126">
        <v>638</v>
      </c>
      <c r="C169" s="77">
        <v>-1.9969278E-2</v>
      </c>
      <c r="D169" s="15">
        <v>625</v>
      </c>
      <c r="E169" s="32">
        <f t="shared" si="90"/>
        <v>-2.037617554858934E-2</v>
      </c>
      <c r="F169" s="18">
        <f>IF(ISNUMBER(D169), $B172 * E169, "")</f>
        <v>-2037.617554858934</v>
      </c>
      <c r="G169" s="31">
        <v>616</v>
      </c>
      <c r="H169" s="32">
        <f t="shared" si="91"/>
        <v>-3.4482758620689655E-2</v>
      </c>
      <c r="I169" s="101">
        <f>IF(ISNUMBER(G169), $B172 * H169, "")</f>
        <v>-3448.2758620689656</v>
      </c>
      <c r="J169" s="15">
        <v>612</v>
      </c>
      <c r="K169" s="32">
        <f t="shared" si="92"/>
        <v>-4.0752351097178681E-2</v>
      </c>
      <c r="L169" s="18">
        <f>IF(ISNUMBER(J169), $B172 * K169, "")</f>
        <v>-4075.235109717868</v>
      </c>
      <c r="M169" s="31">
        <v>612</v>
      </c>
      <c r="N169" s="32">
        <f t="shared" si="93"/>
        <v>-4.0752351097178681E-2</v>
      </c>
      <c r="O169" s="18">
        <f>IF(ISNUMBER(M169), $B172 * N169, "")</f>
        <v>-4075.235109717868</v>
      </c>
      <c r="Q169" s="235"/>
      <c r="R169" s="235"/>
      <c r="S169" s="235"/>
    </row>
    <row r="170" spans="1:19">
      <c r="A170" s="162" t="s">
        <v>216</v>
      </c>
      <c r="B170" s="126">
        <v>248</v>
      </c>
      <c r="C170" s="77">
        <v>-2.7450980400000002E-2</v>
      </c>
      <c r="D170" s="15">
        <v>247</v>
      </c>
      <c r="E170" s="32">
        <f t="shared" si="90"/>
        <v>-4.0322580645161289E-3</v>
      </c>
      <c r="F170" s="18">
        <f>IF(ISNUMBER(D170), $B172 * E170, "")</f>
        <v>-403.22580645161287</v>
      </c>
      <c r="G170" s="31">
        <v>247</v>
      </c>
      <c r="H170" s="32">
        <f t="shared" si="91"/>
        <v>-4.0322580645161289E-3</v>
      </c>
      <c r="I170" s="101">
        <f>IF(ISNUMBER(G170), $B172 * H170, "")</f>
        <v>-403.22580645161287</v>
      </c>
      <c r="J170" s="15">
        <v>246</v>
      </c>
      <c r="K170" s="32">
        <f t="shared" si="92"/>
        <v>-8.0645161290322578E-3</v>
      </c>
      <c r="L170" s="18">
        <f>IF(ISNUMBER(J170), $B172 * K170, "")</f>
        <v>-806.45161290322574</v>
      </c>
      <c r="M170" s="31">
        <v>244</v>
      </c>
      <c r="N170" s="32">
        <f t="shared" si="93"/>
        <v>-1.6129032258064516E-2</v>
      </c>
      <c r="O170" s="18">
        <f>IF(ISNUMBER(M170), $B172 * N170, "")</f>
        <v>-1612.9032258064515</v>
      </c>
      <c r="Q170" s="224"/>
      <c r="R170" s="225"/>
      <c r="S170" s="226"/>
    </row>
    <row r="171" spans="1:19" ht="17.25" thickBot="1">
      <c r="A171" s="130" t="s">
        <v>246</v>
      </c>
      <c r="B171" s="131">
        <v>262</v>
      </c>
      <c r="C171" s="79">
        <v>-2.9629629599999999E-2</v>
      </c>
      <c r="D171" s="24">
        <v>257</v>
      </c>
      <c r="E171" s="25">
        <f t="shared" si="90"/>
        <v>-1.9083969465648856E-2</v>
      </c>
      <c r="F171" s="104">
        <f>IF(ISNUMBER(D171), $B172 * E171, "")</f>
        <v>-1908.3969465648856</v>
      </c>
      <c r="G171" s="102">
        <v>259</v>
      </c>
      <c r="H171" s="25">
        <f t="shared" si="91"/>
        <v>-1.1450381679389313E-2</v>
      </c>
      <c r="I171" s="103">
        <f>IF(ISNUMBER(G171), $B172 * H171, "")</f>
        <v>-1145.0381679389313</v>
      </c>
      <c r="J171" s="24">
        <v>260</v>
      </c>
      <c r="K171" s="25">
        <f t="shared" si="92"/>
        <v>-7.6335877862595417E-3</v>
      </c>
      <c r="L171" s="104">
        <f>IF(ISNUMBER(J171), $B172 * K171, "")</f>
        <v>-763.35877862595419</v>
      </c>
      <c r="M171" s="102">
        <v>261</v>
      </c>
      <c r="N171" s="25">
        <f t="shared" si="93"/>
        <v>-3.8167938931297708E-3</v>
      </c>
      <c r="O171" s="104">
        <f>IF(ISNUMBER(M171), $B172 * N171, "")</f>
        <v>-381.67938931297709</v>
      </c>
      <c r="Q171" s="227"/>
      <c r="R171" s="228"/>
      <c r="S171" s="229"/>
    </row>
    <row r="172" spans="1:19" ht="17.25" thickBot="1">
      <c r="A172" s="132" t="s">
        <v>300</v>
      </c>
      <c r="B172" s="288">
        <f>$B$37</f>
        <v>100000</v>
      </c>
      <c r="C172" s="289"/>
      <c r="D172" s="26" t="s">
        <v>301</v>
      </c>
      <c r="E172" s="27">
        <f>IF(COUNT(E152:E171), SUM(E152:E171) / COUNT(E152:E171), 0)</f>
        <v>9.370571233771172E-3</v>
      </c>
      <c r="F172" s="28">
        <f>SUM(F152:F171)</f>
        <v>18741.142467542337</v>
      </c>
      <c r="G172" s="26" t="s">
        <v>301</v>
      </c>
      <c r="H172" s="27">
        <f>IF(COUNT(H152:H171), SUM(H152:H171) / COUNT(H152:H171), 0)</f>
        <v>-8.2830109936911952E-4</v>
      </c>
      <c r="I172" s="28">
        <f>SUM(I152:I171)</f>
        <v>-1656.6021987382369</v>
      </c>
      <c r="J172" s="26" t="s">
        <v>301</v>
      </c>
      <c r="K172" s="27">
        <f>IF(COUNT(K152:K171), SUM(K152:K171) / COUNT(K152:K171), 0)</f>
        <v>-1.7015577882869906E-3</v>
      </c>
      <c r="L172" s="28">
        <f>SUM(L152:L171)</f>
        <v>-3403.1155765739809</v>
      </c>
      <c r="M172" s="26" t="s">
        <v>301</v>
      </c>
      <c r="N172" s="27">
        <f>IF(COUNT(N152:N171), SUM(N152:N171) / COUNT(N152:N171), 0)</f>
        <v>-4.070619299355668E-3</v>
      </c>
      <c r="O172" s="28">
        <f>SUM(O152:O171)</f>
        <v>-8141.2385987113339</v>
      </c>
      <c r="Q172" s="230"/>
      <c r="R172" s="231"/>
      <c r="S172" s="232"/>
    </row>
    <row r="174" spans="1:19" ht="17.25" thickBot="1"/>
    <row r="175" spans="1:19" ht="17.25" thickBot="1">
      <c r="A175" s="246" t="s">
        <v>285</v>
      </c>
      <c r="B175" s="247"/>
      <c r="C175" s="247"/>
      <c r="D175" s="247"/>
      <c r="E175" s="247"/>
      <c r="F175" s="247"/>
      <c r="G175" s="247"/>
      <c r="H175" s="247"/>
      <c r="I175" s="247"/>
      <c r="J175" s="247"/>
      <c r="K175" s="247"/>
      <c r="L175" s="247"/>
      <c r="M175" s="247"/>
      <c r="N175" s="247"/>
      <c r="O175" s="248"/>
      <c r="Q175" s="245"/>
      <c r="R175" s="245"/>
      <c r="S175" s="245"/>
    </row>
    <row r="176" spans="1:19" ht="17.25" thickBot="1">
      <c r="A176" s="216" t="s">
        <v>297</v>
      </c>
      <c r="B176" s="246" t="s">
        <v>49</v>
      </c>
      <c r="C176" s="248"/>
      <c r="D176" s="246" t="s">
        <v>58</v>
      </c>
      <c r="E176" s="247"/>
      <c r="F176" s="248"/>
      <c r="G176" s="249">
        <f>_xlfn.IFNA(VLOOKUP(B176, 현재가테이블!$B$2:$D$200, 2, FALSE), "-")</f>
        <v>45335000</v>
      </c>
      <c r="H176" s="250"/>
      <c r="I176" s="251"/>
      <c r="J176" s="246" t="s">
        <v>59</v>
      </c>
      <c r="K176" s="247"/>
      <c r="L176" s="248"/>
      <c r="M176" s="252">
        <f>_xlfn.IFNA(VLOOKUP(B176, 현재가테이블!$B$2:$D$200, 3, FALSE), "-")</f>
        <v>-2.27209037E-2</v>
      </c>
      <c r="N176" s="253"/>
      <c r="O176" s="254"/>
      <c r="Q176" s="245"/>
      <c r="R176" s="245"/>
      <c r="S176" s="245"/>
    </row>
    <row r="177" spans="1:19" ht="17.25" thickBot="1">
      <c r="A177" s="290" t="s">
        <v>55</v>
      </c>
      <c r="B177" s="286" t="str">
        <f>TEXT($G$1, "[$-ko-KR]yyyy-mm-dd(ddd) ") &amp; "오전 00:00"</f>
        <v>2021-06-15(화) 오전 00:00</v>
      </c>
      <c r="C177" s="287"/>
      <c r="D177" s="259" t="str">
        <f>TEXT($G$1, "[$-ko-KR]yyyy-mm-dd(ddd) ") &amp; "오후 14:00"</f>
        <v>2021-06-15(화) 오후 14:00</v>
      </c>
      <c r="E177" s="260"/>
      <c r="F177" s="261"/>
      <c r="G177" s="259" t="str">
        <f>TEXT($G$1, "[$-ko-KR]yyyy-mm-dd(ddd) ") &amp; "오후 19:00"</f>
        <v>2021-06-15(화) 오후 19:00</v>
      </c>
      <c r="H177" s="260"/>
      <c r="I177" s="261"/>
      <c r="J177" s="259" t="str">
        <f>TEXT($G$1, "[$-ko-KR]yyyy-mm-dd(ddd) ") &amp; "오후 21:00"</f>
        <v>2021-06-15(화) 오후 21:00</v>
      </c>
      <c r="K177" s="260"/>
      <c r="L177" s="261"/>
      <c r="M177" s="259" t="str">
        <f>TEXT($G$1+1, "[$-ko-KR]yyyy-mm-dd(ddd) ") &amp; "오전 00:00"</f>
        <v>2021-06-16(수) 오전 00:00</v>
      </c>
      <c r="N177" s="260"/>
      <c r="O177" s="261"/>
      <c r="Q177" s="245"/>
      <c r="R177" s="245"/>
      <c r="S177" s="245"/>
    </row>
    <row r="178" spans="1:19" ht="17.25" thickBot="1">
      <c r="A178" s="291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217" t="s">
        <v>58</v>
      </c>
      <c r="H178" s="218" t="s">
        <v>298</v>
      </c>
      <c r="I178" s="219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5"/>
      <c r="R178" s="235"/>
      <c r="S178" s="235"/>
    </row>
    <row r="179" spans="1:19" ht="17.25" thickBot="1">
      <c r="A179" s="161" t="s">
        <v>146</v>
      </c>
      <c r="B179" s="124">
        <v>9320</v>
      </c>
      <c r="C179" s="76">
        <v>-5.3619300000000002E-4</v>
      </c>
      <c r="D179" s="13">
        <v>9310</v>
      </c>
      <c r="E179" s="14">
        <f>IF(ISNUMBER(D179), (D179 - $B179) / $B179, "")</f>
        <v>-1.0729613733905579E-3</v>
      </c>
      <c r="F179" s="16">
        <f>IF(ISNUMBER(D179), $B199 * E179, "")</f>
        <v>-107.29613733905579</v>
      </c>
      <c r="G179" s="29">
        <v>9275</v>
      </c>
      <c r="H179" s="14">
        <f>IF(ISNUMBER(G179), (G179 - $B179) / $B179, "")</f>
        <v>-4.8283261802575111E-3</v>
      </c>
      <c r="I179" s="100">
        <f>IF(ISNUMBER(G179), $B199 * H179, "")</f>
        <v>-482.83261802575112</v>
      </c>
      <c r="J179" s="13">
        <v>9235</v>
      </c>
      <c r="K179" s="14">
        <f>IF(ISNUMBER(J179), (J179 - $B179) / $B179, "")</f>
        <v>-9.1201716738197429E-3</v>
      </c>
      <c r="L179" s="16">
        <f>IF(ISNUMBER(J179), $B199 * K179, "")</f>
        <v>-912.01716738197433</v>
      </c>
      <c r="M179" s="29">
        <v>9195</v>
      </c>
      <c r="N179" s="14">
        <f>IF(ISNUMBER(M179), (M179 - $B179) / $B179, "")</f>
        <v>-1.3412017167381975E-2</v>
      </c>
      <c r="O179" s="16">
        <f>IF(ISNUMBER(M179), $B199 * N179, "")</f>
        <v>-1341.2017167381975</v>
      </c>
      <c r="Q179" s="245"/>
      <c r="R179" s="245"/>
      <c r="S179" s="245"/>
    </row>
    <row r="180" spans="1:19" ht="17.25" thickBot="1">
      <c r="A180" s="162" t="s">
        <v>178</v>
      </c>
      <c r="B180" s="126">
        <v>22130</v>
      </c>
      <c r="C180" s="77">
        <v>-9.0293450000000005E-4</v>
      </c>
      <c r="D180" s="15">
        <v>22740</v>
      </c>
      <c r="E180" s="32">
        <f t="shared" ref="E180:E183" si="94">IF(ISNUMBER(D180), (D180 - $B180) / $B180, "")</f>
        <v>2.7564392227745142E-2</v>
      </c>
      <c r="F180" s="18">
        <f>IF(ISNUMBER(D180), $B199 * E180, "")</f>
        <v>2756.4392227745143</v>
      </c>
      <c r="G180" s="31">
        <v>22270</v>
      </c>
      <c r="H180" s="32">
        <f t="shared" ref="H180:H183" si="95">IF(ISNUMBER(G180), (G180 - $B180) / $B180, "")</f>
        <v>6.3262539539087215E-3</v>
      </c>
      <c r="I180" s="101">
        <f>IF(ISNUMBER(G180), $B199 * H180, "")</f>
        <v>632.6253953908722</v>
      </c>
      <c r="J180" s="15">
        <v>22150</v>
      </c>
      <c r="K180" s="32">
        <f t="shared" ref="K180:K183" si="96">IF(ISNUMBER(J180), (J180 - $B180) / $B180, "")</f>
        <v>9.0375056484410306E-4</v>
      </c>
      <c r="L180" s="18">
        <f>IF(ISNUMBER(J180), $B199 * K180, "")</f>
        <v>90.375056484410308</v>
      </c>
      <c r="M180" s="31">
        <v>22170</v>
      </c>
      <c r="N180" s="32">
        <f t="shared" ref="N180:N183" si="97">IF(ISNUMBER(M180), (M180 - $B180) / $B180, "")</f>
        <v>1.8075011296882061E-3</v>
      </c>
      <c r="O180" s="18">
        <f>IF(ISNUMBER(M180), $B199 * N180, "")</f>
        <v>180.75011296882062</v>
      </c>
      <c r="Q180" s="245"/>
      <c r="R180" s="245"/>
      <c r="S180" s="245"/>
    </row>
    <row r="181" spans="1:19" ht="17.25" thickBot="1">
      <c r="A181" s="162" t="s">
        <v>190</v>
      </c>
      <c r="B181" s="126">
        <v>52800</v>
      </c>
      <c r="C181" s="77">
        <v>-9.4607380000000002E-4</v>
      </c>
      <c r="D181" s="15">
        <v>52000</v>
      </c>
      <c r="E181" s="32">
        <f t="shared" si="94"/>
        <v>-1.5151515151515152E-2</v>
      </c>
      <c r="F181" s="18">
        <f>IF(ISNUMBER(D181), $B199 * E181, "")</f>
        <v>-1515.1515151515152</v>
      </c>
      <c r="G181" s="31">
        <v>51540</v>
      </c>
      <c r="H181" s="32">
        <f t="shared" si="95"/>
        <v>-2.3863636363636365E-2</v>
      </c>
      <c r="I181" s="101">
        <f>IF(ISNUMBER(G181), $B199 * H181, "")</f>
        <v>-2386.3636363636365</v>
      </c>
      <c r="J181" s="15">
        <v>51940</v>
      </c>
      <c r="K181" s="32">
        <f t="shared" si="96"/>
        <v>-1.6287878787878789E-2</v>
      </c>
      <c r="L181" s="18">
        <f>IF(ISNUMBER(J181), $B199 * K181, "")</f>
        <v>-1628.787878787879</v>
      </c>
      <c r="M181" s="31">
        <v>51540</v>
      </c>
      <c r="N181" s="32">
        <f t="shared" si="97"/>
        <v>-2.3863636363636365E-2</v>
      </c>
      <c r="O181" s="18">
        <f>IF(ISNUMBER(M181), $B199 * N181, "")</f>
        <v>-2386.3636363636365</v>
      </c>
      <c r="Q181" s="235"/>
      <c r="R181" s="235"/>
      <c r="S181" s="235"/>
    </row>
    <row r="182" spans="1:19" ht="17.25" thickBot="1">
      <c r="A182" s="162" t="s">
        <v>51</v>
      </c>
      <c r="B182" s="126">
        <v>394</v>
      </c>
      <c r="C182" s="77">
        <v>-2.5316456000000001E-3</v>
      </c>
      <c r="D182" s="15">
        <v>400</v>
      </c>
      <c r="E182" s="32">
        <f t="shared" si="94"/>
        <v>1.5228426395939087E-2</v>
      </c>
      <c r="F182" s="18">
        <f>IF(ISNUMBER(D182), $B199 * E182, "")</f>
        <v>1522.8426395939086</v>
      </c>
      <c r="G182" s="31">
        <v>392</v>
      </c>
      <c r="H182" s="32">
        <f t="shared" si="95"/>
        <v>-5.076142131979695E-3</v>
      </c>
      <c r="I182" s="101">
        <f>IF(ISNUMBER(G182), $B199 * H182, "")</f>
        <v>-507.61421319796949</v>
      </c>
      <c r="J182" s="15">
        <v>389</v>
      </c>
      <c r="K182" s="32">
        <f t="shared" si="96"/>
        <v>-1.2690355329949238E-2</v>
      </c>
      <c r="L182" s="18">
        <f>IF(ISNUMBER(J182), $B199 * K182, "")</f>
        <v>-1269.0355329949239</v>
      </c>
      <c r="M182" s="31">
        <v>383</v>
      </c>
      <c r="N182" s="32">
        <f t="shared" si="97"/>
        <v>-2.7918781725888325E-2</v>
      </c>
      <c r="O182" s="18">
        <f>IF(ISNUMBER(M182), $B199 * N182, "")</f>
        <v>-2791.8781725888325</v>
      </c>
      <c r="Q182" s="235"/>
      <c r="R182" s="235"/>
      <c r="S182" s="235"/>
    </row>
    <row r="183" spans="1:19" ht="17.25" thickBot="1">
      <c r="A183" s="163" t="s">
        <v>204</v>
      </c>
      <c r="B183" s="128">
        <v>3045</v>
      </c>
      <c r="C183" s="78">
        <v>-3.2733224000000001E-3</v>
      </c>
      <c r="D183" s="20">
        <v>3035</v>
      </c>
      <c r="E183" s="21">
        <f t="shared" si="94"/>
        <v>-3.2840722495894909E-3</v>
      </c>
      <c r="F183" s="22">
        <f>IF(ISNUMBER(D183), $B199 * E183, "")</f>
        <v>-328.40722495894909</v>
      </c>
      <c r="G183" s="30">
        <v>3035</v>
      </c>
      <c r="H183" s="21">
        <f t="shared" si="95"/>
        <v>-3.2840722495894909E-3</v>
      </c>
      <c r="I183" s="105">
        <f>IF(ISNUMBER(G183), $B199 * H183, "")</f>
        <v>-328.40722495894909</v>
      </c>
      <c r="J183" s="20">
        <v>3035</v>
      </c>
      <c r="K183" s="21">
        <f t="shared" si="96"/>
        <v>-3.2840722495894909E-3</v>
      </c>
      <c r="L183" s="22">
        <f>IF(ISNUMBER(J183), $B199 * K183, "")</f>
        <v>-328.40722495894909</v>
      </c>
      <c r="M183" s="30">
        <v>3025</v>
      </c>
      <c r="N183" s="21">
        <f t="shared" si="97"/>
        <v>-6.5681444991789817E-3</v>
      </c>
      <c r="O183" s="22">
        <f>IF(ISNUMBER(M183), $B199 * N183, "")</f>
        <v>-656.81444991789817</v>
      </c>
      <c r="Q183" s="235"/>
      <c r="R183" s="235"/>
      <c r="S183" s="235"/>
    </row>
    <row r="184" spans="1:19" ht="17.25" thickBot="1">
      <c r="A184" s="162" t="s">
        <v>266</v>
      </c>
      <c r="B184" s="129">
        <v>54.2</v>
      </c>
      <c r="C184" s="80">
        <v>-3.6764706E-3</v>
      </c>
      <c r="D184" s="106">
        <v>58.2</v>
      </c>
      <c r="E184" s="107">
        <f>IF(ISNUMBER(D184), (D184 - $B184) / $B184, "")</f>
        <v>7.3800738007380073E-2</v>
      </c>
      <c r="F184" s="108">
        <f>IF(ISNUMBER(D184), $B199 * E184, "")</f>
        <v>7380.0738007380078</v>
      </c>
      <c r="G184" s="109">
        <v>56.6</v>
      </c>
      <c r="H184" s="107">
        <f>IF(ISNUMBER(G184), (G184 - $B184) / $B184, "")</f>
        <v>4.4280442804428014E-2</v>
      </c>
      <c r="I184" s="110">
        <f>IF(ISNUMBER(G184), $B199 * H184, "")</f>
        <v>4428.0442804428012</v>
      </c>
      <c r="J184" s="106">
        <v>57.6</v>
      </c>
      <c r="K184" s="107">
        <f>IF(ISNUMBER(J184), (J184 - $B184) / $B184, "")</f>
        <v>6.2730627306273032E-2</v>
      </c>
      <c r="L184" s="108">
        <f>IF(ISNUMBER(J184), $B199 * K184, "")</f>
        <v>6273.0627306273036</v>
      </c>
      <c r="M184" s="109">
        <v>56.3</v>
      </c>
      <c r="N184" s="107">
        <f>IF(ISNUMBER(M184), (M184 - $B184) / $B184, "")</f>
        <v>3.874538745387443E-2</v>
      </c>
      <c r="O184" s="108">
        <f>IF(ISNUMBER(M184), $B199 * N184, "")</f>
        <v>3874.5387453874432</v>
      </c>
      <c r="Q184" s="235"/>
      <c r="R184" s="235"/>
      <c r="S184" s="235"/>
    </row>
    <row r="185" spans="1:19" ht="17.25" thickBot="1">
      <c r="A185" s="162" t="s">
        <v>170</v>
      </c>
      <c r="B185" s="126">
        <v>247</v>
      </c>
      <c r="C185" s="77">
        <v>-4.0322581E-3</v>
      </c>
      <c r="D185" s="15">
        <v>245</v>
      </c>
      <c r="E185" s="32">
        <f t="shared" ref="E185:E188" si="98">IF(ISNUMBER(D185), (D185 - $B185) / $B185, "")</f>
        <v>-8.0971659919028341E-3</v>
      </c>
      <c r="F185" s="18">
        <f>IF(ISNUMBER(D185), $B199 * E185, "")</f>
        <v>-809.71659919028343</v>
      </c>
      <c r="G185" s="31">
        <v>245</v>
      </c>
      <c r="H185" s="32">
        <f t="shared" ref="H185:H188" si="99">IF(ISNUMBER(G185), (G185 - $B185) / $B185, "")</f>
        <v>-8.0971659919028341E-3</v>
      </c>
      <c r="I185" s="101">
        <f>IF(ISNUMBER(G185), $B199 * H185, "")</f>
        <v>-809.71659919028343</v>
      </c>
      <c r="J185" s="15">
        <v>243</v>
      </c>
      <c r="K185" s="32">
        <f t="shared" ref="K185:K188" si="100">IF(ISNUMBER(J185), (J185 - $B185) / $B185, "")</f>
        <v>-1.6194331983805668E-2</v>
      </c>
      <c r="L185" s="18">
        <f>IF(ISNUMBER(J185), $B199 * K185, "")</f>
        <v>-1619.4331983805669</v>
      </c>
      <c r="M185" s="31">
        <v>247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35"/>
      <c r="R185" s="235"/>
      <c r="S185" s="235"/>
    </row>
    <row r="186" spans="1:19" ht="17.25" thickBot="1">
      <c r="A186" s="162" t="s">
        <v>176</v>
      </c>
      <c r="B186" s="126">
        <v>1020</v>
      </c>
      <c r="C186" s="77">
        <v>-4.8780487999999997E-3</v>
      </c>
      <c r="D186" s="15">
        <v>1025</v>
      </c>
      <c r="E186" s="32">
        <f t="shared" si="98"/>
        <v>4.9019607843137254E-3</v>
      </c>
      <c r="F186" s="18">
        <f>IF(ISNUMBER(D186), $B199 * E186, "")</f>
        <v>490.19607843137254</v>
      </c>
      <c r="G186" s="31">
        <v>1020</v>
      </c>
      <c r="H186" s="32">
        <f t="shared" si="99"/>
        <v>0</v>
      </c>
      <c r="I186" s="101">
        <f>IF(ISNUMBER(G186), $B199 * H186, "")</f>
        <v>0</v>
      </c>
      <c r="J186" s="15">
        <v>1020</v>
      </c>
      <c r="K186" s="32">
        <f t="shared" si="100"/>
        <v>0</v>
      </c>
      <c r="L186" s="18">
        <f>IF(ISNUMBER(J186), $B199 * K186, "")</f>
        <v>0</v>
      </c>
      <c r="M186" s="31">
        <v>1010</v>
      </c>
      <c r="N186" s="32">
        <f t="shared" si="101"/>
        <v>-9.8039215686274508E-3</v>
      </c>
      <c r="O186" s="18">
        <f>IF(ISNUMBER(M186), $B199 * N186, "")</f>
        <v>-980.39215686274508</v>
      </c>
      <c r="Q186" s="235"/>
      <c r="R186" s="235"/>
      <c r="S186" s="235"/>
    </row>
    <row r="187" spans="1:19" ht="17.25" thickBot="1">
      <c r="A187" s="162" t="s">
        <v>258</v>
      </c>
      <c r="B187" s="126">
        <v>419</v>
      </c>
      <c r="C187" s="77">
        <v>-7.1090047000000002E-3</v>
      </c>
      <c r="D187" s="15">
        <v>416</v>
      </c>
      <c r="E187" s="32">
        <f t="shared" si="98"/>
        <v>-7.1599045346062056E-3</v>
      </c>
      <c r="F187" s="18">
        <f>IF(ISNUMBER(D187), $B199 * E187, "")</f>
        <v>-715.99045346062053</v>
      </c>
      <c r="G187" s="31">
        <v>413</v>
      </c>
      <c r="H187" s="32">
        <f t="shared" si="99"/>
        <v>-1.4319809069212411E-2</v>
      </c>
      <c r="I187" s="101">
        <f>IF(ISNUMBER(G187), $B199 * H187, "")</f>
        <v>-1431.9809069212411</v>
      </c>
      <c r="J187" s="15">
        <v>412</v>
      </c>
      <c r="K187" s="32">
        <f t="shared" si="100"/>
        <v>-1.6706443914081145E-2</v>
      </c>
      <c r="L187" s="18">
        <f>IF(ISNUMBER(J187), $B199 * K187, "")</f>
        <v>-1670.6443914081146</v>
      </c>
      <c r="M187" s="31">
        <v>413</v>
      </c>
      <c r="N187" s="32">
        <f t="shared" si="101"/>
        <v>-1.4319809069212411E-2</v>
      </c>
      <c r="O187" s="18">
        <f>IF(ISNUMBER(M187), $B199 * N187, "")</f>
        <v>-1431.9809069212411</v>
      </c>
      <c r="Q187" s="33"/>
      <c r="R187" s="33"/>
    </row>
    <row r="188" spans="1:19" ht="17.25" thickBot="1">
      <c r="A188" s="130" t="s">
        <v>82</v>
      </c>
      <c r="B188" s="131">
        <v>822</v>
      </c>
      <c r="C188" s="79">
        <v>-7.2463768E-3</v>
      </c>
      <c r="D188" s="24">
        <v>886</v>
      </c>
      <c r="E188" s="25">
        <f t="shared" si="98"/>
        <v>7.785888077858881E-2</v>
      </c>
      <c r="F188" s="104">
        <f>IF(ISNUMBER(D188), $B199 * E188, "")</f>
        <v>7785.8880778588809</v>
      </c>
      <c r="G188" s="102">
        <v>827</v>
      </c>
      <c r="H188" s="25">
        <f t="shared" si="99"/>
        <v>6.082725060827251E-3</v>
      </c>
      <c r="I188" s="103">
        <f>IF(ISNUMBER(G188), $B199 * H188, "")</f>
        <v>608.27250608272504</v>
      </c>
      <c r="J188" s="24">
        <v>828</v>
      </c>
      <c r="K188" s="25">
        <f t="shared" si="100"/>
        <v>7.2992700729927005E-3</v>
      </c>
      <c r="L188" s="104">
        <f>IF(ISNUMBER(J188), $B199 * K188, "")</f>
        <v>729.92700729927003</v>
      </c>
      <c r="M188" s="102">
        <v>823</v>
      </c>
      <c r="N188" s="25">
        <f t="shared" si="101"/>
        <v>1.2165450121654502E-3</v>
      </c>
      <c r="O188" s="104">
        <f>IF(ISNUMBER(M188), $B199 * N188, "")</f>
        <v>121.65450121654501</v>
      </c>
      <c r="Q188" s="236"/>
      <c r="R188" s="237"/>
      <c r="S188" s="238"/>
    </row>
    <row r="189" spans="1:19">
      <c r="A189" s="161" t="s">
        <v>112</v>
      </c>
      <c r="B189" s="124">
        <v>132</v>
      </c>
      <c r="C189" s="76">
        <v>-7.5187969999999998E-3</v>
      </c>
      <c r="D189" s="13">
        <v>137</v>
      </c>
      <c r="E189" s="14">
        <f>IF(ISNUMBER(D189), (D189 - $B189) / $B189, "")</f>
        <v>3.787878787878788E-2</v>
      </c>
      <c r="F189" s="16">
        <f>IF(ISNUMBER(D189), $B199 * E189, "")</f>
        <v>3787.878787878788</v>
      </c>
      <c r="G189" s="29">
        <v>136</v>
      </c>
      <c r="H189" s="14">
        <f>IF(ISNUMBER(G189), (G189 - $B189) / $B189, "")</f>
        <v>3.0303030303030304E-2</v>
      </c>
      <c r="I189" s="100">
        <f>IF(ISNUMBER(G189), $B199 * H189, "")</f>
        <v>3030.3030303030305</v>
      </c>
      <c r="J189" s="13">
        <v>138</v>
      </c>
      <c r="K189" s="14">
        <f>IF(ISNUMBER(J189), (J189 - $B189) / $B189, "")</f>
        <v>4.5454545454545456E-2</v>
      </c>
      <c r="L189" s="16">
        <f>IF(ISNUMBER(J189), $B199 * K189, "")</f>
        <v>4545.454545454546</v>
      </c>
      <c r="M189" s="29">
        <v>137</v>
      </c>
      <c r="N189" s="14">
        <f>IF(ISNUMBER(M189), (M189 - $B189) / $B189, "")</f>
        <v>3.787878787878788E-2</v>
      </c>
      <c r="O189" s="16">
        <f>IF(ISNUMBER(M189), $B199 * N189, "")</f>
        <v>3787.878787878788</v>
      </c>
      <c r="Q189" s="239"/>
      <c r="R189" s="240"/>
      <c r="S189" s="241"/>
    </row>
    <row r="190" spans="1:19" ht="17.25" thickBot="1">
      <c r="A190" s="162" t="s">
        <v>72</v>
      </c>
      <c r="B190" s="126">
        <v>19</v>
      </c>
      <c r="C190" s="77">
        <v>-1.04166667E-2</v>
      </c>
      <c r="D190" s="15">
        <v>19.2</v>
      </c>
      <c r="E190" s="32">
        <f t="shared" ref="E190:E193" si="102">IF(ISNUMBER(D190), (D190 - $B190) / $B190, "")</f>
        <v>1.0526315789473648E-2</v>
      </c>
      <c r="F190" s="18">
        <f>IF(ISNUMBER(D190), $B199 * E190, "")</f>
        <v>1052.6315789473647</v>
      </c>
      <c r="G190" s="31">
        <v>19.2</v>
      </c>
      <c r="H190" s="32">
        <f t="shared" ref="H190:H193" si="103">IF(ISNUMBER(G190), (G190 - $B190) / $B190, "")</f>
        <v>1.0526315789473648E-2</v>
      </c>
      <c r="I190" s="101">
        <f>IF(ISNUMBER(G190), $B199 * H190, "")</f>
        <v>1052.6315789473647</v>
      </c>
      <c r="J190" s="15">
        <v>19.100000000000001</v>
      </c>
      <c r="K190" s="32">
        <f t="shared" ref="K190:K193" si="104">IF(ISNUMBER(J190), (J190 - $B190) / $B190, "")</f>
        <v>5.2631578947369166E-3</v>
      </c>
      <c r="L190" s="18">
        <f>IF(ISNUMBER(J190), $B199 * K190, "")</f>
        <v>526.31578947369167</v>
      </c>
      <c r="M190" s="31">
        <v>19.100000000000001</v>
      </c>
      <c r="N190" s="32">
        <f t="shared" ref="N190:N193" si="105">IF(ISNUMBER(M190), (M190 - $B190) / $B190, "")</f>
        <v>5.2631578947369166E-3</v>
      </c>
      <c r="O190" s="18">
        <f>IF(ISNUMBER(M190), $B199 * N190, "")</f>
        <v>526.31578947369167</v>
      </c>
      <c r="Q190" s="242"/>
      <c r="R190" s="243"/>
      <c r="S190" s="244"/>
    </row>
    <row r="191" spans="1:19" ht="17.25" thickBot="1">
      <c r="A191" s="162" t="s">
        <v>276</v>
      </c>
      <c r="B191" s="126">
        <v>2530</v>
      </c>
      <c r="C191" s="77">
        <v>-1.7475728199999999E-2</v>
      </c>
      <c r="D191" s="15">
        <v>2510</v>
      </c>
      <c r="E191" s="32">
        <f t="shared" si="102"/>
        <v>-7.9051383399209481E-3</v>
      </c>
      <c r="F191" s="18">
        <f>IF(ISNUMBER(D191), $B199 * E191, "")</f>
        <v>-790.51383399209476</v>
      </c>
      <c r="G191" s="31">
        <v>2505</v>
      </c>
      <c r="H191" s="32">
        <f t="shared" si="103"/>
        <v>-9.881422924901186E-3</v>
      </c>
      <c r="I191" s="101">
        <f>IF(ISNUMBER(G191), $B199 * H191, "")</f>
        <v>-988.14229249011862</v>
      </c>
      <c r="J191" s="15">
        <v>2505</v>
      </c>
      <c r="K191" s="32">
        <f t="shared" si="104"/>
        <v>-9.881422924901186E-3</v>
      </c>
      <c r="L191" s="18">
        <f>IF(ISNUMBER(J191), $B199 * K191, "")</f>
        <v>-988.14229249011862</v>
      </c>
      <c r="M191" s="31">
        <v>2500</v>
      </c>
      <c r="N191" s="32">
        <f t="shared" si="105"/>
        <v>-1.1857707509881422E-2</v>
      </c>
      <c r="O191" s="18">
        <f>IF(ISNUMBER(M191), $B199 * N191, "")</f>
        <v>-1185.7707509881423</v>
      </c>
      <c r="Q191" s="235"/>
      <c r="R191" s="235"/>
      <c r="S191" s="235"/>
    </row>
    <row r="192" spans="1:19" ht="17.25" thickBot="1">
      <c r="A192" s="162" t="s">
        <v>262</v>
      </c>
      <c r="B192" s="126">
        <v>501</v>
      </c>
      <c r="C192" s="77">
        <v>-1.9569471599999999E-2</v>
      </c>
      <c r="D192" s="15">
        <v>507</v>
      </c>
      <c r="E192" s="32">
        <f t="shared" si="102"/>
        <v>1.1976047904191617E-2</v>
      </c>
      <c r="F192" s="18">
        <f>IF(ISNUMBER(D192), $B199 * E192, "")</f>
        <v>1197.6047904191616</v>
      </c>
      <c r="G192" s="31">
        <v>496</v>
      </c>
      <c r="H192" s="32">
        <f t="shared" si="103"/>
        <v>-9.9800399201596807E-3</v>
      </c>
      <c r="I192" s="101">
        <f>IF(ISNUMBER(G192), $B199 * H192, "")</f>
        <v>-998.00399201596804</v>
      </c>
      <c r="J192" s="15">
        <v>495</v>
      </c>
      <c r="K192" s="32">
        <f t="shared" si="104"/>
        <v>-1.1976047904191617E-2</v>
      </c>
      <c r="L192" s="18">
        <f>IF(ISNUMBER(J192), $B199 * K192, "")</f>
        <v>-1197.6047904191616</v>
      </c>
      <c r="M192" s="31">
        <v>491</v>
      </c>
      <c r="N192" s="32">
        <f t="shared" si="105"/>
        <v>-1.9960079840319361E-2</v>
      </c>
      <c r="O192" s="18">
        <f>IF(ISNUMBER(M192), $B199 * N192, "")</f>
        <v>-1996.0079840319361</v>
      </c>
      <c r="Q192" s="245"/>
      <c r="R192" s="245"/>
      <c r="S192" s="245"/>
    </row>
    <row r="193" spans="1:19" ht="17.25" thickBot="1">
      <c r="A193" s="163" t="s">
        <v>142</v>
      </c>
      <c r="B193" s="128">
        <v>638</v>
      </c>
      <c r="C193" s="78">
        <v>-1.9969278E-2</v>
      </c>
      <c r="D193" s="20">
        <v>625</v>
      </c>
      <c r="E193" s="21">
        <f t="shared" si="102"/>
        <v>-2.037617554858934E-2</v>
      </c>
      <c r="F193" s="22">
        <f>IF(ISNUMBER(D193), $B199 * E193, "")</f>
        <v>-2037.617554858934</v>
      </c>
      <c r="G193" s="30">
        <v>616</v>
      </c>
      <c r="H193" s="21">
        <f t="shared" si="103"/>
        <v>-3.4482758620689655E-2</v>
      </c>
      <c r="I193" s="105">
        <f>IF(ISNUMBER(G193), $B199 * H193, "")</f>
        <v>-3448.2758620689656</v>
      </c>
      <c r="J193" s="20">
        <v>612</v>
      </c>
      <c r="K193" s="21">
        <f t="shared" si="104"/>
        <v>-4.0752351097178681E-2</v>
      </c>
      <c r="L193" s="22">
        <f>IF(ISNUMBER(J193), $B199 * K193, "")</f>
        <v>-4075.235109717868</v>
      </c>
      <c r="M193" s="30">
        <v>612</v>
      </c>
      <c r="N193" s="21">
        <f t="shared" si="105"/>
        <v>-4.0752351097178681E-2</v>
      </c>
      <c r="O193" s="22">
        <f>IF(ISNUMBER(M193), $B199 * N193, "")</f>
        <v>-4075.235109717868</v>
      </c>
      <c r="Q193" s="245"/>
      <c r="R193" s="245"/>
      <c r="S193" s="245"/>
    </row>
    <row r="194" spans="1:19" ht="17.25" thickBot="1">
      <c r="A194" s="162" t="s">
        <v>272</v>
      </c>
      <c r="B194" s="129">
        <v>1255</v>
      </c>
      <c r="C194" s="80">
        <v>-2.3346303499999999E-2</v>
      </c>
      <c r="D194" s="106">
        <v>1255</v>
      </c>
      <c r="E194" s="107">
        <f>IF(ISNUMBER(D194), (D194 - $B194) / $B194, "")</f>
        <v>0</v>
      </c>
      <c r="F194" s="108">
        <f>IF(ISNUMBER(D194), $B199 * E194, "")</f>
        <v>0</v>
      </c>
      <c r="G194" s="109">
        <v>1250</v>
      </c>
      <c r="H194" s="107">
        <f>IF(ISNUMBER(G194), (G194 - $B194) / $B194, "")</f>
        <v>-3.9840637450199202E-3</v>
      </c>
      <c r="I194" s="110">
        <f>IF(ISNUMBER(G194), $B199 * H194, "")</f>
        <v>-398.40637450199205</v>
      </c>
      <c r="J194" s="106">
        <v>1250</v>
      </c>
      <c r="K194" s="107">
        <f>IF(ISNUMBER(J194), (J194 - $B194) / $B194, "")</f>
        <v>-3.9840637450199202E-3</v>
      </c>
      <c r="L194" s="108">
        <f>IF(ISNUMBER(J194), $B199 * K194, "")</f>
        <v>-398.40637450199205</v>
      </c>
      <c r="M194" s="109">
        <v>1245</v>
      </c>
      <c r="N194" s="107">
        <f>IF(ISNUMBER(M194), (M194 - $B194) / $B194, "")</f>
        <v>-7.9681274900398405E-3</v>
      </c>
      <c r="O194" s="108">
        <f>IF(ISNUMBER(M194), $B199 * N194, "")</f>
        <v>-796.81274900398409</v>
      </c>
      <c r="Q194" s="235"/>
      <c r="R194" s="235"/>
      <c r="S194" s="235"/>
    </row>
    <row r="195" spans="1:19" ht="17.25" thickBot="1">
      <c r="A195" s="162" t="s">
        <v>216</v>
      </c>
      <c r="B195" s="126">
        <v>248</v>
      </c>
      <c r="C195" s="77">
        <v>-2.7450980400000002E-2</v>
      </c>
      <c r="D195" s="15">
        <v>247</v>
      </c>
      <c r="E195" s="32">
        <f t="shared" ref="E195:E198" si="106">IF(ISNUMBER(D195), (D195 - $B195) / $B195, "")</f>
        <v>-4.0322580645161289E-3</v>
      </c>
      <c r="F195" s="18">
        <f>IF(ISNUMBER(D195), $B199 * E195, "")</f>
        <v>-403.22580645161287</v>
      </c>
      <c r="G195" s="31">
        <v>247</v>
      </c>
      <c r="H195" s="32">
        <f t="shared" ref="H195:H198" si="107">IF(ISNUMBER(G195), (G195 - $B195) / $B195, "")</f>
        <v>-4.0322580645161289E-3</v>
      </c>
      <c r="I195" s="101">
        <f>IF(ISNUMBER(G195), $B199 * H195, "")</f>
        <v>-403.22580645161287</v>
      </c>
      <c r="J195" s="15">
        <v>246</v>
      </c>
      <c r="K195" s="32">
        <f t="shared" ref="K195:K198" si="108">IF(ISNUMBER(J195), (J195 - $B195) / $B195, "")</f>
        <v>-8.0645161290322578E-3</v>
      </c>
      <c r="L195" s="18">
        <f>IF(ISNUMBER(J195), $B199 * K195, "")</f>
        <v>-806.45161290322574</v>
      </c>
      <c r="M195" s="31">
        <v>244</v>
      </c>
      <c r="N195" s="32">
        <f t="shared" ref="N195:N198" si="109">IF(ISNUMBER(M195), (M195 - $B195) / $B195, "")</f>
        <v>-1.6129032258064516E-2</v>
      </c>
      <c r="O195" s="18">
        <f>IF(ISNUMBER(M195), $B199 * N195, "")</f>
        <v>-1612.9032258064515</v>
      </c>
      <c r="Q195" s="235"/>
      <c r="R195" s="235"/>
      <c r="S195" s="235"/>
    </row>
    <row r="196" spans="1:19" ht="17.25" thickBot="1">
      <c r="A196" s="162" t="s">
        <v>260</v>
      </c>
      <c r="B196" s="126">
        <v>58.4</v>
      </c>
      <c r="C196" s="77">
        <v>-2.8286189699999999E-2</v>
      </c>
      <c r="D196" s="15">
        <v>59.3</v>
      </c>
      <c r="E196" s="32">
        <f t="shared" si="106"/>
        <v>1.5410958904109566E-2</v>
      </c>
      <c r="F196" s="18">
        <f>IF(ISNUMBER(D196), $B199 * E196, "")</f>
        <v>1541.0958904109566</v>
      </c>
      <c r="G196" s="31">
        <v>59.8</v>
      </c>
      <c r="H196" s="32">
        <f t="shared" si="107"/>
        <v>2.3972602739726005E-2</v>
      </c>
      <c r="I196" s="101">
        <f>IF(ISNUMBER(G196), $B199 * H196, "")</f>
        <v>2397.2602739726003</v>
      </c>
      <c r="J196" s="15">
        <v>59.6</v>
      </c>
      <c r="K196" s="32">
        <f t="shared" si="108"/>
        <v>2.0547945205479503E-2</v>
      </c>
      <c r="L196" s="18">
        <f>IF(ISNUMBER(J196), $B199 * K196, "")</f>
        <v>2054.7945205479505</v>
      </c>
      <c r="M196" s="31">
        <v>59.1</v>
      </c>
      <c r="N196" s="32">
        <f t="shared" si="109"/>
        <v>1.1986301369863063E-2</v>
      </c>
      <c r="O196" s="18">
        <f>IF(ISNUMBER(M196), $B199 * N196, "")</f>
        <v>1198.6301369863063</v>
      </c>
      <c r="Q196" s="235"/>
      <c r="R196" s="235"/>
      <c r="S196" s="235"/>
    </row>
    <row r="197" spans="1:19">
      <c r="A197" s="162" t="s">
        <v>246</v>
      </c>
      <c r="B197" s="126">
        <v>262</v>
      </c>
      <c r="C197" s="77">
        <v>-2.9629629599999999E-2</v>
      </c>
      <c r="D197" s="15">
        <v>257</v>
      </c>
      <c r="E197" s="32">
        <f t="shared" si="106"/>
        <v>-1.9083969465648856E-2</v>
      </c>
      <c r="F197" s="18">
        <f>IF(ISNUMBER(D197), $B199 * E197, "")</f>
        <v>-1908.3969465648856</v>
      </c>
      <c r="G197" s="31">
        <v>259</v>
      </c>
      <c r="H197" s="32">
        <f t="shared" si="107"/>
        <v>-1.1450381679389313E-2</v>
      </c>
      <c r="I197" s="101">
        <f>IF(ISNUMBER(G197), $B199 * H197, "")</f>
        <v>-1145.0381679389313</v>
      </c>
      <c r="J197" s="15">
        <v>260</v>
      </c>
      <c r="K197" s="32">
        <f t="shared" si="108"/>
        <v>-7.6335877862595417E-3</v>
      </c>
      <c r="L197" s="18">
        <f>IF(ISNUMBER(J197), $B199 * K197, "")</f>
        <v>-763.35877862595419</v>
      </c>
      <c r="M197" s="31">
        <v>261</v>
      </c>
      <c r="N197" s="32">
        <f t="shared" si="109"/>
        <v>-3.8167938931297708E-3</v>
      </c>
      <c r="O197" s="18">
        <f>IF(ISNUMBER(M197), $B199 * N197, "")</f>
        <v>-381.67938931297709</v>
      </c>
      <c r="Q197" s="224"/>
      <c r="R197" s="225"/>
      <c r="S197" s="226"/>
    </row>
    <row r="198" spans="1:19" ht="17.25" thickBot="1">
      <c r="A198" s="130" t="s">
        <v>264</v>
      </c>
      <c r="B198" s="131">
        <v>75.8</v>
      </c>
      <c r="C198" s="79">
        <v>-3.0690537100000002E-2</v>
      </c>
      <c r="D198" s="24">
        <v>75</v>
      </c>
      <c r="E198" s="25">
        <f t="shared" si="106"/>
        <v>-1.0554089709762496E-2</v>
      </c>
      <c r="F198" s="104">
        <f>IF(ISNUMBER(D198), $B199 * E198, "")</f>
        <v>-1055.4089709762495</v>
      </c>
      <c r="G198" s="102">
        <v>75</v>
      </c>
      <c r="H198" s="25">
        <f t="shared" si="107"/>
        <v>-1.0554089709762496E-2</v>
      </c>
      <c r="I198" s="103">
        <f>IF(ISNUMBER(G198), $B199 * H198, "")</f>
        <v>-1055.4089709762495</v>
      </c>
      <c r="J198" s="24">
        <v>75</v>
      </c>
      <c r="K198" s="25">
        <f t="shared" si="108"/>
        <v>-1.0554089709762496E-2</v>
      </c>
      <c r="L198" s="104">
        <f>IF(ISNUMBER(J198), $B199 * K198, "")</f>
        <v>-1055.4089709762495</v>
      </c>
      <c r="M198" s="102">
        <v>74.5</v>
      </c>
      <c r="N198" s="25">
        <f t="shared" si="109"/>
        <v>-1.715039577836408E-2</v>
      </c>
      <c r="O198" s="104">
        <f>IF(ISNUMBER(M198), $B199 * N198, "")</f>
        <v>-1715.0395778364079</v>
      </c>
      <c r="Q198" s="227"/>
      <c r="R198" s="228"/>
      <c r="S198" s="229"/>
    </row>
    <row r="199" spans="1:19" ht="17.25" thickBot="1">
      <c r="A199" s="132" t="s">
        <v>300</v>
      </c>
      <c r="B199" s="288">
        <f>$B$37</f>
        <v>100000</v>
      </c>
      <c r="C199" s="289"/>
      <c r="D199" s="26" t="s">
        <v>301</v>
      </c>
      <c r="E199" s="27">
        <f>IF(COUNT(E179:E198), SUM(E179:E198) / COUNT(E179:E198), 0)</f>
        <v>8.9214629120543763E-3</v>
      </c>
      <c r="F199" s="28">
        <f>SUM(F179:F198)</f>
        <v>17842.925824108752</v>
      </c>
      <c r="G199" s="26" t="s">
        <v>301</v>
      </c>
      <c r="H199" s="27">
        <f>IF(COUNT(H179:H198), SUM(H179:H198) / COUNT(H179:H198), 0)</f>
        <v>-1.1171397999811374E-3</v>
      </c>
      <c r="I199" s="28">
        <f>SUM(I179:I198)</f>
        <v>-2234.279599962274</v>
      </c>
      <c r="J199" s="26" t="s">
        <v>301</v>
      </c>
      <c r="K199" s="27">
        <f>IF(COUNT(K179:K198), SUM(K179:K198) / COUNT(K179:K198), 0)</f>
        <v>-1.2465018368299035E-3</v>
      </c>
      <c r="L199" s="28">
        <f>SUM(L179:L198)</f>
        <v>-2493.0036736598049</v>
      </c>
      <c r="M199" s="26" t="s">
        <v>301</v>
      </c>
      <c r="N199" s="27">
        <f>IF(COUNT(N179:N198), SUM(N179:N198) / COUNT(N179:N198), 0)</f>
        <v>-5.8311558760893618E-3</v>
      </c>
      <c r="O199" s="28">
        <f>SUM(O179:O198)</f>
        <v>-11662.311752178723</v>
      </c>
      <c r="Q199" s="230"/>
      <c r="R199" s="231"/>
      <c r="S199" s="232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78240-0E15-44BB-A71C-EE1B1768C735}">
  <sheetPr codeName="Sheet22"/>
  <dimension ref="A1:S199"/>
  <sheetViews>
    <sheetView tabSelected="1"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6" t="s">
        <v>0</v>
      </c>
      <c r="B1" s="247"/>
      <c r="C1" s="247"/>
      <c r="D1" s="247"/>
      <c r="E1" s="247"/>
      <c r="F1" s="248"/>
      <c r="G1" s="277">
        <v>44363</v>
      </c>
      <c r="H1" s="278"/>
      <c r="I1" s="279"/>
      <c r="J1" s="246" t="s">
        <v>1</v>
      </c>
      <c r="K1" s="247"/>
      <c r="L1" s="247"/>
      <c r="M1" s="247"/>
      <c r="N1" s="247"/>
      <c r="O1" s="248"/>
      <c r="Q1" s="246" t="s">
        <v>2</v>
      </c>
      <c r="R1" s="248"/>
    </row>
    <row r="2" spans="1:19" ht="17.25" customHeight="1">
      <c r="A2" s="117" t="s">
        <v>3</v>
      </c>
      <c r="B2" s="280" t="s">
        <v>8</v>
      </c>
      <c r="C2" s="281"/>
      <c r="D2" s="281"/>
      <c r="E2" s="281"/>
      <c r="F2" s="282"/>
      <c r="G2" s="274" t="s">
        <v>46</v>
      </c>
      <c r="H2" s="275"/>
      <c r="I2" s="276"/>
      <c r="J2" s="1" t="s">
        <v>3</v>
      </c>
      <c r="K2" s="280" t="s">
        <v>350</v>
      </c>
      <c r="L2" s="281"/>
      <c r="M2" s="281"/>
      <c r="N2" s="281"/>
      <c r="O2" s="282"/>
      <c r="Q2" s="2" t="s">
        <v>6</v>
      </c>
      <c r="R2" s="3">
        <v>0.375</v>
      </c>
    </row>
    <row r="3" spans="1:19" ht="17.25" customHeight="1" thickBot="1">
      <c r="A3" s="118" t="s">
        <v>7</v>
      </c>
      <c r="B3" s="271" t="s">
        <v>358</v>
      </c>
      <c r="C3" s="272"/>
      <c r="D3" s="272"/>
      <c r="E3" s="272"/>
      <c r="F3" s="273"/>
      <c r="G3" s="26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-125,394 KRW (-6.27%)</v>
      </c>
      <c r="H3" s="268"/>
      <c r="I3" s="269"/>
      <c r="J3" s="4" t="s">
        <v>7</v>
      </c>
      <c r="K3" s="271" t="s">
        <v>351</v>
      </c>
      <c r="L3" s="272"/>
      <c r="M3" s="272"/>
      <c r="N3" s="272"/>
      <c r="O3" s="27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1" t="s">
        <v>16</v>
      </c>
      <c r="C4" s="272"/>
      <c r="D4" s="272"/>
      <c r="E4" s="272"/>
      <c r="F4" s="273"/>
      <c r="G4" s="274" t="s">
        <v>44</v>
      </c>
      <c r="H4" s="275"/>
      <c r="I4" s="276"/>
      <c r="J4" s="4" t="s">
        <v>11</v>
      </c>
      <c r="K4" s="271" t="s">
        <v>352</v>
      </c>
      <c r="L4" s="272"/>
      <c r="M4" s="272"/>
      <c r="N4" s="272"/>
      <c r="O4" s="27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1" t="s">
        <v>349</v>
      </c>
      <c r="C5" s="272"/>
      <c r="D5" s="272"/>
      <c r="E5" s="272"/>
      <c r="F5" s="273"/>
      <c r="G5" s="26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-145,535 KRW (-7.28%)</v>
      </c>
      <c r="H5" s="268"/>
      <c r="I5" s="269"/>
      <c r="J5" s="4" t="s">
        <v>15</v>
      </c>
      <c r="K5" s="271" t="s">
        <v>353</v>
      </c>
      <c r="L5" s="272"/>
      <c r="M5" s="272"/>
      <c r="N5" s="272"/>
      <c r="O5" s="273"/>
    </row>
    <row r="6" spans="1:19">
      <c r="A6" s="118" t="s">
        <v>18</v>
      </c>
      <c r="B6" s="271"/>
      <c r="C6" s="272"/>
      <c r="D6" s="272"/>
      <c r="E6" s="272"/>
      <c r="F6" s="273"/>
      <c r="G6" s="274" t="s">
        <v>45</v>
      </c>
      <c r="H6" s="275"/>
      <c r="I6" s="276"/>
      <c r="J6" s="4" t="s">
        <v>18</v>
      </c>
      <c r="K6" s="271" t="s">
        <v>354</v>
      </c>
      <c r="L6" s="272"/>
      <c r="M6" s="272"/>
      <c r="N6" s="272"/>
      <c r="O6" s="273"/>
    </row>
    <row r="7" spans="1:19" ht="17.25" thickBot="1">
      <c r="A7" s="118" t="s">
        <v>21</v>
      </c>
      <c r="B7" s="271"/>
      <c r="C7" s="272"/>
      <c r="D7" s="272"/>
      <c r="E7" s="272"/>
      <c r="F7" s="273"/>
      <c r="G7" s="26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-34,659 KRW (-1.73%)</v>
      </c>
      <c r="H7" s="268"/>
      <c r="I7" s="269"/>
      <c r="J7" s="4" t="s">
        <v>21</v>
      </c>
      <c r="K7" s="271" t="s">
        <v>355</v>
      </c>
      <c r="L7" s="272"/>
      <c r="M7" s="272"/>
      <c r="N7" s="272"/>
      <c r="O7" s="273"/>
    </row>
    <row r="8" spans="1:19" ht="17.25" thickBot="1">
      <c r="A8" s="118" t="s">
        <v>24</v>
      </c>
      <c r="B8" s="271"/>
      <c r="C8" s="272"/>
      <c r="D8" s="272"/>
      <c r="E8" s="272"/>
      <c r="F8" s="273"/>
      <c r="G8" s="274" t="s">
        <v>285</v>
      </c>
      <c r="H8" s="275"/>
      <c r="I8" s="276"/>
      <c r="J8" s="4" t="s">
        <v>24</v>
      </c>
      <c r="K8" s="271"/>
      <c r="L8" s="272"/>
      <c r="M8" s="272"/>
      <c r="N8" s="272"/>
      <c r="O8" s="273"/>
      <c r="Q8" s="246" t="s">
        <v>27</v>
      </c>
      <c r="R8" s="248"/>
    </row>
    <row r="9" spans="1:19" ht="17.25" thickBot="1">
      <c r="A9" s="118" t="s">
        <v>28</v>
      </c>
      <c r="B9" s="271"/>
      <c r="C9" s="272"/>
      <c r="D9" s="272"/>
      <c r="E9" s="272"/>
      <c r="F9" s="273"/>
      <c r="G9" s="26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-43,057 KRW (-2.15%)</v>
      </c>
      <c r="H9" s="268"/>
      <c r="I9" s="269"/>
      <c r="J9" s="4" t="s">
        <v>28</v>
      </c>
      <c r="K9" s="271"/>
      <c r="L9" s="272"/>
      <c r="M9" s="272"/>
      <c r="N9" s="272"/>
      <c r="O9" s="273"/>
      <c r="Q9" s="2" t="s">
        <v>29</v>
      </c>
      <c r="R9" s="6">
        <v>10</v>
      </c>
    </row>
    <row r="10" spans="1:19">
      <c r="A10" s="118" t="s">
        <v>30</v>
      </c>
      <c r="B10" s="271"/>
      <c r="C10" s="272"/>
      <c r="D10" s="272"/>
      <c r="E10" s="272"/>
      <c r="F10" s="273"/>
      <c r="G10" s="274" t="s">
        <v>47</v>
      </c>
      <c r="H10" s="275"/>
      <c r="I10" s="276"/>
      <c r="J10" s="4" t="s">
        <v>30</v>
      </c>
      <c r="K10" s="271" t="s">
        <v>356</v>
      </c>
      <c r="L10" s="272"/>
      <c r="M10" s="272"/>
      <c r="N10" s="272"/>
      <c r="O10" s="273"/>
      <c r="Q10" s="2" t="s">
        <v>31</v>
      </c>
      <c r="R10" s="6">
        <v>100</v>
      </c>
    </row>
    <row r="11" spans="1:19" ht="17.25" thickBot="1">
      <c r="A11" s="119" t="s">
        <v>32</v>
      </c>
      <c r="B11" s="264" t="s">
        <v>357</v>
      </c>
      <c r="C11" s="265"/>
      <c r="D11" s="265"/>
      <c r="E11" s="265"/>
      <c r="F11" s="266"/>
      <c r="G11" s="26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-15,731 KRW (-3.93%)</v>
      </c>
      <c r="H11" s="268"/>
      <c r="I11" s="269"/>
      <c r="J11" s="7" t="s">
        <v>32</v>
      </c>
      <c r="K11" s="264" t="s">
        <v>348</v>
      </c>
      <c r="L11" s="265"/>
      <c r="M11" s="265"/>
      <c r="N11" s="265"/>
      <c r="O11" s="266"/>
      <c r="Q11" s="65" t="s">
        <v>33</v>
      </c>
      <c r="R11" s="8">
        <v>1000</v>
      </c>
    </row>
    <row r="12" spans="1:19" ht="17.25" thickBot="1"/>
    <row r="13" spans="1:19" ht="17.25" customHeight="1" thickBot="1">
      <c r="A13" s="246" t="s">
        <v>34</v>
      </c>
      <c r="B13" s="247"/>
      <c r="C13" s="247"/>
      <c r="D13" s="247"/>
      <c r="E13" s="247"/>
      <c r="F13" s="247"/>
      <c r="G13" s="247"/>
      <c r="H13" s="247"/>
      <c r="I13" s="247"/>
      <c r="J13" s="247"/>
      <c r="K13" s="247"/>
      <c r="L13" s="247"/>
      <c r="M13" s="247"/>
      <c r="N13" s="247"/>
      <c r="O13" s="248"/>
      <c r="Q13" s="245"/>
      <c r="R13" s="245"/>
      <c r="S13" s="245"/>
    </row>
    <row r="14" spans="1:19" ht="17.25" customHeight="1" thickBot="1">
      <c r="A14" s="220" t="s">
        <v>35</v>
      </c>
      <c r="B14" s="246" t="s">
        <v>36</v>
      </c>
      <c r="C14" s="248"/>
      <c r="D14" s="246" t="s">
        <v>37</v>
      </c>
      <c r="E14" s="247"/>
      <c r="F14" s="248"/>
      <c r="G14" s="249">
        <f>_xlfn.IFNA(VLOOKUP(B14, 현재가테이블!$B$2:$D$200, 2, FALSE), "-")</f>
        <v>45335000</v>
      </c>
      <c r="H14" s="250"/>
      <c r="I14" s="251"/>
      <c r="J14" s="246" t="s">
        <v>38</v>
      </c>
      <c r="K14" s="247"/>
      <c r="L14" s="248"/>
      <c r="M14" s="252">
        <f>_xlfn.IFNA(VLOOKUP(B14, 현재가테이블!$B$2:$D$200, 3, FALSE), "-")</f>
        <v>-2.27209037E-2</v>
      </c>
      <c r="N14" s="253"/>
      <c r="O14" s="254"/>
      <c r="Q14" s="245"/>
      <c r="R14" s="245"/>
      <c r="S14" s="245"/>
    </row>
    <row r="15" spans="1:19" ht="17.25" customHeight="1" thickBot="1">
      <c r="A15" s="283" t="s">
        <v>39</v>
      </c>
      <c r="B15" s="284" t="str">
        <f>TEXT($G$1, "[$-ko-KR]yyyy-mm-dd(ddd) ") &amp; "오전 00:00"</f>
        <v>2021-06-16(수) 오전 00:00</v>
      </c>
      <c r="C15" s="285"/>
      <c r="D15" s="259" t="str">
        <f>TEXT($G$1, "[$-ko-KR]yyyy-mm-dd(ddd) ") &amp; "오후 14:00"</f>
        <v>2021-06-16(수) 오후 14:00</v>
      </c>
      <c r="E15" s="260"/>
      <c r="F15" s="261"/>
      <c r="G15" s="259" t="str">
        <f>TEXT($G$1, "[$-ko-KR]yyyy-mm-dd(ddd) ") &amp; "오후 19:00"</f>
        <v>2021-06-16(수) 오후 19:00</v>
      </c>
      <c r="H15" s="260"/>
      <c r="I15" s="261"/>
      <c r="J15" s="259" t="str">
        <f>TEXT($G$1, "[$-ko-KR]yyyy-mm-dd(ddd) ") &amp; "오후 21:00"</f>
        <v>2021-06-16(수) 오후 21:00</v>
      </c>
      <c r="K15" s="260"/>
      <c r="L15" s="261"/>
      <c r="M15" s="259" t="str">
        <f>TEXT($G$1+1, "[$-ko-KR]yyyy-mm-dd(ddd) ") &amp; "오전 00:00"</f>
        <v>2021-06-17(목) 오전 00:00</v>
      </c>
      <c r="N15" s="260"/>
      <c r="O15" s="261"/>
      <c r="Q15" s="245"/>
      <c r="R15" s="245"/>
      <c r="S15" s="245"/>
    </row>
    <row r="16" spans="1:19" ht="17.25" customHeight="1" thickBot="1">
      <c r="A16" s="28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1" t="s">
        <v>37</v>
      </c>
      <c r="H16" s="222" t="s">
        <v>40</v>
      </c>
      <c r="I16" s="22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5"/>
      <c r="R16" s="235"/>
      <c r="S16" s="235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80.5</v>
      </c>
      <c r="C17" s="76">
        <f>IF(NOT(ISBLANK(_xlfn.IFNA(VLOOKUP($A17, $A$40:$O$199, 3, FALSE), ))), _xlfn.IFNA(VLOOKUP($A17, $A$40:$O$199, 3, FALSE), ), "")</f>
        <v>-9.8400984000000004E-3</v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>
        <f>IF(NOT(ISBLANK(_xlfn.IFNA(VLOOKUP($A17, $A$40:$O$199, 10, FALSE), ))), _xlfn.IFNA(VLOOKUP($A17, $A$40:$O$199, 10, FALSE), ), "")</f>
        <v>77.900000000000006</v>
      </c>
      <c r="K17" s="14">
        <f>IF(NOT(ISBLANK(_xlfn.IFNA(VLOOKUP($A17, $A$40:$O$199, 11, FALSE), ))), _xlfn.IFNA(VLOOKUP($A17, $A$40:$O$199, 11, FALSE), ), "")</f>
        <v>-3.2298136645962663E-2</v>
      </c>
      <c r="L17" s="16">
        <f>IF(NOT(ISBLANK(_xlfn.IFNA(VLOOKUP($A17, $A$40:$O$199, 12, FALSE), ))), _xlfn.IFNA(VLOOKUP($A17, $A$40:$O$199, 12, FALSE), ), "")</f>
        <v>-3229.8136645962663</v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5"/>
      <c r="R17" s="245"/>
      <c r="S17" s="245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58.2</v>
      </c>
      <c r="C18" s="77">
        <f t="shared" ref="C18:C36" si="1">IF(NOT(ISBLANK(_xlfn.IFNA(VLOOKUP($A18, $A$40:$O$199, 3, FALSE), ))), _xlfn.IFNA(VLOOKUP($A18, $A$40:$O$199, 3, FALSE), ), "")</f>
        <v>2.10526316E-2</v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>
        <f t="shared" ref="J18:J36" si="8">IF(NOT(ISBLANK(_xlfn.IFNA(VLOOKUP($A18, $A$40:$O$199, 10, FALSE), ))), _xlfn.IFNA(VLOOKUP($A18, $A$40:$O$199, 10, FALSE), ), "")</f>
        <v>54.8</v>
      </c>
      <c r="K18" s="32">
        <f t="shared" ref="K18:K36" si="9">IF(NOT(ISBLANK(_xlfn.IFNA(VLOOKUP($A18, $A$40:$O$199, 11, FALSE), ))), _xlfn.IFNA(VLOOKUP($A18, $A$40:$O$199, 11, FALSE), ), "")</f>
        <v>-5.8419243986254393E-2</v>
      </c>
      <c r="L18" s="18">
        <f t="shared" ref="L18:L36" si="10">IF(NOT(ISBLANK(_xlfn.IFNA(VLOOKUP($A18, $A$40:$O$199, 12, FALSE), ))), _xlfn.IFNA(VLOOKUP($A18, $A$40:$O$199, 12, FALSE), ), "")</f>
        <v>-5841.9243986254396</v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5"/>
      <c r="R18" s="245"/>
      <c r="S18" s="245"/>
    </row>
    <row r="19" spans="1:19" ht="17.25" customHeight="1" thickBot="1">
      <c r="A19" s="162" t="s">
        <v>202</v>
      </c>
      <c r="B19" s="126">
        <f t="shared" si="0"/>
        <v>90</v>
      </c>
      <c r="C19" s="77">
        <f t="shared" si="1"/>
        <v>-2.1739130400000001E-2</v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>
        <f t="shared" si="8"/>
        <v>87.8</v>
      </c>
      <c r="K19" s="32">
        <f t="shared" si="9"/>
        <v>-2.4444444444444477E-2</v>
      </c>
      <c r="L19" s="18">
        <f t="shared" si="10"/>
        <v>-2444.4444444444475</v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5"/>
      <c r="R19" s="235"/>
      <c r="S19" s="235"/>
    </row>
    <row r="20" spans="1:19" ht="17.25" customHeight="1" thickBot="1">
      <c r="A20" s="162" t="s">
        <v>361</v>
      </c>
      <c r="B20" s="126">
        <f t="shared" si="0"/>
        <v>261</v>
      </c>
      <c r="C20" s="77">
        <f t="shared" si="1"/>
        <v>-1.8796992500000002E-2</v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>
        <f t="shared" si="8"/>
        <v>250</v>
      </c>
      <c r="K20" s="32">
        <f t="shared" si="9"/>
        <v>-4.2145593869731802E-2</v>
      </c>
      <c r="L20" s="18">
        <f t="shared" si="10"/>
        <v>-4214.5593869731802</v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5"/>
      <c r="R20" s="235"/>
      <c r="S20" s="235"/>
    </row>
    <row r="21" spans="1:19" ht="17.25" customHeight="1" thickBot="1">
      <c r="A21" s="163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5"/>
      <c r="R21" s="235"/>
      <c r="S21" s="235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5"/>
      <c r="R22" s="235"/>
      <c r="S22" s="235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5"/>
      <c r="R23" s="235"/>
      <c r="S23" s="235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5"/>
      <c r="R24" s="235"/>
      <c r="S24" s="235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6"/>
      <c r="R26" s="237"/>
      <c r="S26" s="238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9"/>
      <c r="R27" s="240"/>
      <c r="S27" s="241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2"/>
      <c r="R28" s="243"/>
      <c r="S28" s="244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5"/>
      <c r="R29" s="235"/>
      <c r="S29" s="235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5"/>
      <c r="R30" s="245"/>
      <c r="S30" s="245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5"/>
      <c r="R31" s="245"/>
      <c r="S31" s="24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5"/>
      <c r="R32" s="235"/>
      <c r="S32" s="235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5"/>
      <c r="R33" s="235"/>
      <c r="S33" s="235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5"/>
      <c r="R34" s="235"/>
      <c r="S34" s="235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4"/>
      <c r="R35" s="225"/>
      <c r="S35" s="22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7"/>
      <c r="R36" s="228"/>
      <c r="S36" s="229"/>
    </row>
    <row r="37" spans="1:19" ht="17.25" customHeight="1" thickBot="1">
      <c r="A37" s="132" t="s">
        <v>42</v>
      </c>
      <c r="B37" s="288">
        <v>100000</v>
      </c>
      <c r="C37" s="28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-3.9326854736598332E-2</v>
      </c>
      <c r="L37" s="28">
        <f>SUM(L17:L36)</f>
        <v>-15730.741894639334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0"/>
      <c r="R37" s="231"/>
      <c r="S37" s="232"/>
    </row>
    <row r="38" spans="1:19" ht="17.25" customHeight="1"/>
    <row r="39" spans="1:19" ht="17.25" customHeight="1" thickBot="1"/>
    <row r="40" spans="1:19" ht="17.25" customHeight="1" thickBot="1">
      <c r="A40" s="246" t="s">
        <v>44</v>
      </c>
      <c r="B40" s="247"/>
      <c r="C40" s="247"/>
      <c r="D40" s="247"/>
      <c r="E40" s="247"/>
      <c r="F40" s="247"/>
      <c r="G40" s="247"/>
      <c r="H40" s="247"/>
      <c r="I40" s="247"/>
      <c r="J40" s="247"/>
      <c r="K40" s="247"/>
      <c r="L40" s="247"/>
      <c r="M40" s="247"/>
      <c r="N40" s="247"/>
      <c r="O40" s="248"/>
      <c r="Q40" s="245"/>
      <c r="R40" s="245"/>
      <c r="S40" s="245"/>
    </row>
    <row r="41" spans="1:19" ht="17.25" customHeight="1" thickBot="1">
      <c r="A41" s="220" t="s">
        <v>297</v>
      </c>
      <c r="B41" s="246" t="s">
        <v>49</v>
      </c>
      <c r="C41" s="248"/>
      <c r="D41" s="246" t="s">
        <v>58</v>
      </c>
      <c r="E41" s="247"/>
      <c r="F41" s="248"/>
      <c r="G41" s="249">
        <f>_xlfn.IFNA(VLOOKUP(B41, 현재가테이블!$B$2:$D$200, 2, FALSE), "-")</f>
        <v>45335000</v>
      </c>
      <c r="H41" s="250"/>
      <c r="I41" s="251"/>
      <c r="J41" s="246" t="s">
        <v>59</v>
      </c>
      <c r="K41" s="247"/>
      <c r="L41" s="248"/>
      <c r="M41" s="252">
        <f>_xlfn.IFNA(VLOOKUP(B41, 현재가테이블!$B$2:$D$200, 3, FALSE), "-")</f>
        <v>-2.27209037E-2</v>
      </c>
      <c r="N41" s="253"/>
      <c r="O41" s="254"/>
      <c r="Q41" s="245"/>
      <c r="R41" s="245"/>
      <c r="S41" s="245"/>
    </row>
    <row r="42" spans="1:19" ht="17.25" customHeight="1" thickBot="1">
      <c r="A42" s="290" t="s">
        <v>55</v>
      </c>
      <c r="B42" s="286" t="str">
        <f>TEXT($G$1, "[$-ko-KR]yyyy-mm-dd(ddd) ") &amp; "오전 00:00"</f>
        <v>2021-06-16(수) 오전 00:00</v>
      </c>
      <c r="C42" s="287"/>
      <c r="D42" s="259" t="str">
        <f>TEXT($G$1, "[$-ko-KR]yyyy-mm-dd(ddd) ") &amp; "오후 14:00"</f>
        <v>2021-06-16(수) 오후 14:00</v>
      </c>
      <c r="E42" s="260"/>
      <c r="F42" s="261"/>
      <c r="G42" s="259" t="str">
        <f>TEXT($G$1, "[$-ko-KR]yyyy-mm-dd(ddd) ") &amp; "오후 19:00"</f>
        <v>2021-06-16(수) 오후 19:00</v>
      </c>
      <c r="H42" s="260"/>
      <c r="I42" s="261"/>
      <c r="J42" s="259" t="str">
        <f>TEXT($G$1, "[$-ko-KR]yyyy-mm-dd(ddd) ") &amp; "오후 21:00"</f>
        <v>2021-06-16(수) 오후 21:00</v>
      </c>
      <c r="K42" s="260"/>
      <c r="L42" s="261"/>
      <c r="M42" s="259" t="str">
        <f>TEXT($G$1+1, "[$-ko-KR]yyyy-mm-dd(ddd) ") &amp; "오전 00:00"</f>
        <v>2021-06-17(목) 오전 00:00</v>
      </c>
      <c r="N42" s="260"/>
      <c r="O42" s="261"/>
      <c r="Q42" s="245"/>
      <c r="R42" s="245"/>
      <c r="S42" s="245"/>
    </row>
    <row r="43" spans="1:19" ht="17.25" customHeight="1" thickBot="1">
      <c r="A43" s="291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221" t="s">
        <v>58</v>
      </c>
      <c r="H43" s="222" t="s">
        <v>298</v>
      </c>
      <c r="I43" s="223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5"/>
      <c r="R43" s="235"/>
      <c r="S43" s="235"/>
    </row>
    <row r="44" spans="1:19" ht="17.25" customHeight="1" thickBot="1">
      <c r="A44" s="161" t="s">
        <v>250</v>
      </c>
      <c r="B44" s="124">
        <v>79.400000000000006</v>
      </c>
      <c r="C44" s="76">
        <v>0.31239669419999999</v>
      </c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>
        <v>59.7</v>
      </c>
      <c r="K44" s="14">
        <f>IF(ISNUMBER(J44), (J44 - $B44) / $B44, "")</f>
        <v>-0.24811083123425695</v>
      </c>
      <c r="L44" s="16">
        <f>IF(ISNUMBER(J44), $B64 * K44, "")</f>
        <v>-24811.083123425695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45"/>
      <c r="R44" s="245"/>
      <c r="S44" s="245"/>
    </row>
    <row r="45" spans="1:19" ht="17.25" customHeight="1" thickBot="1">
      <c r="A45" s="162" t="s">
        <v>198</v>
      </c>
      <c r="B45" s="126">
        <v>15.3</v>
      </c>
      <c r="C45" s="77">
        <v>0.2047244094</v>
      </c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>
        <v>15</v>
      </c>
      <c r="K45" s="32">
        <f t="shared" ref="K45:K48" si="16">IF(ISNUMBER(J45), (J45 - $B45) / $B45, "")</f>
        <v>-1.9607843137254947E-2</v>
      </c>
      <c r="L45" s="18">
        <f>IF(ISNUMBER(J45), $B64 * K45, "")</f>
        <v>-1960.7843137254947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45"/>
      <c r="R45" s="245"/>
      <c r="S45" s="245"/>
    </row>
    <row r="46" spans="1:19" ht="17.25" customHeight="1" thickBot="1">
      <c r="A46" s="162" t="s">
        <v>214</v>
      </c>
      <c r="B46" s="126">
        <v>10.5</v>
      </c>
      <c r="C46" s="77">
        <v>8.9211618300000003E-2</v>
      </c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>
        <v>9.56</v>
      </c>
      <c r="K46" s="32">
        <f t="shared" si="16"/>
        <v>-8.9523809523809478E-2</v>
      </c>
      <c r="L46" s="18">
        <f>IF(ISNUMBER(J46), $B64 * K46, "")</f>
        <v>-8952.3809523809487</v>
      </c>
      <c r="M46" s="31"/>
      <c r="N46" s="32" t="str">
        <f t="shared" si="17"/>
        <v/>
      </c>
      <c r="O46" s="18" t="str">
        <f>IF(ISNUMBER(M46), $B64 * N46, "")</f>
        <v/>
      </c>
      <c r="Q46" s="235"/>
      <c r="R46" s="235"/>
      <c r="S46" s="235"/>
    </row>
    <row r="47" spans="1:19" ht="17.25" customHeight="1" thickBot="1">
      <c r="A47" s="162" t="s">
        <v>228</v>
      </c>
      <c r="B47" s="126">
        <v>8.6300000000000008</v>
      </c>
      <c r="C47" s="77">
        <v>8.2810539500000002E-2</v>
      </c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>
        <v>8.19</v>
      </c>
      <c r="K47" s="32">
        <f t="shared" si="16"/>
        <v>-5.0984936268829807E-2</v>
      </c>
      <c r="L47" s="18">
        <f>IF(ISNUMBER(J47), $B64 * K47, "")</f>
        <v>-5098.4936268829806</v>
      </c>
      <c r="M47" s="31"/>
      <c r="N47" s="32" t="str">
        <f t="shared" si="17"/>
        <v/>
      </c>
      <c r="O47" s="18" t="str">
        <f>IF(ISNUMBER(M47), $B64 * N47, "")</f>
        <v/>
      </c>
      <c r="Q47" s="235"/>
      <c r="R47" s="235"/>
      <c r="S47" s="235"/>
    </row>
    <row r="48" spans="1:19" ht="17.25" customHeight="1" thickBot="1">
      <c r="A48" s="163" t="s">
        <v>222</v>
      </c>
      <c r="B48" s="128">
        <v>9.0299999999999994</v>
      </c>
      <c r="C48" s="78">
        <v>6.9905213300000005E-2</v>
      </c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>
        <v>8.49</v>
      </c>
      <c r="K48" s="21">
        <f t="shared" si="16"/>
        <v>-5.9800664451827155E-2</v>
      </c>
      <c r="L48" s="22">
        <f>IF(ISNUMBER(J48), $B64 * K48, "")</f>
        <v>-5980.0664451827151</v>
      </c>
      <c r="M48" s="30"/>
      <c r="N48" s="21" t="str">
        <f t="shared" si="17"/>
        <v/>
      </c>
      <c r="O48" s="22" t="str">
        <f>IF(ISNUMBER(M48), $B64 * N48, "")</f>
        <v/>
      </c>
      <c r="Q48" s="235"/>
      <c r="R48" s="235"/>
      <c r="S48" s="235"/>
    </row>
    <row r="49" spans="1:19" ht="17.25" customHeight="1" thickBot="1">
      <c r="A49" s="162" t="s">
        <v>196</v>
      </c>
      <c r="B49" s="129">
        <v>9.16</v>
      </c>
      <c r="C49" s="80">
        <v>6.3879210199999995E-2</v>
      </c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>
        <v>8.69</v>
      </c>
      <c r="K49" s="107">
        <f>IF(ISNUMBER(J49), (J49 - $B49) / $B49, "")</f>
        <v>-5.1310043668122342E-2</v>
      </c>
      <c r="L49" s="108">
        <f>IF(ISNUMBER(J49), $B64 * K49, "")</f>
        <v>-5131.0043668122344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35"/>
      <c r="R49" s="235"/>
      <c r="S49" s="235"/>
    </row>
    <row r="50" spans="1:19" ht="17.25" customHeight="1" thickBot="1">
      <c r="A50" s="162" t="s">
        <v>282</v>
      </c>
      <c r="B50" s="126">
        <v>63.2</v>
      </c>
      <c r="C50" s="77">
        <v>6.0402684599999999E-2</v>
      </c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>
        <v>54.3</v>
      </c>
      <c r="K50" s="32">
        <f t="shared" ref="K50:K53" si="20">IF(ISNUMBER(J50), (J50 - $B50) / $B50, "")</f>
        <v>-0.14082278481012667</v>
      </c>
      <c r="L50" s="18">
        <f>IF(ISNUMBER(J50), $B64 * K50, "")</f>
        <v>-14082.278481012667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35"/>
      <c r="R50" s="235"/>
      <c r="S50" s="235"/>
    </row>
    <row r="51" spans="1:19" ht="17.25" customHeight="1" thickBot="1">
      <c r="A51" s="162" t="s">
        <v>154</v>
      </c>
      <c r="B51" s="126">
        <v>9.09</v>
      </c>
      <c r="C51" s="77">
        <v>4.4827586199999998E-2</v>
      </c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>
        <v>8.6199999999999992</v>
      </c>
      <c r="K51" s="32">
        <f t="shared" si="20"/>
        <v>-5.1705170517051778E-2</v>
      </c>
      <c r="L51" s="18">
        <f>IF(ISNUMBER(J51), $B64 * K51, "")</f>
        <v>-5170.5170517051774</v>
      </c>
      <c r="M51" s="31"/>
      <c r="N51" s="32" t="str">
        <f t="shared" si="21"/>
        <v/>
      </c>
      <c r="O51" s="18" t="str">
        <f>IF(ISNUMBER(M51), $B64 * N51, "")</f>
        <v/>
      </c>
      <c r="Q51" s="235"/>
      <c r="R51" s="235"/>
      <c r="S51" s="235"/>
    </row>
    <row r="52" spans="1:19" ht="17.25" customHeight="1" thickBot="1">
      <c r="A52" s="162" t="s">
        <v>266</v>
      </c>
      <c r="B52" s="126">
        <v>56.3</v>
      </c>
      <c r="C52" s="77">
        <v>4.0665434399999999E-2</v>
      </c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>
        <v>53.2</v>
      </c>
      <c r="K52" s="32">
        <f t="shared" si="20"/>
        <v>-5.5062166962699721E-2</v>
      </c>
      <c r="L52" s="18">
        <f>IF(ISNUMBER(J52), $B64 * K52, "")</f>
        <v>-5506.2166962699721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172</v>
      </c>
      <c r="B53" s="131">
        <v>5.19</v>
      </c>
      <c r="C53" s="79">
        <v>3.5928143699999998E-2</v>
      </c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>
        <v>4.7300000000000004</v>
      </c>
      <c r="K53" s="25">
        <f t="shared" si="20"/>
        <v>-8.8631984585741799E-2</v>
      </c>
      <c r="L53" s="104">
        <f>IF(ISNUMBER(J53), $B64 * K53, "")</f>
        <v>-8863.1984585741793</v>
      </c>
      <c r="M53" s="102"/>
      <c r="N53" s="25" t="str">
        <f t="shared" si="21"/>
        <v/>
      </c>
      <c r="O53" s="104" t="str">
        <f>IF(ISNUMBER(M53), $B64 * N53, "")</f>
        <v/>
      </c>
      <c r="Q53" s="236"/>
      <c r="R53" s="237"/>
      <c r="S53" s="238"/>
    </row>
    <row r="54" spans="1:19" ht="17.25" customHeight="1">
      <c r="A54" s="161" t="s">
        <v>122</v>
      </c>
      <c r="B54" s="124">
        <v>24.2</v>
      </c>
      <c r="C54" s="76">
        <v>3.4188034200000002E-2</v>
      </c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>
        <v>23.8</v>
      </c>
      <c r="K54" s="14">
        <f>IF(ISNUMBER(J54), (J54 - $B54) / $B54, "")</f>
        <v>-1.6528925619834652E-2</v>
      </c>
      <c r="L54" s="16">
        <f>IF(ISNUMBER(J54), $B64 * K54, "")</f>
        <v>-1652.8925619834652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39"/>
      <c r="R54" s="240"/>
      <c r="S54" s="241"/>
    </row>
    <row r="55" spans="1:19" ht="17.25" customHeight="1" thickBot="1">
      <c r="A55" s="162" t="s">
        <v>268</v>
      </c>
      <c r="B55" s="126">
        <v>30.2</v>
      </c>
      <c r="C55" s="77">
        <v>2.3728813599999999E-2</v>
      </c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>
        <v>26.4</v>
      </c>
      <c r="K55" s="32">
        <f t="shared" ref="K55:K58" si="24">IF(ISNUMBER(J55), (J55 - $B55) / $B55, "")</f>
        <v>-0.12582781456953646</v>
      </c>
      <c r="L55" s="18">
        <f>IF(ISNUMBER(J55), $B64 * K55, "")</f>
        <v>-12582.781456953646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42"/>
      <c r="R55" s="243"/>
      <c r="S55" s="244"/>
    </row>
    <row r="56" spans="1:19" ht="17.25" customHeight="1" thickBot="1">
      <c r="A56" s="162" t="s">
        <v>212</v>
      </c>
      <c r="B56" s="126">
        <v>58.2</v>
      </c>
      <c r="C56" s="77">
        <v>2.10526316E-2</v>
      </c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>
        <v>54.8</v>
      </c>
      <c r="K56" s="32">
        <f t="shared" si="24"/>
        <v>-5.8419243986254393E-2</v>
      </c>
      <c r="L56" s="18">
        <f>IF(ISNUMBER(J56), $B64 * K56, "")</f>
        <v>-5841.9243986254396</v>
      </c>
      <c r="M56" s="31"/>
      <c r="N56" s="32" t="str">
        <f t="shared" si="25"/>
        <v/>
      </c>
      <c r="O56" s="18" t="str">
        <f>IF(ISNUMBER(M56), $B64 * N56, "")</f>
        <v/>
      </c>
      <c r="Q56" s="235"/>
      <c r="R56" s="235"/>
      <c r="S56" s="235"/>
    </row>
    <row r="57" spans="1:19" ht="17.25" customHeight="1" thickBot="1">
      <c r="A57" s="162" t="s">
        <v>254</v>
      </c>
      <c r="B57" s="126">
        <v>21.8</v>
      </c>
      <c r="C57" s="77">
        <v>1.8691588799999999E-2</v>
      </c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>
        <v>19.600000000000001</v>
      </c>
      <c r="K57" s="32">
        <f t="shared" si="24"/>
        <v>-0.10091743119266051</v>
      </c>
      <c r="L57" s="18">
        <f>IF(ISNUMBER(J57), $B64 * K57, "")</f>
        <v>-10091.743119266052</v>
      </c>
      <c r="M57" s="31"/>
      <c r="N57" s="32" t="str">
        <f t="shared" si="25"/>
        <v/>
      </c>
      <c r="O57" s="18" t="str">
        <f>IF(ISNUMBER(M57), $B64 * N57, "")</f>
        <v/>
      </c>
      <c r="Q57" s="245"/>
      <c r="R57" s="245"/>
      <c r="S57" s="245"/>
    </row>
    <row r="58" spans="1:19" ht="17.25" customHeight="1" thickBot="1">
      <c r="A58" s="163" t="s">
        <v>210</v>
      </c>
      <c r="B58" s="128">
        <v>89.1</v>
      </c>
      <c r="C58" s="78">
        <v>1.5963511999999999E-2</v>
      </c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>
        <v>88</v>
      </c>
      <c r="K58" s="21">
        <f t="shared" si="24"/>
        <v>-1.2345679012345616E-2</v>
      </c>
      <c r="L58" s="22">
        <f>IF(ISNUMBER(J58), $B64 * K58, "")</f>
        <v>-1234.5679012345615</v>
      </c>
      <c r="M58" s="30"/>
      <c r="N58" s="21" t="str">
        <f t="shared" si="25"/>
        <v/>
      </c>
      <c r="O58" s="22" t="str">
        <f>IF(ISNUMBER(M58), $B64 * N58, "")</f>
        <v/>
      </c>
      <c r="Q58" s="245"/>
      <c r="R58" s="245"/>
      <c r="S58" s="245"/>
    </row>
    <row r="59" spans="1:19" ht="17.25" customHeight="1" thickBot="1">
      <c r="A59" s="162" t="s">
        <v>236</v>
      </c>
      <c r="B59" s="129">
        <v>19.3</v>
      </c>
      <c r="C59" s="80">
        <v>5.2083333000000004E-3</v>
      </c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>
        <v>17.5</v>
      </c>
      <c r="K59" s="107">
        <f>IF(ISNUMBER(J59), (J59 - $B59) / $B59, "")</f>
        <v>-9.3264248704663252E-2</v>
      </c>
      <c r="L59" s="108">
        <f>IF(ISNUMBER(J59), $B64 * K59, "")</f>
        <v>-9326.424870466326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35"/>
      <c r="R59" s="235"/>
      <c r="S59" s="235"/>
    </row>
    <row r="60" spans="1:19" ht="17.25" customHeight="1" thickBot="1">
      <c r="A60" s="162" t="s">
        <v>238</v>
      </c>
      <c r="B60" s="126">
        <v>93.4</v>
      </c>
      <c r="C60" s="77">
        <v>0</v>
      </c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>
        <v>87.8</v>
      </c>
      <c r="K60" s="32">
        <f t="shared" ref="K60:K63" si="28">IF(ISNUMBER(J60), (J60 - $B60) / $B60, "")</f>
        <v>-5.9957173447537558E-2</v>
      </c>
      <c r="L60" s="18">
        <f>IF(ISNUMBER(J60), $B64 * K60, "")</f>
        <v>-5995.7173447537562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35"/>
      <c r="R60" s="235"/>
      <c r="S60" s="235"/>
    </row>
    <row r="61" spans="1:19" ht="17.25" customHeight="1" thickBot="1">
      <c r="A61" s="162" t="s">
        <v>218</v>
      </c>
      <c r="B61" s="126">
        <v>6.12</v>
      </c>
      <c r="C61" s="77">
        <v>0</v>
      </c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>
        <v>5.46</v>
      </c>
      <c r="K61" s="32">
        <f t="shared" si="28"/>
        <v>-0.10784313725490198</v>
      </c>
      <c r="L61" s="18">
        <f>IF(ISNUMBER(J61), $B64 * K61, "")</f>
        <v>-10784.313725490198</v>
      </c>
      <c r="M61" s="31"/>
      <c r="N61" s="32" t="str">
        <f t="shared" si="29"/>
        <v/>
      </c>
      <c r="O61" s="18" t="str">
        <f>IF(ISNUMBER(M61), $B64 * N61, "")</f>
        <v/>
      </c>
      <c r="Q61" s="235"/>
      <c r="R61" s="235"/>
      <c r="S61" s="235"/>
    </row>
    <row r="62" spans="1:19" ht="17.25" customHeight="1">
      <c r="A62" s="162" t="s">
        <v>156</v>
      </c>
      <c r="B62" s="126">
        <v>82.3</v>
      </c>
      <c r="C62" s="77">
        <v>-6.0386473E-3</v>
      </c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>
        <v>81.2</v>
      </c>
      <c r="K62" s="32">
        <f t="shared" si="28"/>
        <v>-1.3365735115431281E-2</v>
      </c>
      <c r="L62" s="18">
        <f>IF(ISNUMBER(J62), $B64 * K62, "")</f>
        <v>-1336.573511543128</v>
      </c>
      <c r="M62" s="31"/>
      <c r="N62" s="32" t="str">
        <f t="shared" si="29"/>
        <v/>
      </c>
      <c r="O62" s="18" t="str">
        <f>IF(ISNUMBER(M62), $B64 * N62, "")</f>
        <v/>
      </c>
      <c r="Q62" s="224"/>
      <c r="R62" s="225"/>
      <c r="S62" s="226"/>
    </row>
    <row r="63" spans="1:19" ht="17.25" customHeight="1" thickBot="1">
      <c r="A63" s="130" t="s">
        <v>278</v>
      </c>
      <c r="B63" s="131">
        <v>70.7</v>
      </c>
      <c r="C63" s="79">
        <v>-8.4151473000000001E-3</v>
      </c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>
        <v>69.900000000000006</v>
      </c>
      <c r="K63" s="25">
        <f t="shared" si="28"/>
        <v>-1.1315417256011274E-2</v>
      </c>
      <c r="L63" s="104">
        <f>IF(ISNUMBER(J63), $B64 * K63, "")</f>
        <v>-1131.5417256011274</v>
      </c>
      <c r="M63" s="102"/>
      <c r="N63" s="25" t="str">
        <f t="shared" si="29"/>
        <v/>
      </c>
      <c r="O63" s="104" t="str">
        <f>IF(ISNUMBER(M63), $B64 * N63, "")</f>
        <v/>
      </c>
      <c r="Q63" s="227"/>
      <c r="R63" s="228"/>
      <c r="S63" s="229"/>
    </row>
    <row r="64" spans="1:19" ht="17.25" customHeight="1" thickBot="1">
      <c r="A64" s="132" t="s">
        <v>300</v>
      </c>
      <c r="B64" s="288">
        <f>$B$37</f>
        <v>100000</v>
      </c>
      <c r="C64" s="289"/>
      <c r="D64" s="26" t="s">
        <v>301</v>
      </c>
      <c r="E64" s="27">
        <f>IF(COUNT(E44:E63), SUM(E44:E63) / COUNT(E44:E63), 0)</f>
        <v>0</v>
      </c>
      <c r="F64" s="28">
        <f>SUM(F44:F63)</f>
        <v>0</v>
      </c>
      <c r="G64" s="26" t="s">
        <v>301</v>
      </c>
      <c r="H64" s="27">
        <f>IF(COUNT(H44:H63), SUM(H44:H63) / COUNT(H44:H63), 0)</f>
        <v>0</v>
      </c>
      <c r="I64" s="28">
        <f>SUM(I44:I63)</f>
        <v>0</v>
      </c>
      <c r="J64" s="26" t="s">
        <v>301</v>
      </c>
      <c r="K64" s="27">
        <f>IF(COUNT(K44:K63), SUM(K44:K63) / COUNT(K44:K63), 0)</f>
        <v>-7.2767252065944893E-2</v>
      </c>
      <c r="L64" s="28">
        <f>SUM(L44:L63)</f>
        <v>-145534.50413188979</v>
      </c>
      <c r="M64" s="26" t="s">
        <v>301</v>
      </c>
      <c r="N64" s="27">
        <f>IF(COUNT(N44:N63), SUM(N44:N63) / COUNT(N44:N63), 0)</f>
        <v>0</v>
      </c>
      <c r="O64" s="28">
        <f>SUM(O44:O63)</f>
        <v>0</v>
      </c>
      <c r="Q64" s="230"/>
      <c r="R64" s="231"/>
      <c r="S64" s="232"/>
    </row>
    <row r="65" spans="1:19" ht="17.25" customHeight="1"/>
    <row r="66" spans="1:19" ht="17.25" customHeight="1" thickBot="1"/>
    <row r="67" spans="1:19" ht="17.25" thickBot="1">
      <c r="A67" s="246" t="s">
        <v>45</v>
      </c>
      <c r="B67" s="247"/>
      <c r="C67" s="247"/>
      <c r="D67" s="247"/>
      <c r="E67" s="247"/>
      <c r="F67" s="247"/>
      <c r="G67" s="247"/>
      <c r="H67" s="247"/>
      <c r="I67" s="247"/>
      <c r="J67" s="247"/>
      <c r="K67" s="247"/>
      <c r="L67" s="247"/>
      <c r="M67" s="247"/>
      <c r="N67" s="247"/>
      <c r="O67" s="248"/>
      <c r="Q67" s="245"/>
      <c r="R67" s="245"/>
      <c r="S67" s="245"/>
    </row>
    <row r="68" spans="1:19" ht="17.25" thickBot="1">
      <c r="A68" s="220" t="s">
        <v>297</v>
      </c>
      <c r="B68" s="246" t="s">
        <v>49</v>
      </c>
      <c r="C68" s="248"/>
      <c r="D68" s="246" t="s">
        <v>58</v>
      </c>
      <c r="E68" s="247"/>
      <c r="F68" s="248"/>
      <c r="G68" s="249">
        <f>_xlfn.IFNA(VLOOKUP(B68, 현재가테이블!$B$2:$D$200, 2, FALSE), "-")</f>
        <v>45335000</v>
      </c>
      <c r="H68" s="250"/>
      <c r="I68" s="251"/>
      <c r="J68" s="246" t="s">
        <v>59</v>
      </c>
      <c r="K68" s="247"/>
      <c r="L68" s="248"/>
      <c r="M68" s="252">
        <f>_xlfn.IFNA(VLOOKUP(B68, 현재가테이블!$B$2:$D$200, 3, FALSE), "-")</f>
        <v>-2.27209037E-2</v>
      </c>
      <c r="N68" s="253"/>
      <c r="O68" s="254"/>
      <c r="Q68" s="245"/>
      <c r="R68" s="245"/>
      <c r="S68" s="245"/>
    </row>
    <row r="69" spans="1:19" ht="17.25" thickBot="1">
      <c r="A69" s="290" t="s">
        <v>55</v>
      </c>
      <c r="B69" s="286" t="str">
        <f>TEXT($G$1, "[$-ko-KR]yyyy-mm-dd(ddd) ") &amp; "오전 00:00"</f>
        <v>2021-06-16(수) 오전 00:00</v>
      </c>
      <c r="C69" s="287"/>
      <c r="D69" s="259" t="str">
        <f>TEXT($G$1, "[$-ko-KR]yyyy-mm-dd(ddd) ") &amp; "오후 14:00"</f>
        <v>2021-06-16(수) 오후 14:00</v>
      </c>
      <c r="E69" s="260"/>
      <c r="F69" s="261"/>
      <c r="G69" s="259" t="str">
        <f>TEXT($G$1, "[$-ko-KR]yyyy-mm-dd(ddd) ") &amp; "오후 19:00"</f>
        <v>2021-06-16(수) 오후 19:00</v>
      </c>
      <c r="H69" s="260"/>
      <c r="I69" s="261"/>
      <c r="J69" s="259" t="str">
        <f>TEXT($G$1, "[$-ko-KR]yyyy-mm-dd(ddd) ") &amp; "오후 21:00"</f>
        <v>2021-06-16(수) 오후 21:00</v>
      </c>
      <c r="K69" s="260"/>
      <c r="L69" s="261"/>
      <c r="M69" s="259" t="str">
        <f>TEXT($G$1+1, "[$-ko-KR]yyyy-mm-dd(ddd) ") &amp; "오전 00:00"</f>
        <v>2021-06-17(목) 오전 00:00</v>
      </c>
      <c r="N69" s="260"/>
      <c r="O69" s="261"/>
      <c r="Q69" s="245"/>
      <c r="R69" s="245"/>
      <c r="S69" s="245"/>
    </row>
    <row r="70" spans="1:19" ht="17.25" thickBot="1">
      <c r="A70" s="291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221" t="s">
        <v>58</v>
      </c>
      <c r="H70" s="222" t="s">
        <v>298</v>
      </c>
      <c r="I70" s="223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5"/>
      <c r="R70" s="235"/>
      <c r="S70" s="235"/>
    </row>
    <row r="71" spans="1:19" ht="17.25" thickBot="1">
      <c r="A71" s="161" t="s">
        <v>174</v>
      </c>
      <c r="B71" s="124">
        <v>128</v>
      </c>
      <c r="C71" s="76">
        <v>6.6666666700000002E-2</v>
      </c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>
        <v>122</v>
      </c>
      <c r="K71" s="14">
        <f>IF(ISNUMBER(J71), (J71 - $B71) / $B71, "")</f>
        <v>-4.6875E-2</v>
      </c>
      <c r="L71" s="16">
        <f>IF(ISNUMBER(J71), $B91 * K71, "")</f>
        <v>-4687.5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45"/>
      <c r="R71" s="245"/>
      <c r="S71" s="245"/>
    </row>
    <row r="72" spans="1:19" ht="17.25" thickBot="1">
      <c r="A72" s="162" t="s">
        <v>54</v>
      </c>
      <c r="B72" s="126">
        <v>246</v>
      </c>
      <c r="C72" s="77">
        <v>4.6808510599999999E-2</v>
      </c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>
        <v>231</v>
      </c>
      <c r="K72" s="32">
        <f t="shared" ref="K72:K75" si="32">IF(ISNUMBER(J72), (J72 - $B72) / $B72, "")</f>
        <v>-6.097560975609756E-2</v>
      </c>
      <c r="L72" s="18">
        <f>IF(ISNUMBER(J72), $B91 * K72, "")</f>
        <v>-6097.5609756097556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45"/>
      <c r="R72" s="245"/>
      <c r="S72" s="245"/>
    </row>
    <row r="73" spans="1:19" ht="17.25" thickBot="1">
      <c r="A73" s="162" t="s">
        <v>200</v>
      </c>
      <c r="B73" s="126">
        <v>168</v>
      </c>
      <c r="C73" s="77">
        <v>3.7037037000000002E-2</v>
      </c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>
        <v>170</v>
      </c>
      <c r="K73" s="32">
        <f t="shared" si="32"/>
        <v>1.1904761904761904E-2</v>
      </c>
      <c r="L73" s="18">
        <f>IF(ISNUMBER(J73), $B91 * K73, "")</f>
        <v>1190.4761904761904</v>
      </c>
      <c r="M73" s="31"/>
      <c r="N73" s="32" t="str">
        <f t="shared" si="33"/>
        <v/>
      </c>
      <c r="O73" s="18" t="str">
        <f>IF(ISNUMBER(M73), $B91 * N73, "")</f>
        <v/>
      </c>
      <c r="Q73" s="235"/>
      <c r="R73" s="235"/>
      <c r="S73" s="235"/>
    </row>
    <row r="74" spans="1:19" ht="17.25" thickBot="1">
      <c r="A74" s="162" t="s">
        <v>256</v>
      </c>
      <c r="B74" s="126">
        <v>150</v>
      </c>
      <c r="C74" s="77">
        <v>2.73972603E-2</v>
      </c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>
        <v>143</v>
      </c>
      <c r="K74" s="32">
        <f t="shared" si="32"/>
        <v>-4.6666666666666669E-2</v>
      </c>
      <c r="L74" s="18">
        <f>IF(ISNUMBER(J74), $B91 * K74, "")</f>
        <v>-4666.666666666667</v>
      </c>
      <c r="M74" s="31"/>
      <c r="N74" s="32" t="str">
        <f t="shared" si="33"/>
        <v/>
      </c>
      <c r="O74" s="18" t="str">
        <f>IF(ISNUMBER(M74), $B91 * N74, "")</f>
        <v/>
      </c>
      <c r="Q74" s="235"/>
      <c r="R74" s="235"/>
      <c r="S74" s="235"/>
    </row>
    <row r="75" spans="1:19" ht="17.25" thickBot="1">
      <c r="A75" s="163" t="s">
        <v>80</v>
      </c>
      <c r="B75" s="128">
        <v>793</v>
      </c>
      <c r="C75" s="78">
        <v>2.72020725E-2</v>
      </c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>
        <v>770</v>
      </c>
      <c r="K75" s="21">
        <f t="shared" si="32"/>
        <v>-2.9003783102143757E-2</v>
      </c>
      <c r="L75" s="22">
        <f>IF(ISNUMBER(J75), $B91 * K75, "")</f>
        <v>-2900.3783102143757</v>
      </c>
      <c r="M75" s="30"/>
      <c r="N75" s="21" t="str">
        <f t="shared" si="33"/>
        <v/>
      </c>
      <c r="O75" s="22" t="str">
        <f>IF(ISNUMBER(M75), $B91 * N75, "")</f>
        <v/>
      </c>
      <c r="Q75" s="235"/>
      <c r="R75" s="235"/>
      <c r="S75" s="235"/>
    </row>
    <row r="76" spans="1:19" ht="17.25" thickBot="1">
      <c r="A76" s="162" t="s">
        <v>112</v>
      </c>
      <c r="B76" s="129">
        <v>137</v>
      </c>
      <c r="C76" s="80">
        <v>1.4814814799999999E-2</v>
      </c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>
        <v>131</v>
      </c>
      <c r="K76" s="107">
        <f>IF(ISNUMBER(J76), (J76 - $B76) / $B76, "")</f>
        <v>-4.3795620437956206E-2</v>
      </c>
      <c r="L76" s="108">
        <f>IF(ISNUMBER(J76), $B91 * K76, "")</f>
        <v>-4379.5620437956204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35"/>
      <c r="R76" s="235"/>
      <c r="S76" s="235"/>
    </row>
    <row r="77" spans="1:19" ht="17.25" thickBot="1">
      <c r="A77" s="162" t="s">
        <v>252</v>
      </c>
      <c r="B77" s="126">
        <v>110</v>
      </c>
      <c r="C77" s="77">
        <v>9.1743119000000008E-3</v>
      </c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>
        <v>98.4</v>
      </c>
      <c r="K77" s="32">
        <f t="shared" ref="K77:K80" si="36">IF(ISNUMBER(J77), (J77 - $B77) / $B77, "")</f>
        <v>-0.1054545454545454</v>
      </c>
      <c r="L77" s="18">
        <f>IF(ISNUMBER(J77), $B91 * K77, "")</f>
        <v>-10545.45454545454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35"/>
      <c r="R77" s="235"/>
      <c r="S77" s="235"/>
    </row>
    <row r="78" spans="1:19" ht="17.25" thickBot="1">
      <c r="A78" s="162" t="s">
        <v>88</v>
      </c>
      <c r="B78" s="126">
        <v>322</v>
      </c>
      <c r="C78" s="77">
        <v>-6.1728395E-3</v>
      </c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>
        <v>394</v>
      </c>
      <c r="K78" s="32">
        <f t="shared" si="36"/>
        <v>0.2236024844720497</v>
      </c>
      <c r="L78" s="18">
        <f>IF(ISNUMBER(J78), $B91 * K78, "")</f>
        <v>22360.248447204969</v>
      </c>
      <c r="M78" s="31"/>
      <c r="N78" s="32" t="str">
        <f t="shared" si="37"/>
        <v/>
      </c>
      <c r="O78" s="18" t="str">
        <f>IF(ISNUMBER(M78), $B91 * N78, "")</f>
        <v/>
      </c>
      <c r="Q78" s="235"/>
      <c r="R78" s="235"/>
      <c r="S78" s="235"/>
    </row>
    <row r="79" spans="1:19" ht="17.25" thickBot="1">
      <c r="A79" s="162" t="s">
        <v>132</v>
      </c>
      <c r="B79" s="126">
        <v>129</v>
      </c>
      <c r="C79" s="77">
        <v>-7.6923076999999996E-3</v>
      </c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>
        <v>125</v>
      </c>
      <c r="K79" s="32">
        <f t="shared" si="36"/>
        <v>-3.1007751937984496E-2</v>
      </c>
      <c r="L79" s="18">
        <f>IF(ISNUMBER(J79), $B91 * K79, "")</f>
        <v>-3100.7751937984494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136</v>
      </c>
      <c r="B80" s="131">
        <v>126</v>
      </c>
      <c r="C80" s="79">
        <v>-7.8740157000000005E-3</v>
      </c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>
        <v>123</v>
      </c>
      <c r="K80" s="25">
        <f t="shared" si="36"/>
        <v>-2.3809523809523808E-2</v>
      </c>
      <c r="L80" s="104">
        <f>IF(ISNUMBER(J80), $B91 * K80, "")</f>
        <v>-2380.9523809523807</v>
      </c>
      <c r="M80" s="102"/>
      <c r="N80" s="25" t="str">
        <f t="shared" si="37"/>
        <v/>
      </c>
      <c r="O80" s="104" t="str">
        <f>IF(ISNUMBER(M80), $B91 * N80, "")</f>
        <v/>
      </c>
      <c r="Q80" s="236"/>
      <c r="R80" s="237"/>
      <c r="S80" s="238"/>
    </row>
    <row r="81" spans="1:19">
      <c r="A81" s="161" t="s">
        <v>270</v>
      </c>
      <c r="B81" s="124">
        <v>335</v>
      </c>
      <c r="C81" s="76">
        <v>-1.47058824E-2</v>
      </c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>
        <v>329</v>
      </c>
      <c r="K81" s="14">
        <f>IF(ISNUMBER(J81), (J81 - $B81) / $B81, "")</f>
        <v>-1.7910447761194031E-2</v>
      </c>
      <c r="L81" s="16">
        <f>IF(ISNUMBER(J81), $B91 * K81, "")</f>
        <v>-1791.0447761194032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39"/>
      <c r="R81" s="240"/>
      <c r="S81" s="241"/>
    </row>
    <row r="82" spans="1:19" ht="17.25" thickBot="1">
      <c r="A82" s="162" t="s">
        <v>57</v>
      </c>
      <c r="B82" s="126">
        <v>197</v>
      </c>
      <c r="C82" s="77">
        <v>-1.4999999999999999E-2</v>
      </c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>
        <v>194</v>
      </c>
      <c r="K82" s="32">
        <f t="shared" ref="K82:K85" si="40">IF(ISNUMBER(J82), (J82 - $B82) / $B82, "")</f>
        <v>-1.5228426395939087E-2</v>
      </c>
      <c r="L82" s="18">
        <f>IF(ISNUMBER(J82), $B91 * K82, "")</f>
        <v>-1522.8426395939086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42"/>
      <c r="R82" s="243"/>
      <c r="S82" s="244"/>
    </row>
    <row r="83" spans="1:19" ht="17.25" thickBot="1">
      <c r="A83" s="162" t="s">
        <v>170</v>
      </c>
      <c r="B83" s="126">
        <v>247</v>
      </c>
      <c r="C83" s="77">
        <v>-1.5936255E-2</v>
      </c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>
        <v>241</v>
      </c>
      <c r="K83" s="32">
        <f t="shared" si="40"/>
        <v>-2.4291497975708502E-2</v>
      </c>
      <c r="L83" s="18">
        <f>IF(ISNUMBER(J83), $B91 * K83, "")</f>
        <v>-2429.1497975708503</v>
      </c>
      <c r="M83" s="31"/>
      <c r="N83" s="32" t="str">
        <f t="shared" si="41"/>
        <v/>
      </c>
      <c r="O83" s="18" t="str">
        <f>IF(ISNUMBER(M83), $B91 * N83, "")</f>
        <v/>
      </c>
      <c r="Q83" s="235"/>
      <c r="R83" s="235"/>
      <c r="S83" s="235"/>
    </row>
    <row r="84" spans="1:19" ht="17.25" thickBot="1">
      <c r="A84" s="162" t="s">
        <v>182</v>
      </c>
      <c r="B84" s="126">
        <v>234</v>
      </c>
      <c r="C84" s="77">
        <v>-1.6806722699999999E-2</v>
      </c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>
        <v>227</v>
      </c>
      <c r="K84" s="32">
        <f t="shared" si="40"/>
        <v>-2.9914529914529916E-2</v>
      </c>
      <c r="L84" s="18">
        <f>IF(ISNUMBER(J84), $B91 * K84, "")</f>
        <v>-2991.4529914529917</v>
      </c>
      <c r="M84" s="31"/>
      <c r="N84" s="32" t="str">
        <f t="shared" si="41"/>
        <v/>
      </c>
      <c r="O84" s="18" t="str">
        <f>IF(ISNUMBER(M84), $B91 * N84, "")</f>
        <v/>
      </c>
      <c r="Q84" s="245"/>
      <c r="R84" s="245"/>
      <c r="S84" s="245"/>
    </row>
    <row r="85" spans="1:19" ht="17.25" thickBot="1">
      <c r="A85" s="163" t="s">
        <v>61</v>
      </c>
      <c r="B85" s="128">
        <v>802</v>
      </c>
      <c r="C85" s="78">
        <v>-1.7156862700000001E-2</v>
      </c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>
        <v>807</v>
      </c>
      <c r="K85" s="21">
        <f t="shared" si="40"/>
        <v>6.2344139650872821E-3</v>
      </c>
      <c r="L85" s="22">
        <f>IF(ISNUMBER(J85), $B91 * K85, "")</f>
        <v>623.44139650872819</v>
      </c>
      <c r="M85" s="30"/>
      <c r="N85" s="21" t="str">
        <f t="shared" si="41"/>
        <v/>
      </c>
      <c r="O85" s="22" t="str">
        <f>IF(ISNUMBER(M85), $B91 * N85, "")</f>
        <v/>
      </c>
      <c r="Q85" s="245"/>
      <c r="R85" s="245"/>
      <c r="S85" s="245"/>
    </row>
    <row r="86" spans="1:19" ht="17.25" thickBot="1">
      <c r="A86" s="162" t="s">
        <v>296</v>
      </c>
      <c r="B86" s="129">
        <v>369</v>
      </c>
      <c r="C86" s="80">
        <v>-1.8617021300000001E-2</v>
      </c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>
        <v>360</v>
      </c>
      <c r="K86" s="107">
        <f>IF(ISNUMBER(J86), (J86 - $B86) / $B86, "")</f>
        <v>-2.4390243902439025E-2</v>
      </c>
      <c r="L86" s="108">
        <f>IF(ISNUMBER(J86), $B91 * K86, "")</f>
        <v>-2439.0243902439024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35"/>
      <c r="R86" s="235"/>
      <c r="S86" s="235"/>
    </row>
    <row r="87" spans="1:19" ht="17.25" thickBot="1">
      <c r="A87" s="162" t="s">
        <v>246</v>
      </c>
      <c r="B87" s="126">
        <v>261</v>
      </c>
      <c r="C87" s="77">
        <v>-1.8796992500000002E-2</v>
      </c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>
        <v>250</v>
      </c>
      <c r="K87" s="32">
        <f t="shared" ref="K87:K90" si="44">IF(ISNUMBER(J87), (J87 - $B87) / $B87, "")</f>
        <v>-4.2145593869731802E-2</v>
      </c>
      <c r="L87" s="18">
        <f>IF(ISNUMBER(J87), $B91 * K87, "")</f>
        <v>-4214.5593869731802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35"/>
      <c r="R87" s="235"/>
      <c r="S87" s="235"/>
    </row>
    <row r="88" spans="1:19" ht="17.25" thickBot="1">
      <c r="A88" s="162" t="s">
        <v>258</v>
      </c>
      <c r="B88" s="126">
        <v>413</v>
      </c>
      <c r="C88" s="77">
        <v>-1.9002375299999999E-2</v>
      </c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>
        <v>399</v>
      </c>
      <c r="K88" s="32">
        <f t="shared" si="44"/>
        <v>-3.3898305084745763E-2</v>
      </c>
      <c r="L88" s="18">
        <f>IF(ISNUMBER(J88), $B91 * K88, "")</f>
        <v>-3389.8305084745762</v>
      </c>
      <c r="M88" s="31"/>
      <c r="N88" s="32" t="str">
        <f t="shared" si="45"/>
        <v/>
      </c>
      <c r="O88" s="18" t="str">
        <f>IF(ISNUMBER(M88), $B91 * N88, "")</f>
        <v/>
      </c>
      <c r="Q88" s="235"/>
      <c r="R88" s="235"/>
      <c r="S88" s="235"/>
    </row>
    <row r="89" spans="1:19">
      <c r="A89" s="162" t="s">
        <v>120</v>
      </c>
      <c r="B89" s="126">
        <v>135</v>
      </c>
      <c r="C89" s="77">
        <v>-2.1739130400000001E-2</v>
      </c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>
        <v>137</v>
      </c>
      <c r="K89" s="32">
        <f t="shared" si="44"/>
        <v>1.4814814814814815E-2</v>
      </c>
      <c r="L89" s="18">
        <f>IF(ISNUMBER(J89), $B91 * K89, "")</f>
        <v>1481.4814814814815</v>
      </c>
      <c r="M89" s="31"/>
      <c r="N89" s="32" t="str">
        <f t="shared" si="45"/>
        <v/>
      </c>
      <c r="O89" s="18" t="str">
        <f>IF(ISNUMBER(M89), $B91 * N89, "")</f>
        <v/>
      </c>
      <c r="Q89" s="224"/>
      <c r="R89" s="225"/>
      <c r="S89" s="226"/>
    </row>
    <row r="90" spans="1:19" ht="17.25" thickBot="1">
      <c r="A90" s="130" t="s">
        <v>226</v>
      </c>
      <c r="B90" s="131">
        <v>216</v>
      </c>
      <c r="C90" s="79">
        <v>-2.2624434400000001E-2</v>
      </c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>
        <v>210</v>
      </c>
      <c r="K90" s="25">
        <f t="shared" si="44"/>
        <v>-2.7777777777777776E-2</v>
      </c>
      <c r="L90" s="104">
        <f>IF(ISNUMBER(J90), $B91 * K90, "")</f>
        <v>-2777.7777777777778</v>
      </c>
      <c r="M90" s="102"/>
      <c r="N90" s="25" t="str">
        <f t="shared" si="45"/>
        <v/>
      </c>
      <c r="O90" s="104" t="str">
        <f>IF(ISNUMBER(M90), $B91 * N90, "")</f>
        <v/>
      </c>
      <c r="Q90" s="227"/>
      <c r="R90" s="228"/>
      <c r="S90" s="229"/>
    </row>
    <row r="91" spans="1:19" ht="17.25" thickBot="1">
      <c r="A91" s="132" t="s">
        <v>300</v>
      </c>
      <c r="B91" s="288">
        <f>$B$37</f>
        <v>100000</v>
      </c>
      <c r="C91" s="289"/>
      <c r="D91" s="26" t="s">
        <v>301</v>
      </c>
      <c r="E91" s="27">
        <f>IF(COUNT(E71:E90), SUM(E71:E90) / COUNT(E71:E90), 0)</f>
        <v>0</v>
      </c>
      <c r="F91" s="28">
        <f>SUM(F71:F90)</f>
        <v>0</v>
      </c>
      <c r="G91" s="26" t="s">
        <v>301</v>
      </c>
      <c r="H91" s="27">
        <f>IF(COUNT(H71:H90), SUM(H71:H90) / COUNT(H71:H90), 0)</f>
        <v>0</v>
      </c>
      <c r="I91" s="28">
        <f>SUM(I71:I90)</f>
        <v>0</v>
      </c>
      <c r="J91" s="26" t="s">
        <v>301</v>
      </c>
      <c r="K91" s="27">
        <f>IF(COUNT(K71:K90), SUM(K71:K90) / COUNT(K71:K90), 0)</f>
        <v>-1.7329442434513505E-2</v>
      </c>
      <c r="L91" s="28">
        <f>SUM(L71:L90)</f>
        <v>-34658.884869027017</v>
      </c>
      <c r="M91" s="26" t="s">
        <v>301</v>
      </c>
      <c r="N91" s="27">
        <f>IF(COUNT(N71:N90), SUM(N71:N90) / COUNT(N71:N90), 0)</f>
        <v>0</v>
      </c>
      <c r="O91" s="28">
        <f>SUM(O71:O90)</f>
        <v>0</v>
      </c>
      <c r="Q91" s="230"/>
      <c r="R91" s="231"/>
      <c r="S91" s="232"/>
    </row>
    <row r="93" spans="1:19" ht="17.25" thickBot="1"/>
    <row r="94" spans="1:19" ht="17.25" thickBot="1">
      <c r="A94" s="246" t="s">
        <v>46</v>
      </c>
      <c r="B94" s="247"/>
      <c r="C94" s="247"/>
      <c r="D94" s="247"/>
      <c r="E94" s="247"/>
      <c r="F94" s="247"/>
      <c r="G94" s="247"/>
      <c r="H94" s="247"/>
      <c r="I94" s="247"/>
      <c r="J94" s="247"/>
      <c r="K94" s="247"/>
      <c r="L94" s="247"/>
      <c r="M94" s="247"/>
      <c r="N94" s="247"/>
      <c r="O94" s="248"/>
      <c r="Q94" s="245"/>
      <c r="R94" s="245"/>
      <c r="S94" s="245"/>
    </row>
    <row r="95" spans="1:19" ht="17.25" thickBot="1">
      <c r="A95" s="220" t="s">
        <v>297</v>
      </c>
      <c r="B95" s="246" t="s">
        <v>49</v>
      </c>
      <c r="C95" s="248"/>
      <c r="D95" s="246" t="s">
        <v>58</v>
      </c>
      <c r="E95" s="247"/>
      <c r="F95" s="248"/>
      <c r="G95" s="249">
        <f>_xlfn.IFNA(VLOOKUP(B95, 현재가테이블!$B$2:$D$200, 2, FALSE), "-")</f>
        <v>45335000</v>
      </c>
      <c r="H95" s="250"/>
      <c r="I95" s="251"/>
      <c r="J95" s="246" t="s">
        <v>59</v>
      </c>
      <c r="K95" s="247"/>
      <c r="L95" s="248"/>
      <c r="M95" s="252">
        <f>_xlfn.IFNA(VLOOKUP(B95, 현재가테이블!$B$2:$D$200, 3, FALSE), "-")</f>
        <v>-2.27209037E-2</v>
      </c>
      <c r="N95" s="253"/>
      <c r="O95" s="254"/>
      <c r="Q95" s="245"/>
      <c r="R95" s="245"/>
      <c r="S95" s="245"/>
    </row>
    <row r="96" spans="1:19" ht="17.25" thickBot="1">
      <c r="A96" s="290" t="s">
        <v>55</v>
      </c>
      <c r="B96" s="286" t="str">
        <f>TEXT($G$1, "[$-ko-KR]yyyy-mm-dd(ddd) ") &amp; "오전 00:00"</f>
        <v>2021-06-16(수) 오전 00:00</v>
      </c>
      <c r="C96" s="287"/>
      <c r="D96" s="259" t="str">
        <f>TEXT($G$1, "[$-ko-KR]yyyy-mm-dd(ddd) ") &amp; "오후 14:00"</f>
        <v>2021-06-16(수) 오후 14:00</v>
      </c>
      <c r="E96" s="260"/>
      <c r="F96" s="261"/>
      <c r="G96" s="259" t="str">
        <f>TEXT($G$1, "[$-ko-KR]yyyy-mm-dd(ddd) ") &amp; "오후 19:00"</f>
        <v>2021-06-16(수) 오후 19:00</v>
      </c>
      <c r="H96" s="260"/>
      <c r="I96" s="261"/>
      <c r="J96" s="259" t="str">
        <f>TEXT($G$1, "[$-ko-KR]yyyy-mm-dd(ddd) ") &amp; "오후 21:00"</f>
        <v>2021-06-16(수) 오후 21:00</v>
      </c>
      <c r="K96" s="260"/>
      <c r="L96" s="261"/>
      <c r="M96" s="259" t="str">
        <f>TEXT($G$1+1, "[$-ko-KR]yyyy-mm-dd(ddd) ") &amp; "오전 00:00"</f>
        <v>2021-06-17(목) 오전 00:00</v>
      </c>
      <c r="N96" s="260"/>
      <c r="O96" s="261"/>
      <c r="Q96" s="245"/>
      <c r="R96" s="245"/>
      <c r="S96" s="245"/>
    </row>
    <row r="97" spans="1:19" ht="17.25" thickBot="1">
      <c r="A97" s="291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221" t="s">
        <v>58</v>
      </c>
      <c r="H97" s="222" t="s">
        <v>298</v>
      </c>
      <c r="I97" s="223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5"/>
      <c r="R97" s="235"/>
      <c r="S97" s="235"/>
    </row>
    <row r="98" spans="1:19" ht="17.25" thickBot="1">
      <c r="A98" s="161" t="s">
        <v>250</v>
      </c>
      <c r="B98" s="124">
        <v>79.400000000000006</v>
      </c>
      <c r="C98" s="76">
        <v>0.31239669419999999</v>
      </c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>
        <v>59.7</v>
      </c>
      <c r="K98" s="14">
        <f>IF(ISNUMBER(J98), (J98 - $B98) / $B98, "")</f>
        <v>-0.24811083123425695</v>
      </c>
      <c r="L98" s="16">
        <f>IF(ISNUMBER(J98), $B118 * K98, "")</f>
        <v>-24811.083123425695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45"/>
      <c r="R98" s="245"/>
      <c r="S98" s="245"/>
    </row>
    <row r="99" spans="1:19" ht="17.25" thickBot="1">
      <c r="A99" s="162" t="s">
        <v>198</v>
      </c>
      <c r="B99" s="126">
        <v>15.3</v>
      </c>
      <c r="C99" s="77">
        <v>0.2047244094</v>
      </c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>
        <v>15</v>
      </c>
      <c r="K99" s="32">
        <f t="shared" ref="K99:K102" si="48">IF(ISNUMBER(J99), (J99 - $B99) / $B99, "")</f>
        <v>-1.9607843137254947E-2</v>
      </c>
      <c r="L99" s="18">
        <f>IF(ISNUMBER(J99), $B118 * K99, "")</f>
        <v>-1960.7843137254947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45"/>
      <c r="R99" s="245"/>
      <c r="S99" s="245"/>
    </row>
    <row r="100" spans="1:19" ht="17.25" thickBot="1">
      <c r="A100" s="162" t="s">
        <v>110</v>
      </c>
      <c r="B100" s="126">
        <v>1245</v>
      </c>
      <c r="C100" s="77">
        <v>9.2105263199999995E-2</v>
      </c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>
        <v>1185</v>
      </c>
      <c r="K100" s="32">
        <f t="shared" si="48"/>
        <v>-4.8192771084337352E-2</v>
      </c>
      <c r="L100" s="18">
        <f>IF(ISNUMBER(J100), $B118 * K100, "")</f>
        <v>-4819.2771084337355</v>
      </c>
      <c r="M100" s="31"/>
      <c r="N100" s="32" t="str">
        <f t="shared" si="49"/>
        <v/>
      </c>
      <c r="O100" s="18" t="str">
        <f>IF(ISNUMBER(M100), $B118 * N100, "")</f>
        <v/>
      </c>
      <c r="Q100" s="235"/>
      <c r="R100" s="235"/>
      <c r="S100" s="235"/>
    </row>
    <row r="101" spans="1:19" ht="17.25" thickBot="1">
      <c r="A101" s="162" t="s">
        <v>214</v>
      </c>
      <c r="B101" s="126">
        <v>10.5</v>
      </c>
      <c r="C101" s="77">
        <v>8.9211618300000003E-2</v>
      </c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>
        <v>9.56</v>
      </c>
      <c r="K101" s="32">
        <f t="shared" si="48"/>
        <v>-8.9523809523809478E-2</v>
      </c>
      <c r="L101" s="18">
        <f>IF(ISNUMBER(J101), $B118 * K101, "")</f>
        <v>-8952.3809523809487</v>
      </c>
      <c r="M101" s="31"/>
      <c r="N101" s="32" t="str">
        <f t="shared" si="49"/>
        <v/>
      </c>
      <c r="O101" s="18" t="str">
        <f>IF(ISNUMBER(M101), $B118 * N101, "")</f>
        <v/>
      </c>
      <c r="Q101" s="235"/>
      <c r="R101" s="235"/>
      <c r="S101" s="235"/>
    </row>
    <row r="102" spans="1:19" ht="17.25" thickBot="1">
      <c r="A102" s="163" t="s">
        <v>228</v>
      </c>
      <c r="B102" s="128">
        <v>8.6300000000000008</v>
      </c>
      <c r="C102" s="78">
        <v>8.2810539500000002E-2</v>
      </c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>
        <v>8.19</v>
      </c>
      <c r="K102" s="21">
        <f t="shared" si="48"/>
        <v>-5.0984936268829807E-2</v>
      </c>
      <c r="L102" s="22">
        <f>IF(ISNUMBER(J102), $B118 * K102, "")</f>
        <v>-5098.4936268829806</v>
      </c>
      <c r="M102" s="30"/>
      <c r="N102" s="21" t="str">
        <f t="shared" si="49"/>
        <v/>
      </c>
      <c r="O102" s="22" t="str">
        <f>IF(ISNUMBER(M102), $B118 * N102, "")</f>
        <v/>
      </c>
      <c r="Q102" s="235"/>
      <c r="R102" s="235"/>
      <c r="S102" s="235"/>
    </row>
    <row r="103" spans="1:19" ht="17.25" thickBot="1">
      <c r="A103" s="162" t="s">
        <v>222</v>
      </c>
      <c r="B103" s="129">
        <v>9.0299999999999994</v>
      </c>
      <c r="C103" s="80">
        <v>6.9905213300000005E-2</v>
      </c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>
        <v>8.49</v>
      </c>
      <c r="K103" s="107">
        <f>IF(ISNUMBER(J103), (J103 - $B103) / $B103, "")</f>
        <v>-5.9800664451827155E-2</v>
      </c>
      <c r="L103" s="108">
        <f>IF(ISNUMBER(J103), $B118 * K103, "")</f>
        <v>-5980.0664451827151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35"/>
      <c r="R103" s="235"/>
      <c r="S103" s="235"/>
    </row>
    <row r="104" spans="1:19" ht="17.25" thickBot="1">
      <c r="A104" s="162" t="s">
        <v>174</v>
      </c>
      <c r="B104" s="126">
        <v>128</v>
      </c>
      <c r="C104" s="77">
        <v>6.6666666700000002E-2</v>
      </c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>
        <v>122</v>
      </c>
      <c r="K104" s="32">
        <f t="shared" ref="K104:K107" si="52">IF(ISNUMBER(J104), (J104 - $B104) / $B104, "")</f>
        <v>-4.6875E-2</v>
      </c>
      <c r="L104" s="18">
        <f>IF(ISNUMBER(J104), $B118 * K104, "")</f>
        <v>-4687.5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35"/>
      <c r="R104" s="235"/>
      <c r="S104" s="235"/>
    </row>
    <row r="105" spans="1:19" ht="17.25" thickBot="1">
      <c r="A105" s="162" t="s">
        <v>196</v>
      </c>
      <c r="B105" s="126">
        <v>9.16</v>
      </c>
      <c r="C105" s="77">
        <v>6.3879210199999995E-2</v>
      </c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>
        <v>8.69</v>
      </c>
      <c r="K105" s="32">
        <f t="shared" si="52"/>
        <v>-5.1310043668122342E-2</v>
      </c>
      <c r="L105" s="18">
        <f>IF(ISNUMBER(J105), $B118 * K105, "")</f>
        <v>-5131.0043668122344</v>
      </c>
      <c r="M105" s="31"/>
      <c r="N105" s="32" t="str">
        <f t="shared" si="53"/>
        <v/>
      </c>
      <c r="O105" s="18" t="str">
        <f>IF(ISNUMBER(M105), $B118 * N105, "")</f>
        <v/>
      </c>
      <c r="Q105" s="235"/>
      <c r="R105" s="235"/>
      <c r="S105" s="235"/>
    </row>
    <row r="106" spans="1:19" ht="17.25" thickBot="1">
      <c r="A106" s="162" t="s">
        <v>282</v>
      </c>
      <c r="B106" s="126">
        <v>63.2</v>
      </c>
      <c r="C106" s="77">
        <v>6.0402684599999999E-2</v>
      </c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>
        <v>54.3</v>
      </c>
      <c r="K106" s="32">
        <f t="shared" si="52"/>
        <v>-0.14082278481012667</v>
      </c>
      <c r="L106" s="18">
        <f>IF(ISNUMBER(J106), $B118 * K106, "")</f>
        <v>-14082.278481012667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54</v>
      </c>
      <c r="B107" s="131">
        <v>246</v>
      </c>
      <c r="C107" s="79">
        <v>4.6808510599999999E-2</v>
      </c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>
        <v>231</v>
      </c>
      <c r="K107" s="25">
        <f t="shared" si="52"/>
        <v>-6.097560975609756E-2</v>
      </c>
      <c r="L107" s="104">
        <f>IF(ISNUMBER(J107), $B118 * K107, "")</f>
        <v>-6097.5609756097556</v>
      </c>
      <c r="M107" s="102"/>
      <c r="N107" s="25" t="str">
        <f t="shared" si="53"/>
        <v/>
      </c>
      <c r="O107" s="104" t="str">
        <f>IF(ISNUMBER(M107), $B118 * N107, "")</f>
        <v/>
      </c>
      <c r="Q107" s="236"/>
      <c r="R107" s="237"/>
      <c r="S107" s="238"/>
    </row>
    <row r="108" spans="1:19">
      <c r="A108" s="161" t="s">
        <v>154</v>
      </c>
      <c r="B108" s="124">
        <v>9.09</v>
      </c>
      <c r="C108" s="76">
        <v>4.4827586199999998E-2</v>
      </c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>
        <v>8.6199999999999992</v>
      </c>
      <c r="K108" s="14">
        <f>IF(ISNUMBER(J108), (J108 - $B108) / $B108, "")</f>
        <v>-5.1705170517051778E-2</v>
      </c>
      <c r="L108" s="16">
        <f>IF(ISNUMBER(J108), $B118 * K108, "")</f>
        <v>-5170.5170517051774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39"/>
      <c r="R108" s="240"/>
      <c r="S108" s="241"/>
    </row>
    <row r="109" spans="1:19" ht="17.25" thickBot="1">
      <c r="A109" s="162" t="s">
        <v>266</v>
      </c>
      <c r="B109" s="126">
        <v>56.3</v>
      </c>
      <c r="C109" s="77">
        <v>4.0665434399999999E-2</v>
      </c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>
        <v>53.2</v>
      </c>
      <c r="K109" s="32">
        <f t="shared" ref="K109:K112" si="56">IF(ISNUMBER(J109), (J109 - $B109) / $B109, "")</f>
        <v>-5.5062166962699721E-2</v>
      </c>
      <c r="L109" s="18">
        <f>IF(ISNUMBER(J109), $B118 * K109, "")</f>
        <v>-5506.2166962699721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42"/>
      <c r="R109" s="243"/>
      <c r="S109" s="244"/>
    </row>
    <row r="110" spans="1:19" ht="17.25" thickBot="1">
      <c r="A110" s="162" t="s">
        <v>200</v>
      </c>
      <c r="B110" s="126">
        <v>168</v>
      </c>
      <c r="C110" s="77">
        <v>3.7037037000000002E-2</v>
      </c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>
        <v>170</v>
      </c>
      <c r="K110" s="32">
        <f t="shared" si="56"/>
        <v>1.1904761904761904E-2</v>
      </c>
      <c r="L110" s="18">
        <f>IF(ISNUMBER(J110), $B118 * K110, "")</f>
        <v>1190.4761904761904</v>
      </c>
      <c r="M110" s="31"/>
      <c r="N110" s="32" t="str">
        <f t="shared" si="57"/>
        <v/>
      </c>
      <c r="O110" s="18" t="str">
        <f>IF(ISNUMBER(M110), $B118 * N110, "")</f>
        <v/>
      </c>
      <c r="Q110" s="235"/>
      <c r="R110" s="235"/>
      <c r="S110" s="235"/>
    </row>
    <row r="111" spans="1:19" ht="17.25" thickBot="1">
      <c r="A111" s="162" t="s">
        <v>172</v>
      </c>
      <c r="B111" s="126">
        <v>5.19</v>
      </c>
      <c r="C111" s="77">
        <v>3.5928143699999998E-2</v>
      </c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>
        <v>4.7300000000000004</v>
      </c>
      <c r="K111" s="32">
        <f t="shared" si="56"/>
        <v>-8.8631984585741799E-2</v>
      </c>
      <c r="L111" s="18">
        <f>IF(ISNUMBER(J111), $B118 * K111, "")</f>
        <v>-8863.1984585741793</v>
      </c>
      <c r="M111" s="31"/>
      <c r="N111" s="32" t="str">
        <f t="shared" si="57"/>
        <v/>
      </c>
      <c r="O111" s="18" t="str">
        <f>IF(ISNUMBER(M111), $B118 * N111, "")</f>
        <v/>
      </c>
      <c r="Q111" s="245"/>
      <c r="R111" s="245"/>
      <c r="S111" s="245"/>
    </row>
    <row r="112" spans="1:19" ht="17.25" thickBot="1">
      <c r="A112" s="163" t="s">
        <v>122</v>
      </c>
      <c r="B112" s="128">
        <v>24.2</v>
      </c>
      <c r="C112" s="78">
        <v>3.4188034200000002E-2</v>
      </c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>
        <v>23.8</v>
      </c>
      <c r="K112" s="21">
        <f t="shared" si="56"/>
        <v>-1.6528925619834652E-2</v>
      </c>
      <c r="L112" s="22">
        <f>IF(ISNUMBER(J112), $B118 * K112, "")</f>
        <v>-1652.8925619834652</v>
      </c>
      <c r="M112" s="30"/>
      <c r="N112" s="21" t="str">
        <f t="shared" si="57"/>
        <v/>
      </c>
      <c r="O112" s="22" t="str">
        <f>IF(ISNUMBER(M112), $B118 * N112, "")</f>
        <v/>
      </c>
      <c r="Q112" s="245"/>
      <c r="R112" s="245"/>
      <c r="S112" s="245"/>
    </row>
    <row r="113" spans="1:19" ht="17.25" thickBot="1">
      <c r="A113" s="162" t="s">
        <v>256</v>
      </c>
      <c r="B113" s="129">
        <v>150</v>
      </c>
      <c r="C113" s="80">
        <v>2.73972603E-2</v>
      </c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>
        <v>143</v>
      </c>
      <c r="K113" s="107">
        <f>IF(ISNUMBER(J113), (J113 - $B113) / $B113, "")</f>
        <v>-4.6666666666666669E-2</v>
      </c>
      <c r="L113" s="108">
        <f>IF(ISNUMBER(J113), $B118 * K113, "")</f>
        <v>-4666.666666666667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35"/>
      <c r="R113" s="235"/>
      <c r="S113" s="235"/>
    </row>
    <row r="114" spans="1:19" ht="17.25" thickBot="1">
      <c r="A114" s="162" t="s">
        <v>164</v>
      </c>
      <c r="B114" s="126">
        <v>18460</v>
      </c>
      <c r="C114" s="77">
        <v>2.7267668299999999E-2</v>
      </c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>
        <v>18870</v>
      </c>
      <c r="K114" s="32">
        <f t="shared" ref="K114:K117" si="60">IF(ISNUMBER(J114), (J114 - $B114) / $B114, "")</f>
        <v>2.2210184182015168E-2</v>
      </c>
      <c r="L114" s="18">
        <f>IF(ISNUMBER(J114), $B118 * K114, "")</f>
        <v>2221.0184182015169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35"/>
      <c r="R114" s="235"/>
      <c r="S114" s="235"/>
    </row>
    <row r="115" spans="1:19" ht="17.25" thickBot="1">
      <c r="A115" s="162" t="s">
        <v>80</v>
      </c>
      <c r="B115" s="126">
        <v>793</v>
      </c>
      <c r="C115" s="77">
        <v>2.72020725E-2</v>
      </c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>
        <v>770</v>
      </c>
      <c r="K115" s="32">
        <f t="shared" si="60"/>
        <v>-2.9003783102143757E-2</v>
      </c>
      <c r="L115" s="18">
        <f>IF(ISNUMBER(J115), $B118 * K115, "")</f>
        <v>-2900.3783102143757</v>
      </c>
      <c r="M115" s="31"/>
      <c r="N115" s="32" t="str">
        <f t="shared" si="61"/>
        <v/>
      </c>
      <c r="O115" s="18" t="str">
        <f>IF(ISNUMBER(M115), $B118 * N115, "")</f>
        <v/>
      </c>
      <c r="Q115" s="235"/>
      <c r="R115" s="235"/>
      <c r="S115" s="235"/>
    </row>
    <row r="116" spans="1:19">
      <c r="A116" s="162" t="s">
        <v>268</v>
      </c>
      <c r="B116" s="126">
        <v>30.2</v>
      </c>
      <c r="C116" s="77">
        <v>2.3728813599999999E-2</v>
      </c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>
        <v>26.4</v>
      </c>
      <c r="K116" s="32">
        <f t="shared" si="60"/>
        <v>-0.12582781456953646</v>
      </c>
      <c r="L116" s="18">
        <f>IF(ISNUMBER(J116), $B118 * K116, "")</f>
        <v>-12582.781456953646</v>
      </c>
      <c r="M116" s="31"/>
      <c r="N116" s="32" t="str">
        <f t="shared" si="61"/>
        <v/>
      </c>
      <c r="O116" s="18" t="str">
        <f>IF(ISNUMBER(M116), $B118 * N116, "")</f>
        <v/>
      </c>
      <c r="Q116" s="224"/>
      <c r="R116" s="225"/>
      <c r="S116" s="226"/>
    </row>
    <row r="117" spans="1:19" ht="17.25" thickBot="1">
      <c r="A117" s="130" t="s">
        <v>212</v>
      </c>
      <c r="B117" s="131">
        <v>58.2</v>
      </c>
      <c r="C117" s="79">
        <v>2.10526316E-2</v>
      </c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>
        <v>54.8</v>
      </c>
      <c r="K117" s="25">
        <f t="shared" si="60"/>
        <v>-5.8419243986254393E-2</v>
      </c>
      <c r="L117" s="104">
        <f>IF(ISNUMBER(J117), $B118 * K117, "")</f>
        <v>-5841.9243986254396</v>
      </c>
      <c r="M117" s="102"/>
      <c r="N117" s="25" t="str">
        <f t="shared" si="61"/>
        <v/>
      </c>
      <c r="O117" s="104" t="str">
        <f>IF(ISNUMBER(M117), $B118 * N117, "")</f>
        <v/>
      </c>
      <c r="Q117" s="227"/>
      <c r="R117" s="228"/>
      <c r="S117" s="229"/>
    </row>
    <row r="118" spans="1:19" ht="17.25" thickBot="1">
      <c r="A118" s="132" t="s">
        <v>300</v>
      </c>
      <c r="B118" s="288">
        <f>$B$37</f>
        <v>100000</v>
      </c>
      <c r="C118" s="289"/>
      <c r="D118" s="26" t="s">
        <v>301</v>
      </c>
      <c r="E118" s="27">
        <f>IF(COUNT(E98:E117), SUM(E98:E117) / COUNT(E98:E117), 0)</f>
        <v>0</v>
      </c>
      <c r="F118" s="28">
        <f>SUM(F98:F117)</f>
        <v>0</v>
      </c>
      <c r="G118" s="26" t="s">
        <v>301</v>
      </c>
      <c r="H118" s="27">
        <f>IF(COUNT(H98:H117), SUM(H98:H117) / COUNT(H98:H117), 0)</f>
        <v>0</v>
      </c>
      <c r="I118" s="28">
        <f>SUM(I98:I117)</f>
        <v>0</v>
      </c>
      <c r="J118" s="26" t="s">
        <v>301</v>
      </c>
      <c r="K118" s="27">
        <f>IF(COUNT(K98:K117), SUM(K98:K117) / COUNT(K98:K117), 0)</f>
        <v>-6.269675519289071E-2</v>
      </c>
      <c r="L118" s="28">
        <f>SUM(L98:L117)</f>
        <v>-125393.51038578144</v>
      </c>
      <c r="M118" s="26" t="s">
        <v>301</v>
      </c>
      <c r="N118" s="27">
        <f>IF(COUNT(N98:N117), SUM(N98:N117) / COUNT(N98:N117), 0)</f>
        <v>0</v>
      </c>
      <c r="O118" s="28">
        <f>SUM(O98:O117)</f>
        <v>0</v>
      </c>
      <c r="Q118" s="230"/>
      <c r="R118" s="231"/>
      <c r="S118" s="232"/>
    </row>
    <row r="120" spans="1:19" ht="17.25" thickBot="1"/>
    <row r="121" spans="1:19" ht="17.25" thickBot="1">
      <c r="A121" s="246" t="s">
        <v>288</v>
      </c>
      <c r="B121" s="247"/>
      <c r="C121" s="247"/>
      <c r="D121" s="247"/>
      <c r="E121" s="247"/>
      <c r="F121" s="247"/>
      <c r="G121" s="247"/>
      <c r="H121" s="247"/>
      <c r="I121" s="247"/>
      <c r="J121" s="247"/>
      <c r="K121" s="247"/>
      <c r="L121" s="247"/>
      <c r="M121" s="247"/>
      <c r="N121" s="247"/>
      <c r="O121" s="248"/>
      <c r="Q121" s="245"/>
      <c r="R121" s="245"/>
      <c r="S121" s="245"/>
    </row>
    <row r="122" spans="1:19" ht="17.25" thickBot="1">
      <c r="A122" s="220" t="s">
        <v>297</v>
      </c>
      <c r="B122" s="246" t="s">
        <v>49</v>
      </c>
      <c r="C122" s="248"/>
      <c r="D122" s="246" t="s">
        <v>58</v>
      </c>
      <c r="E122" s="247"/>
      <c r="F122" s="248"/>
      <c r="G122" s="249">
        <f>_xlfn.IFNA(VLOOKUP(B122, 현재가테이블!$B$2:$D$200, 2, FALSE), "-")</f>
        <v>45335000</v>
      </c>
      <c r="H122" s="250"/>
      <c r="I122" s="251"/>
      <c r="J122" s="246" t="s">
        <v>59</v>
      </c>
      <c r="K122" s="247"/>
      <c r="L122" s="248"/>
      <c r="M122" s="252">
        <f>_xlfn.IFNA(VLOOKUP(B122, 현재가테이블!$B$2:$D$200, 3, FALSE), "-")</f>
        <v>-2.27209037E-2</v>
      </c>
      <c r="N122" s="253"/>
      <c r="O122" s="254"/>
      <c r="Q122" s="245"/>
      <c r="R122" s="245"/>
      <c r="S122" s="245"/>
    </row>
    <row r="123" spans="1:19" ht="17.25" thickBot="1">
      <c r="A123" s="290" t="s">
        <v>55</v>
      </c>
      <c r="B123" s="286" t="str">
        <f>TEXT($G$1, "[$-ko-KR]yyyy-mm-dd(ddd) ") &amp; "오전 00:00"</f>
        <v>2021-06-16(수) 오전 00:00</v>
      </c>
      <c r="C123" s="287"/>
      <c r="D123" s="259" t="str">
        <f>TEXT($G$1, "[$-ko-KR]yyyy-mm-dd(ddd) ") &amp; "오후 14:00"</f>
        <v>2021-06-16(수) 오후 14:00</v>
      </c>
      <c r="E123" s="260"/>
      <c r="F123" s="261"/>
      <c r="G123" s="259" t="str">
        <f>TEXT($G$1, "[$-ko-KR]yyyy-mm-dd(ddd) ") &amp; "오후 19:00"</f>
        <v>2021-06-16(수) 오후 19:00</v>
      </c>
      <c r="H123" s="260"/>
      <c r="I123" s="261"/>
      <c r="J123" s="259" t="str">
        <f>TEXT($G$1, "[$-ko-KR]yyyy-mm-dd(ddd) ") &amp; "오후 21:00"</f>
        <v>2021-06-16(수) 오후 21:00</v>
      </c>
      <c r="K123" s="260"/>
      <c r="L123" s="261"/>
      <c r="M123" s="259" t="str">
        <f>TEXT($G$1+1, "[$-ko-KR]yyyy-mm-dd(ddd) ") &amp; "오전 00:00"</f>
        <v>2021-06-17(목) 오전 00:00</v>
      </c>
      <c r="N123" s="260"/>
      <c r="O123" s="261"/>
      <c r="Q123" s="245"/>
      <c r="R123" s="245"/>
      <c r="S123" s="245"/>
    </row>
    <row r="124" spans="1:19" ht="17.25" thickBot="1">
      <c r="A124" s="291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221" t="s">
        <v>58</v>
      </c>
      <c r="H124" s="222" t="s">
        <v>298</v>
      </c>
      <c r="I124" s="223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5"/>
      <c r="R124" s="235"/>
      <c r="S124" s="235"/>
    </row>
    <row r="125" spans="1:19" ht="17.25" thickBot="1">
      <c r="A125" s="161" t="s">
        <v>218</v>
      </c>
      <c r="B125" s="124">
        <v>6.12</v>
      </c>
      <c r="C125" s="76">
        <v>0</v>
      </c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>
        <v>5.46</v>
      </c>
      <c r="K125" s="14">
        <f>IF(ISNUMBER(J125), (J125 - $B125) / $B125, "")</f>
        <v>-0.10784313725490198</v>
      </c>
      <c r="L125" s="16">
        <f>IF(ISNUMBER(J125), $B145 * K125, "")</f>
        <v>-10784.313725490198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45"/>
      <c r="R125" s="245"/>
      <c r="S125" s="245"/>
    </row>
    <row r="126" spans="1:19" ht="17.25" thickBot="1">
      <c r="A126" s="162" t="s">
        <v>156</v>
      </c>
      <c r="B126" s="126">
        <v>82.3</v>
      </c>
      <c r="C126" s="77">
        <v>-6.0386473E-3</v>
      </c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>
        <v>81.2</v>
      </c>
      <c r="K126" s="32">
        <f t="shared" ref="K126:K129" si="64">IF(ISNUMBER(J126), (J126 - $B126) / $B126, "")</f>
        <v>-1.3365735115431281E-2</v>
      </c>
      <c r="L126" s="18">
        <f>IF(ISNUMBER(J126), $B145 * K126, "")</f>
        <v>-1336.573511543128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45"/>
      <c r="R126" s="245"/>
      <c r="S126" s="245"/>
    </row>
    <row r="127" spans="1:19" ht="17.25" thickBot="1">
      <c r="A127" s="162" t="s">
        <v>278</v>
      </c>
      <c r="B127" s="126">
        <v>70.7</v>
      </c>
      <c r="C127" s="77">
        <v>-8.4151473000000001E-3</v>
      </c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>
        <v>69.900000000000006</v>
      </c>
      <c r="K127" s="32">
        <f t="shared" si="64"/>
        <v>-1.1315417256011274E-2</v>
      </c>
      <c r="L127" s="18">
        <f>IF(ISNUMBER(J127), $B145 * K127, "")</f>
        <v>-1131.5417256011274</v>
      </c>
      <c r="M127" s="31"/>
      <c r="N127" s="32" t="str">
        <f t="shared" si="65"/>
        <v/>
      </c>
      <c r="O127" s="18" t="str">
        <f>IF(ISNUMBER(M127), $B145 * N127, "")</f>
        <v/>
      </c>
      <c r="Q127" s="235"/>
      <c r="R127" s="235"/>
      <c r="S127" s="235"/>
    </row>
    <row r="128" spans="1:19" ht="17.25" thickBot="1">
      <c r="A128" s="162" t="s">
        <v>230</v>
      </c>
      <c r="B128" s="126">
        <v>93.3</v>
      </c>
      <c r="C128" s="77">
        <v>-8.5015939999999995E-3</v>
      </c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>
        <v>90.7</v>
      </c>
      <c r="K128" s="32">
        <f t="shared" si="64"/>
        <v>-2.7867095391211086E-2</v>
      </c>
      <c r="L128" s="18">
        <f>IF(ISNUMBER(J128), $B145 * K128, "")</f>
        <v>-2786.7095391211087</v>
      </c>
      <c r="M128" s="31"/>
      <c r="N128" s="32" t="str">
        <f t="shared" si="65"/>
        <v/>
      </c>
      <c r="O128" s="18" t="str">
        <f>IF(ISNUMBER(M128), $B145 * N128, "")</f>
        <v/>
      </c>
      <c r="Q128" s="235"/>
      <c r="R128" s="235"/>
      <c r="S128" s="235"/>
    </row>
    <row r="129" spans="1:19" ht="17.25" thickBot="1">
      <c r="A129" s="163" t="s">
        <v>134</v>
      </c>
      <c r="B129" s="128">
        <v>80.5</v>
      </c>
      <c r="C129" s="78">
        <v>-9.8400984000000004E-3</v>
      </c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>
        <v>77.900000000000006</v>
      </c>
      <c r="K129" s="21">
        <f t="shared" si="64"/>
        <v>-3.2298136645962663E-2</v>
      </c>
      <c r="L129" s="22">
        <f>IF(ISNUMBER(J129), $B145 * K129, "")</f>
        <v>-3229.8136645962663</v>
      </c>
      <c r="M129" s="30"/>
      <c r="N129" s="21" t="str">
        <f t="shared" si="65"/>
        <v/>
      </c>
      <c r="O129" s="22" t="str">
        <f>IF(ISNUMBER(M129), $B145 * N129, "")</f>
        <v/>
      </c>
      <c r="Q129" s="235"/>
      <c r="R129" s="235"/>
      <c r="S129" s="235"/>
    </row>
    <row r="130" spans="1:19" ht="17.25" thickBot="1">
      <c r="A130" s="162" t="s">
        <v>126</v>
      </c>
      <c r="B130" s="129">
        <v>25.4</v>
      </c>
      <c r="C130" s="80">
        <v>-1.16731518E-2</v>
      </c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>
        <v>24.4</v>
      </c>
      <c r="K130" s="107">
        <f>IF(ISNUMBER(J130), (J130 - $B130) / $B130, "")</f>
        <v>-3.937007874015748E-2</v>
      </c>
      <c r="L130" s="108">
        <f>IF(ISNUMBER(J130), $B145 * K130, "")</f>
        <v>-3937.0078740157478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35"/>
      <c r="R130" s="235"/>
      <c r="S130" s="235"/>
    </row>
    <row r="131" spans="1:19" ht="17.25" thickBot="1">
      <c r="A131" s="162" t="s">
        <v>100</v>
      </c>
      <c r="B131" s="126">
        <v>4</v>
      </c>
      <c r="C131" s="77">
        <v>-1.47783251E-2</v>
      </c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>
        <v>3.9</v>
      </c>
      <c r="K131" s="32">
        <f t="shared" ref="K131:K134" si="68">IF(ISNUMBER(J131), (J131 - $B131) / $B131, "")</f>
        <v>-2.5000000000000022E-2</v>
      </c>
      <c r="L131" s="18">
        <f>IF(ISNUMBER(J131), $B145 * K131, "")</f>
        <v>-2500.0000000000023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35"/>
      <c r="R131" s="235"/>
      <c r="S131" s="235"/>
    </row>
    <row r="132" spans="1:19" ht="17.25" thickBot="1">
      <c r="A132" s="162" t="s">
        <v>152</v>
      </c>
      <c r="B132" s="126">
        <v>18.3</v>
      </c>
      <c r="C132" s="77">
        <v>-1.6129032299999999E-2</v>
      </c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>
        <v>17.7</v>
      </c>
      <c r="K132" s="32">
        <f t="shared" si="68"/>
        <v>-3.2786885245901717E-2</v>
      </c>
      <c r="L132" s="18">
        <f>IF(ISNUMBER(J132), $B145 * K132, "")</f>
        <v>-3278.6885245901717</v>
      </c>
      <c r="M132" s="31"/>
      <c r="N132" s="32" t="str">
        <f t="shared" si="69"/>
        <v/>
      </c>
      <c r="O132" s="18" t="str">
        <f>IF(ISNUMBER(M132), $B145 * N132, "")</f>
        <v/>
      </c>
      <c r="Q132" s="235"/>
      <c r="R132" s="235"/>
      <c r="S132" s="235"/>
    </row>
    <row r="133" spans="1:19" ht="17.25" thickBot="1">
      <c r="A133" s="162" t="s">
        <v>260</v>
      </c>
      <c r="B133" s="126">
        <v>59.1</v>
      </c>
      <c r="C133" s="77">
        <v>-1.6638935099999998E-2</v>
      </c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>
        <v>57.3</v>
      </c>
      <c r="K133" s="32">
        <f t="shared" si="68"/>
        <v>-3.0456852791878243E-2</v>
      </c>
      <c r="L133" s="18">
        <f>IF(ISNUMBER(J133), $B145 * K133, "")</f>
        <v>-3045.6852791878241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168</v>
      </c>
      <c r="B134" s="131">
        <v>84.2</v>
      </c>
      <c r="C134" s="79">
        <v>-1.86480186E-2</v>
      </c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>
        <v>82.6</v>
      </c>
      <c r="K134" s="25">
        <f t="shared" si="68"/>
        <v>-1.9002375296912215E-2</v>
      </c>
      <c r="L134" s="104">
        <f>IF(ISNUMBER(J134), $B145 * K134, "")</f>
        <v>-1900.2375296912217</v>
      </c>
      <c r="M134" s="102"/>
      <c r="N134" s="25" t="str">
        <f t="shared" si="69"/>
        <v/>
      </c>
      <c r="O134" s="104" t="str">
        <f>IF(ISNUMBER(M134), $B145 * N134, "")</f>
        <v/>
      </c>
      <c r="Q134" s="236"/>
      <c r="R134" s="237"/>
      <c r="S134" s="238"/>
    </row>
    <row r="135" spans="1:19">
      <c r="A135" s="161" t="s">
        <v>240</v>
      </c>
      <c r="B135" s="124">
        <v>88.9</v>
      </c>
      <c r="C135" s="76">
        <v>-1.8763796900000001E-2</v>
      </c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>
        <v>88.2</v>
      </c>
      <c r="K135" s="14">
        <f>IF(ISNUMBER(J135), (J135 - $B135) / $B135, "")</f>
        <v>-7.8740157480315272E-3</v>
      </c>
      <c r="L135" s="16">
        <f>IF(ISNUMBER(J135), $B145 * K135, "")</f>
        <v>-787.4015748031527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39"/>
      <c r="R135" s="240"/>
      <c r="S135" s="241"/>
    </row>
    <row r="136" spans="1:19" ht="17.25" thickBot="1">
      <c r="A136" s="162" t="s">
        <v>186</v>
      </c>
      <c r="B136" s="126">
        <v>14.7</v>
      </c>
      <c r="C136" s="77">
        <v>-0.02</v>
      </c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>
        <v>14.3</v>
      </c>
      <c r="K136" s="32">
        <f t="shared" ref="K136:K139" si="72">IF(ISNUMBER(J136), (J136 - $B136) / $B136, "")</f>
        <v>-2.7210884353741402E-2</v>
      </c>
      <c r="L136" s="18">
        <f>IF(ISNUMBER(J136), $B145 * K136, "")</f>
        <v>-2721.0884353741403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42"/>
      <c r="R136" s="243"/>
      <c r="S136" s="244"/>
    </row>
    <row r="137" spans="1:19" ht="17.25" thickBot="1">
      <c r="A137" s="162" t="s">
        <v>72</v>
      </c>
      <c r="B137" s="126">
        <v>19.100000000000001</v>
      </c>
      <c r="C137" s="77">
        <v>-2.0512820500000001E-2</v>
      </c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>
        <v>18.7</v>
      </c>
      <c r="K137" s="32">
        <f t="shared" si="72"/>
        <v>-2.094240837696346E-2</v>
      </c>
      <c r="L137" s="18">
        <f>IF(ISNUMBER(J137), $B145 * K137, "")</f>
        <v>-2094.2408376963458</v>
      </c>
      <c r="M137" s="31"/>
      <c r="N137" s="32" t="str">
        <f t="shared" si="73"/>
        <v/>
      </c>
      <c r="O137" s="18" t="str">
        <f>IF(ISNUMBER(M137), $B145 * N137, "")</f>
        <v/>
      </c>
      <c r="Q137" s="235"/>
      <c r="R137" s="235"/>
      <c r="S137" s="235"/>
    </row>
    <row r="138" spans="1:19" ht="17.25" thickBot="1">
      <c r="A138" s="162" t="s">
        <v>202</v>
      </c>
      <c r="B138" s="126">
        <v>90</v>
      </c>
      <c r="C138" s="77">
        <v>-2.1739130400000001E-2</v>
      </c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>
        <v>87.8</v>
      </c>
      <c r="K138" s="32">
        <f t="shared" si="72"/>
        <v>-2.4444444444444477E-2</v>
      </c>
      <c r="L138" s="18">
        <f>IF(ISNUMBER(J138), $B145 * K138, "")</f>
        <v>-2444.4444444444475</v>
      </c>
      <c r="M138" s="31"/>
      <c r="N138" s="32" t="str">
        <f t="shared" si="73"/>
        <v/>
      </c>
      <c r="O138" s="18" t="str">
        <f>IF(ISNUMBER(M138), $B145 * N138, "")</f>
        <v/>
      </c>
      <c r="Q138" s="245"/>
      <c r="R138" s="245"/>
      <c r="S138" s="245"/>
    </row>
    <row r="139" spans="1:19" ht="17.25" thickBot="1">
      <c r="A139" s="163" t="s">
        <v>220</v>
      </c>
      <c r="B139" s="128">
        <v>9.9600000000000009</v>
      </c>
      <c r="C139" s="78">
        <v>-2.35294118E-2</v>
      </c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>
        <v>9.56</v>
      </c>
      <c r="K139" s="21">
        <f t="shared" si="72"/>
        <v>-4.0160642570281159E-2</v>
      </c>
      <c r="L139" s="22">
        <f>IF(ISNUMBER(J139), $B145 * K139, "")</f>
        <v>-4016.0642570281161</v>
      </c>
      <c r="M139" s="30"/>
      <c r="N139" s="21" t="str">
        <f t="shared" si="73"/>
        <v/>
      </c>
      <c r="O139" s="22" t="str">
        <f>IF(ISNUMBER(M139), $B145 * N139, "")</f>
        <v/>
      </c>
      <c r="Q139" s="245"/>
      <c r="R139" s="245"/>
      <c r="S139" s="245"/>
    </row>
    <row r="140" spans="1:19" ht="17.25" thickBot="1">
      <c r="A140" s="162" t="s">
        <v>65</v>
      </c>
      <c r="B140" s="129">
        <v>32.799999999999997</v>
      </c>
      <c r="C140" s="80">
        <v>-2.67062315E-2</v>
      </c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>
        <v>32.200000000000003</v>
      </c>
      <c r="K140" s="107">
        <f>IF(ISNUMBER(J140), (J140 - $B140) / $B140, "")</f>
        <v>-1.8292682926829097E-2</v>
      </c>
      <c r="L140" s="108">
        <f>IF(ISNUMBER(J140), $B145 * K140, "")</f>
        <v>-1829.2682926829098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35"/>
      <c r="R140" s="235"/>
      <c r="S140" s="235"/>
    </row>
    <row r="141" spans="1:19" ht="17.25" thickBot="1">
      <c r="A141" s="162" t="s">
        <v>148</v>
      </c>
      <c r="B141" s="126">
        <v>98.2</v>
      </c>
      <c r="C141" s="77">
        <v>-2.77227723E-2</v>
      </c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>
        <v>93.9</v>
      </c>
      <c r="K141" s="32">
        <f t="shared" ref="K141:K144" si="76">IF(ISNUMBER(J141), (J141 - $B141) / $B141, "")</f>
        <v>-4.3788187372708724E-2</v>
      </c>
      <c r="L141" s="18">
        <f>IF(ISNUMBER(J141), $B145 * K141, "")</f>
        <v>-4378.8187372708726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5"/>
      <c r="R141" s="235"/>
      <c r="S141" s="235"/>
    </row>
    <row r="142" spans="1:19" ht="17.25" thickBot="1">
      <c r="A142" s="162" t="s">
        <v>264</v>
      </c>
      <c r="B142" s="126">
        <v>74.5</v>
      </c>
      <c r="C142" s="77">
        <v>-3.1209362800000001E-2</v>
      </c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>
        <v>71.099999999999994</v>
      </c>
      <c r="K142" s="32">
        <f t="shared" si="76"/>
        <v>-4.5637583892617524E-2</v>
      </c>
      <c r="L142" s="18">
        <f>IF(ISNUMBER(J142), $B145 * K142, "")</f>
        <v>-4563.7583892617522</v>
      </c>
      <c r="M142" s="31"/>
      <c r="N142" s="32" t="str">
        <f t="shared" si="77"/>
        <v/>
      </c>
      <c r="O142" s="18" t="str">
        <f>IF(ISNUMBER(M142), $B145 * N142, "")</f>
        <v/>
      </c>
      <c r="Q142" s="235"/>
      <c r="R142" s="235"/>
      <c r="S142" s="235"/>
    </row>
    <row r="143" spans="1:19">
      <c r="A143" s="162" t="s">
        <v>208</v>
      </c>
      <c r="B143" s="126">
        <v>98.4</v>
      </c>
      <c r="C143" s="77">
        <v>-3.5294117600000001E-2</v>
      </c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>
        <v>88.9</v>
      </c>
      <c r="K143" s="32">
        <f t="shared" si="76"/>
        <v>-9.6544715447154469E-2</v>
      </c>
      <c r="L143" s="18">
        <f>IF(ISNUMBER(J143), $B145 * K143, "")</f>
        <v>-9654.4715447154467</v>
      </c>
      <c r="M143" s="31"/>
      <c r="N143" s="32" t="str">
        <f t="shared" si="77"/>
        <v/>
      </c>
      <c r="O143" s="18" t="str">
        <f>IF(ISNUMBER(M143), $B145 * N143, "")</f>
        <v/>
      </c>
      <c r="Q143" s="224"/>
      <c r="R143" s="225"/>
      <c r="S143" s="226"/>
    </row>
    <row r="144" spans="1:19" ht="17.25" thickBot="1">
      <c r="A144" s="130" t="s">
        <v>232</v>
      </c>
      <c r="B144" s="131">
        <v>92.6</v>
      </c>
      <c r="C144" s="79">
        <v>-3.8421599200000003E-2</v>
      </c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>
        <v>103</v>
      </c>
      <c r="K144" s="25">
        <f t="shared" si="76"/>
        <v>0.11231101511879056</v>
      </c>
      <c r="L144" s="104">
        <f>IF(ISNUMBER(J144), $B145 * K144, "")</f>
        <v>11231.101511879056</v>
      </c>
      <c r="M144" s="102"/>
      <c r="N144" s="25" t="str">
        <f t="shared" si="77"/>
        <v/>
      </c>
      <c r="O144" s="104" t="str">
        <f>IF(ISNUMBER(M144), $B145 * N144, "")</f>
        <v/>
      </c>
      <c r="Q144" s="227"/>
      <c r="R144" s="228"/>
      <c r="S144" s="229"/>
    </row>
    <row r="145" spans="1:19" ht="17.25" thickBot="1">
      <c r="A145" s="132" t="s">
        <v>300</v>
      </c>
      <c r="B145" s="288">
        <f>$B$37</f>
        <v>100000</v>
      </c>
      <c r="C145" s="289"/>
      <c r="D145" s="26" t="s">
        <v>301</v>
      </c>
      <c r="E145" s="27">
        <f>IF(COUNT(E125:E144), SUM(E125:E144) / COUNT(E125:E144), 0)</f>
        <v>0</v>
      </c>
      <c r="F145" s="28">
        <f>SUM(F125:F144)</f>
        <v>0</v>
      </c>
      <c r="G145" s="26" t="s">
        <v>301</v>
      </c>
      <c r="H145" s="27">
        <f>IF(COUNT(H125:H144), SUM(H125:H144) / COUNT(H125:H144), 0)</f>
        <v>0</v>
      </c>
      <c r="I145" s="28">
        <f>SUM(I125:I144)</f>
        <v>0</v>
      </c>
      <c r="J145" s="26" t="s">
        <v>301</v>
      </c>
      <c r="K145" s="27">
        <f>IF(COUNT(K125:K144), SUM(K125:K144) / COUNT(K125:K144), 0)</f>
        <v>-2.7594513187617464E-2</v>
      </c>
      <c r="L145" s="28">
        <f>SUM(L125:L144)</f>
        <v>-55189.026375234927</v>
      </c>
      <c r="M145" s="26" t="s">
        <v>301</v>
      </c>
      <c r="N145" s="27">
        <f>IF(COUNT(N125:N144), SUM(N125:N144) / COUNT(N125:N144), 0)</f>
        <v>0</v>
      </c>
      <c r="O145" s="28">
        <f>SUM(O125:O144)</f>
        <v>0</v>
      </c>
      <c r="Q145" s="230"/>
      <c r="R145" s="231"/>
      <c r="S145" s="232"/>
    </row>
    <row r="147" spans="1:19" ht="17.25" thickBot="1"/>
    <row r="148" spans="1:19" ht="17.25" thickBot="1">
      <c r="A148" s="246" t="s">
        <v>289</v>
      </c>
      <c r="B148" s="247"/>
      <c r="C148" s="247"/>
      <c r="D148" s="247"/>
      <c r="E148" s="247"/>
      <c r="F148" s="247"/>
      <c r="G148" s="247"/>
      <c r="H148" s="247"/>
      <c r="I148" s="247"/>
      <c r="J148" s="247"/>
      <c r="K148" s="247"/>
      <c r="L148" s="247"/>
      <c r="M148" s="247"/>
      <c r="N148" s="247"/>
      <c r="O148" s="248"/>
      <c r="Q148" s="245"/>
      <c r="R148" s="245"/>
      <c r="S148" s="245"/>
    </row>
    <row r="149" spans="1:19" ht="17.25" thickBot="1">
      <c r="A149" s="220" t="s">
        <v>297</v>
      </c>
      <c r="B149" s="246" t="s">
        <v>49</v>
      </c>
      <c r="C149" s="248"/>
      <c r="D149" s="246" t="s">
        <v>58</v>
      </c>
      <c r="E149" s="247"/>
      <c r="F149" s="248"/>
      <c r="G149" s="249">
        <f>_xlfn.IFNA(VLOOKUP(B149, 현재가테이블!$B$2:$D$200, 2, FALSE), "-")</f>
        <v>45335000</v>
      </c>
      <c r="H149" s="250"/>
      <c r="I149" s="251"/>
      <c r="J149" s="246" t="s">
        <v>59</v>
      </c>
      <c r="K149" s="247"/>
      <c r="L149" s="248"/>
      <c r="M149" s="252">
        <f>_xlfn.IFNA(VLOOKUP(B149, 현재가테이블!$B$2:$D$200, 3, FALSE), "-")</f>
        <v>-2.27209037E-2</v>
      </c>
      <c r="N149" s="253"/>
      <c r="O149" s="254"/>
      <c r="Q149" s="245"/>
      <c r="R149" s="245"/>
      <c r="S149" s="245"/>
    </row>
    <row r="150" spans="1:19" ht="17.25" thickBot="1">
      <c r="A150" s="290" t="s">
        <v>55</v>
      </c>
      <c r="B150" s="286" t="str">
        <f>TEXT($G$1, "[$-ko-KR]yyyy-mm-dd(ddd) ") &amp; "오전 00:00"</f>
        <v>2021-06-16(수) 오전 00:00</v>
      </c>
      <c r="C150" s="287"/>
      <c r="D150" s="259" t="str">
        <f>TEXT($G$1, "[$-ko-KR]yyyy-mm-dd(ddd) ") &amp; "오후 14:00"</f>
        <v>2021-06-16(수) 오후 14:00</v>
      </c>
      <c r="E150" s="260"/>
      <c r="F150" s="261"/>
      <c r="G150" s="259" t="str">
        <f>TEXT($G$1, "[$-ko-KR]yyyy-mm-dd(ddd) ") &amp; "오후 19:00"</f>
        <v>2021-06-16(수) 오후 19:00</v>
      </c>
      <c r="H150" s="260"/>
      <c r="I150" s="261"/>
      <c r="J150" s="259" t="str">
        <f>TEXT($G$1, "[$-ko-KR]yyyy-mm-dd(ddd) ") &amp; "오후 21:00"</f>
        <v>2021-06-16(수) 오후 21:00</v>
      </c>
      <c r="K150" s="260"/>
      <c r="L150" s="261"/>
      <c r="M150" s="259" t="str">
        <f>TEXT($G$1+1, "[$-ko-KR]yyyy-mm-dd(ddd) ") &amp; "오전 00:00"</f>
        <v>2021-06-17(목) 오전 00:00</v>
      </c>
      <c r="N150" s="260"/>
      <c r="O150" s="261"/>
      <c r="Q150" s="245"/>
      <c r="R150" s="245"/>
      <c r="S150" s="245"/>
    </row>
    <row r="151" spans="1:19" ht="17.25" thickBot="1">
      <c r="A151" s="291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221" t="s">
        <v>58</v>
      </c>
      <c r="H151" s="222" t="s">
        <v>298</v>
      </c>
      <c r="I151" s="223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5"/>
      <c r="R151" s="235"/>
      <c r="S151" s="235"/>
    </row>
    <row r="152" spans="1:19" ht="17.25" thickBot="1">
      <c r="A152" s="161" t="s">
        <v>182</v>
      </c>
      <c r="B152" s="124">
        <v>234</v>
      </c>
      <c r="C152" s="76">
        <v>-1.6806722699999999E-2</v>
      </c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>
        <v>227</v>
      </c>
      <c r="K152" s="14">
        <f>IF(ISNUMBER(J152), (J152 - $B152) / $B152, "")</f>
        <v>-2.9914529914529916E-2</v>
      </c>
      <c r="L152" s="16">
        <f>IF(ISNUMBER(J152), $B172 * K152, "")</f>
        <v>-2991.4529914529917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45"/>
      <c r="R152" s="245"/>
      <c r="S152" s="245"/>
    </row>
    <row r="153" spans="1:19" ht="17.25" thickBot="1">
      <c r="A153" s="162" t="s">
        <v>61</v>
      </c>
      <c r="B153" s="126">
        <v>802</v>
      </c>
      <c r="C153" s="77">
        <v>-1.7156862700000001E-2</v>
      </c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>
        <v>807</v>
      </c>
      <c r="K153" s="32">
        <f t="shared" ref="K153:K156" si="80">IF(ISNUMBER(J153), (J153 - $B153) / $B153, "")</f>
        <v>6.2344139650872821E-3</v>
      </c>
      <c r="L153" s="18">
        <f>IF(ISNUMBER(J153), $B172 * K153, "")</f>
        <v>623.44139650872819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45"/>
      <c r="R153" s="245"/>
      <c r="S153" s="245"/>
    </row>
    <row r="154" spans="1:19" ht="17.25" thickBot="1">
      <c r="A154" s="162" t="s">
        <v>296</v>
      </c>
      <c r="B154" s="126">
        <v>369</v>
      </c>
      <c r="C154" s="77">
        <v>-1.8617021300000001E-2</v>
      </c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>
        <v>360</v>
      </c>
      <c r="K154" s="32">
        <f t="shared" si="80"/>
        <v>-2.4390243902439025E-2</v>
      </c>
      <c r="L154" s="18">
        <f>IF(ISNUMBER(J154), $B172 * K154, "")</f>
        <v>-2439.0243902439024</v>
      </c>
      <c r="M154" s="31"/>
      <c r="N154" s="32" t="str">
        <f t="shared" si="81"/>
        <v/>
      </c>
      <c r="O154" s="18" t="str">
        <f>IF(ISNUMBER(M154), $B172 * N154, "")</f>
        <v/>
      </c>
      <c r="Q154" s="235"/>
      <c r="R154" s="235"/>
      <c r="S154" s="235"/>
    </row>
    <row r="155" spans="1:19" ht="17.25" thickBot="1">
      <c r="A155" s="162" t="s">
        <v>246</v>
      </c>
      <c r="B155" s="126">
        <v>261</v>
      </c>
      <c r="C155" s="77">
        <v>-1.8796992500000002E-2</v>
      </c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>
        <v>250</v>
      </c>
      <c r="K155" s="32">
        <f t="shared" si="80"/>
        <v>-4.2145593869731802E-2</v>
      </c>
      <c r="L155" s="18">
        <f>IF(ISNUMBER(J155), $B172 * K155, "")</f>
        <v>-4214.5593869731802</v>
      </c>
      <c r="M155" s="31"/>
      <c r="N155" s="32" t="str">
        <f t="shared" si="81"/>
        <v/>
      </c>
      <c r="O155" s="18" t="str">
        <f>IF(ISNUMBER(M155), $B172 * N155, "")</f>
        <v/>
      </c>
      <c r="Q155" s="235"/>
      <c r="R155" s="235"/>
      <c r="S155" s="235"/>
    </row>
    <row r="156" spans="1:19" ht="17.25" thickBot="1">
      <c r="A156" s="163" t="s">
        <v>258</v>
      </c>
      <c r="B156" s="128">
        <v>413</v>
      </c>
      <c r="C156" s="78">
        <v>-1.9002375299999999E-2</v>
      </c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>
        <v>399</v>
      </c>
      <c r="K156" s="21">
        <f t="shared" si="80"/>
        <v>-3.3898305084745763E-2</v>
      </c>
      <c r="L156" s="22">
        <f>IF(ISNUMBER(J156), $B172 * K156, "")</f>
        <v>-3389.8305084745762</v>
      </c>
      <c r="M156" s="30"/>
      <c r="N156" s="21" t="str">
        <f t="shared" si="81"/>
        <v/>
      </c>
      <c r="O156" s="22" t="str">
        <f>IF(ISNUMBER(M156), $B172 * N156, "")</f>
        <v/>
      </c>
      <c r="Q156" s="235"/>
      <c r="R156" s="235"/>
      <c r="S156" s="235"/>
    </row>
    <row r="157" spans="1:19" ht="17.25" thickBot="1">
      <c r="A157" s="162" t="s">
        <v>120</v>
      </c>
      <c r="B157" s="129">
        <v>135</v>
      </c>
      <c r="C157" s="80">
        <v>-2.1739130400000001E-2</v>
      </c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>
        <v>137</v>
      </c>
      <c r="K157" s="107">
        <f>IF(ISNUMBER(J157), (J157 - $B157) / $B157, "")</f>
        <v>1.4814814814814815E-2</v>
      </c>
      <c r="L157" s="108">
        <f>IF(ISNUMBER(J157), $B172 * K157, "")</f>
        <v>1481.4814814814815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35"/>
      <c r="R157" s="235"/>
      <c r="S157" s="235"/>
    </row>
    <row r="158" spans="1:19" ht="17.25" thickBot="1">
      <c r="A158" s="162" t="s">
        <v>226</v>
      </c>
      <c r="B158" s="126">
        <v>216</v>
      </c>
      <c r="C158" s="77">
        <v>-2.2624434400000001E-2</v>
      </c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>
        <v>210</v>
      </c>
      <c r="K158" s="32">
        <f t="shared" ref="K158:K161" si="84">IF(ISNUMBER(J158), (J158 - $B158) / $B158, "")</f>
        <v>-2.7777777777777776E-2</v>
      </c>
      <c r="L158" s="18">
        <f>IF(ISNUMBER(J158), $B172 * K158, "")</f>
        <v>-2777.7777777777778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35"/>
      <c r="R158" s="235"/>
      <c r="S158" s="235"/>
    </row>
    <row r="159" spans="1:19" ht="17.25" thickBot="1">
      <c r="A159" s="162" t="s">
        <v>82</v>
      </c>
      <c r="B159" s="126">
        <v>823</v>
      </c>
      <c r="C159" s="77">
        <v>-2.37247924E-2</v>
      </c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>
        <v>789</v>
      </c>
      <c r="K159" s="32">
        <f t="shared" si="84"/>
        <v>-4.1312272174969626E-2</v>
      </c>
      <c r="L159" s="18">
        <f>IF(ISNUMBER(J159), $B172 * K159, "")</f>
        <v>-4131.227217496963</v>
      </c>
      <c r="M159" s="31"/>
      <c r="N159" s="32" t="str">
        <f t="shared" si="85"/>
        <v/>
      </c>
      <c r="O159" s="18" t="str">
        <f>IF(ISNUMBER(M159), $B172 * N159, "")</f>
        <v/>
      </c>
      <c r="Q159" s="235"/>
      <c r="R159" s="235"/>
      <c r="S159" s="235"/>
    </row>
    <row r="160" spans="1:19" ht="17.25" thickBot="1">
      <c r="A160" s="162" t="s">
        <v>92</v>
      </c>
      <c r="B160" s="126">
        <v>998</v>
      </c>
      <c r="C160" s="77">
        <v>-2.6341463400000001E-2</v>
      </c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>
        <v>976</v>
      </c>
      <c r="K160" s="32">
        <f t="shared" si="84"/>
        <v>-2.2044088176352707E-2</v>
      </c>
      <c r="L160" s="18">
        <f>IF(ISNUMBER(J160), $B172 * K160, "")</f>
        <v>-2204.4088176352707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116</v>
      </c>
      <c r="B161" s="131">
        <v>318</v>
      </c>
      <c r="C161" s="79">
        <v>-2.7522935799999999E-2</v>
      </c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>
        <v>320</v>
      </c>
      <c r="K161" s="25">
        <f t="shared" si="84"/>
        <v>6.2893081761006293E-3</v>
      </c>
      <c r="L161" s="104">
        <f>IF(ISNUMBER(J161), $B172 * K161, "")</f>
        <v>628.93081761006295</v>
      </c>
      <c r="M161" s="102"/>
      <c r="N161" s="25" t="str">
        <f t="shared" si="85"/>
        <v/>
      </c>
      <c r="O161" s="104" t="str">
        <f>IF(ISNUMBER(M161), $B172 * N161, "")</f>
        <v/>
      </c>
      <c r="Q161" s="236"/>
      <c r="R161" s="237"/>
      <c r="S161" s="238"/>
    </row>
    <row r="162" spans="1:19">
      <c r="A162" s="161" t="s">
        <v>280</v>
      </c>
      <c r="B162" s="124">
        <v>836</v>
      </c>
      <c r="C162" s="76">
        <v>-2.7906976699999999E-2</v>
      </c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>
        <v>806</v>
      </c>
      <c r="K162" s="14">
        <f>IF(ISNUMBER(J162), (J162 - $B162) / $B162, "")</f>
        <v>-3.5885167464114832E-2</v>
      </c>
      <c r="L162" s="16">
        <f>IF(ISNUMBER(J162), $B172 * K162, "")</f>
        <v>-3588.5167464114834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39"/>
      <c r="R162" s="240"/>
      <c r="S162" s="241"/>
    </row>
    <row r="163" spans="1:19" ht="17.25" thickBot="1">
      <c r="A163" s="162" t="s">
        <v>51</v>
      </c>
      <c r="B163" s="126">
        <v>383</v>
      </c>
      <c r="C163" s="77">
        <v>-2.7918781699999999E-2</v>
      </c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>
        <v>378</v>
      </c>
      <c r="K163" s="32">
        <f t="shared" ref="K163:K166" si="88">IF(ISNUMBER(J163), (J163 - $B163) / $B163, "")</f>
        <v>-1.3054830287206266E-2</v>
      </c>
      <c r="L163" s="18">
        <f>IF(ISNUMBER(J163), $B172 * K163, "")</f>
        <v>-1305.4830287206266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42"/>
      <c r="R163" s="243"/>
      <c r="S163" s="244"/>
    </row>
    <row r="164" spans="1:19" ht="17.25" thickBot="1">
      <c r="A164" s="162" t="s">
        <v>128</v>
      </c>
      <c r="B164" s="126">
        <v>307</v>
      </c>
      <c r="C164" s="77">
        <v>-2.8481012699999999E-2</v>
      </c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>
        <v>297</v>
      </c>
      <c r="K164" s="32">
        <f t="shared" si="88"/>
        <v>-3.2573289902280131E-2</v>
      </c>
      <c r="L164" s="18">
        <f>IF(ISNUMBER(J164), $B172 * K164, "")</f>
        <v>-3257.328990228013</v>
      </c>
      <c r="M164" s="31"/>
      <c r="N164" s="32" t="str">
        <f t="shared" si="89"/>
        <v/>
      </c>
      <c r="O164" s="18" t="str">
        <f>IF(ISNUMBER(M164), $B172 * N164, "")</f>
        <v/>
      </c>
      <c r="Q164" s="235"/>
      <c r="R164" s="235"/>
      <c r="S164" s="235"/>
    </row>
    <row r="165" spans="1:19" ht="17.25" thickBot="1">
      <c r="A165" s="162" t="s">
        <v>216</v>
      </c>
      <c r="B165" s="126">
        <v>244</v>
      </c>
      <c r="C165" s="77">
        <v>-3.1746031700000003E-2</v>
      </c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>
        <v>237</v>
      </c>
      <c r="K165" s="32">
        <f t="shared" si="88"/>
        <v>-2.8688524590163935E-2</v>
      </c>
      <c r="L165" s="18">
        <f>IF(ISNUMBER(J165), $B172 * K165, "")</f>
        <v>-2868.8524590163934</v>
      </c>
      <c r="M165" s="31"/>
      <c r="N165" s="32" t="str">
        <f t="shared" si="89"/>
        <v/>
      </c>
      <c r="O165" s="18" t="str">
        <f>IF(ISNUMBER(M165), $B172 * N165, "")</f>
        <v/>
      </c>
      <c r="Q165" s="245"/>
      <c r="R165" s="245"/>
      <c r="S165" s="245"/>
    </row>
    <row r="166" spans="1:19" ht="17.25" thickBot="1">
      <c r="A166" s="163" t="s">
        <v>284</v>
      </c>
      <c r="B166" s="128">
        <v>204</v>
      </c>
      <c r="C166" s="78">
        <v>-3.3175355500000003E-2</v>
      </c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>
        <v>194</v>
      </c>
      <c r="K166" s="21">
        <f t="shared" si="88"/>
        <v>-4.9019607843137254E-2</v>
      </c>
      <c r="L166" s="22">
        <f>IF(ISNUMBER(J166), $B172 * K166, "")</f>
        <v>-4901.9607843137255</v>
      </c>
      <c r="M166" s="30"/>
      <c r="N166" s="21" t="str">
        <f t="shared" si="89"/>
        <v/>
      </c>
      <c r="O166" s="22" t="str">
        <f>IF(ISNUMBER(M166), $B172 * N166, "")</f>
        <v/>
      </c>
      <c r="Q166" s="245"/>
      <c r="R166" s="245"/>
      <c r="S166" s="245"/>
    </row>
    <row r="167" spans="1:19" ht="17.25" thickBot="1">
      <c r="A167" s="162" t="s">
        <v>262</v>
      </c>
      <c r="B167" s="129">
        <v>491</v>
      </c>
      <c r="C167" s="80">
        <v>-3.7254901999999999E-2</v>
      </c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>
        <v>471</v>
      </c>
      <c r="K167" s="107">
        <f>IF(ISNUMBER(J167), (J167 - $B167) / $B167, "")</f>
        <v>-4.0733197556008148E-2</v>
      </c>
      <c r="L167" s="108">
        <f>IF(ISNUMBER(J167), $B172 * K167, "")</f>
        <v>-4073.3197556008149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35"/>
      <c r="R167" s="235"/>
      <c r="S167" s="235"/>
    </row>
    <row r="168" spans="1:19" ht="17.25" thickBot="1">
      <c r="A168" s="162" t="s">
        <v>192</v>
      </c>
      <c r="B168" s="126">
        <v>982</v>
      </c>
      <c r="C168" s="77">
        <v>-3.7254901999999999E-2</v>
      </c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>
        <v>949</v>
      </c>
      <c r="K168" s="32">
        <f t="shared" ref="K168:K171" si="92">IF(ISNUMBER(J168), (J168 - $B168) / $B168, "")</f>
        <v>-3.360488798370672E-2</v>
      </c>
      <c r="L168" s="18">
        <f>IF(ISNUMBER(J168), $B172 * K168, "")</f>
        <v>-3360.4887983706722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35"/>
      <c r="R168" s="235"/>
      <c r="S168" s="235"/>
    </row>
    <row r="169" spans="1:19" ht="17.25" thickBot="1">
      <c r="A169" s="162" t="s">
        <v>234</v>
      </c>
      <c r="B169" s="126">
        <v>345</v>
      </c>
      <c r="C169" s="77">
        <v>-5.2197802199999997E-2</v>
      </c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>
        <v>304</v>
      </c>
      <c r="K169" s="32">
        <f t="shared" si="92"/>
        <v>-0.11884057971014493</v>
      </c>
      <c r="L169" s="18">
        <f>IF(ISNUMBER(J169), $B172 * K169, "")</f>
        <v>-11884.057971014494</v>
      </c>
      <c r="M169" s="31"/>
      <c r="N169" s="32" t="str">
        <f t="shared" si="93"/>
        <v/>
      </c>
      <c r="O169" s="18" t="str">
        <f>IF(ISNUMBER(M169), $B172 * N169, "")</f>
        <v/>
      </c>
      <c r="Q169" s="235"/>
      <c r="R169" s="235"/>
      <c r="S169" s="235"/>
    </row>
    <row r="170" spans="1:19">
      <c r="A170" s="162" t="s">
        <v>142</v>
      </c>
      <c r="B170" s="126">
        <v>612</v>
      </c>
      <c r="C170" s="77">
        <v>-6.42201835E-2</v>
      </c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>
        <v>571</v>
      </c>
      <c r="K170" s="32">
        <f t="shared" si="92"/>
        <v>-6.699346405228758E-2</v>
      </c>
      <c r="L170" s="18">
        <f>IF(ISNUMBER(J170), $B172 * K170, "")</f>
        <v>-6699.3464052287582</v>
      </c>
      <c r="M170" s="31"/>
      <c r="N170" s="32" t="str">
        <f t="shared" si="93"/>
        <v/>
      </c>
      <c r="O170" s="18" t="str">
        <f>IF(ISNUMBER(M170), $B172 * N170, "")</f>
        <v/>
      </c>
      <c r="Q170" s="224"/>
      <c r="R170" s="225"/>
      <c r="S170" s="226"/>
    </row>
    <row r="171" spans="1:19" ht="17.25" thickBot="1">
      <c r="A171" s="130" t="s">
        <v>162</v>
      </c>
      <c r="B171" s="131">
        <v>736</v>
      </c>
      <c r="C171" s="79">
        <v>-8.9108910900000005E-2</v>
      </c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>
        <v>733</v>
      </c>
      <c r="K171" s="25">
        <f t="shared" si="92"/>
        <v>-4.076086956521739E-3</v>
      </c>
      <c r="L171" s="104">
        <f>IF(ISNUMBER(J171), $B172 * K171, "")</f>
        <v>-407.60869565217388</v>
      </c>
      <c r="M171" s="102"/>
      <c r="N171" s="25" t="str">
        <f t="shared" si="93"/>
        <v/>
      </c>
      <c r="O171" s="104" t="str">
        <f>IF(ISNUMBER(M171), $B172 * N171, "")</f>
        <v/>
      </c>
      <c r="Q171" s="227"/>
      <c r="R171" s="228"/>
      <c r="S171" s="229"/>
    </row>
    <row r="172" spans="1:19" ht="17.25" thickBot="1">
      <c r="A172" s="132" t="s">
        <v>300</v>
      </c>
      <c r="B172" s="288">
        <f>$B$37</f>
        <v>100000</v>
      </c>
      <c r="C172" s="289"/>
      <c r="D172" s="26" t="s">
        <v>301</v>
      </c>
      <c r="E172" s="27">
        <f>IF(COUNT(E152:E171), SUM(E152:E171) / COUNT(E152:E171), 0)</f>
        <v>0</v>
      </c>
      <c r="F172" s="28">
        <f>SUM(F152:F171)</f>
        <v>0</v>
      </c>
      <c r="G172" s="26" t="s">
        <v>301</v>
      </c>
      <c r="H172" s="27">
        <f>IF(COUNT(H152:H171), SUM(H152:H171) / COUNT(H152:H171), 0)</f>
        <v>0</v>
      </c>
      <c r="I172" s="28">
        <f>SUM(I152:I171)</f>
        <v>0</v>
      </c>
      <c r="J172" s="26" t="s">
        <v>301</v>
      </c>
      <c r="K172" s="27">
        <f>IF(COUNT(K152:K171), SUM(K152:K171) / COUNT(K152:K171), 0)</f>
        <v>-3.0880695514505768E-2</v>
      </c>
      <c r="L172" s="28">
        <f>SUM(L152:L171)</f>
        <v>-61761.391029011545</v>
      </c>
      <c r="M172" s="26" t="s">
        <v>301</v>
      </c>
      <c r="N172" s="27">
        <f>IF(COUNT(N152:N171), SUM(N152:N171) / COUNT(N152:N171), 0)</f>
        <v>0</v>
      </c>
      <c r="O172" s="28">
        <f>SUM(O152:O171)</f>
        <v>0</v>
      </c>
      <c r="Q172" s="230"/>
      <c r="R172" s="231"/>
      <c r="S172" s="232"/>
    </row>
    <row r="174" spans="1:19" ht="17.25" thickBot="1"/>
    <row r="175" spans="1:19" ht="17.25" thickBot="1">
      <c r="A175" s="246" t="s">
        <v>285</v>
      </c>
      <c r="B175" s="247"/>
      <c r="C175" s="247"/>
      <c r="D175" s="247"/>
      <c r="E175" s="247"/>
      <c r="F175" s="247"/>
      <c r="G175" s="247"/>
      <c r="H175" s="247"/>
      <c r="I175" s="247"/>
      <c r="J175" s="247"/>
      <c r="K175" s="247"/>
      <c r="L175" s="247"/>
      <c r="M175" s="247"/>
      <c r="N175" s="247"/>
      <c r="O175" s="248"/>
      <c r="Q175" s="245"/>
      <c r="R175" s="245"/>
      <c r="S175" s="245"/>
    </row>
    <row r="176" spans="1:19" ht="17.25" thickBot="1">
      <c r="A176" s="220" t="s">
        <v>297</v>
      </c>
      <c r="B176" s="246" t="s">
        <v>49</v>
      </c>
      <c r="C176" s="248"/>
      <c r="D176" s="246" t="s">
        <v>58</v>
      </c>
      <c r="E176" s="247"/>
      <c r="F176" s="248"/>
      <c r="G176" s="249">
        <f>_xlfn.IFNA(VLOOKUP(B176, 현재가테이블!$B$2:$D$200, 2, FALSE), "-")</f>
        <v>45335000</v>
      </c>
      <c r="H176" s="250"/>
      <c r="I176" s="251"/>
      <c r="J176" s="246" t="s">
        <v>59</v>
      </c>
      <c r="K176" s="247"/>
      <c r="L176" s="248"/>
      <c r="M176" s="252">
        <f>_xlfn.IFNA(VLOOKUP(B176, 현재가테이블!$B$2:$D$200, 3, FALSE), "-")</f>
        <v>-2.27209037E-2</v>
      </c>
      <c r="N176" s="253"/>
      <c r="O176" s="254"/>
      <c r="Q176" s="245"/>
      <c r="R176" s="245"/>
      <c r="S176" s="245"/>
    </row>
    <row r="177" spans="1:19" ht="17.25" thickBot="1">
      <c r="A177" s="290" t="s">
        <v>55</v>
      </c>
      <c r="B177" s="286" t="str">
        <f>TEXT($G$1, "[$-ko-KR]yyyy-mm-dd(ddd) ") &amp; "오전 00:00"</f>
        <v>2021-06-16(수) 오전 00:00</v>
      </c>
      <c r="C177" s="287"/>
      <c r="D177" s="259" t="str">
        <f>TEXT($G$1, "[$-ko-KR]yyyy-mm-dd(ddd) ") &amp; "오후 14:00"</f>
        <v>2021-06-16(수) 오후 14:00</v>
      </c>
      <c r="E177" s="260"/>
      <c r="F177" s="261"/>
      <c r="G177" s="259" t="str">
        <f>TEXT($G$1, "[$-ko-KR]yyyy-mm-dd(ddd) ") &amp; "오후 19:00"</f>
        <v>2021-06-16(수) 오후 19:00</v>
      </c>
      <c r="H177" s="260"/>
      <c r="I177" s="261"/>
      <c r="J177" s="259" t="str">
        <f>TEXT($G$1, "[$-ko-KR]yyyy-mm-dd(ddd) ") &amp; "오후 21:00"</f>
        <v>2021-06-16(수) 오후 21:00</v>
      </c>
      <c r="K177" s="260"/>
      <c r="L177" s="261"/>
      <c r="M177" s="259" t="str">
        <f>TEXT($G$1+1, "[$-ko-KR]yyyy-mm-dd(ddd) ") &amp; "오전 00:00"</f>
        <v>2021-06-17(목) 오전 00:00</v>
      </c>
      <c r="N177" s="260"/>
      <c r="O177" s="261"/>
      <c r="Q177" s="245"/>
      <c r="R177" s="245"/>
      <c r="S177" s="245"/>
    </row>
    <row r="178" spans="1:19" ht="17.25" thickBot="1">
      <c r="A178" s="291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221" t="s">
        <v>58</v>
      </c>
      <c r="H178" s="222" t="s">
        <v>298</v>
      </c>
      <c r="I178" s="223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5"/>
      <c r="R178" s="235"/>
      <c r="S178" s="235"/>
    </row>
    <row r="179" spans="1:19" ht="17.25" thickBot="1">
      <c r="A179" s="161" t="s">
        <v>74</v>
      </c>
      <c r="B179" s="124">
        <v>14820</v>
      </c>
      <c r="C179" s="76">
        <v>-2.8196721300000002E-2</v>
      </c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>
        <v>14550</v>
      </c>
      <c r="K179" s="14">
        <f>IF(ISNUMBER(J179), (J179 - $B179) / $B179, "")</f>
        <v>-1.8218623481781375E-2</v>
      </c>
      <c r="L179" s="16">
        <f>IF(ISNUMBER(J179), $B199 * K179, "")</f>
        <v>-1821.8623481781376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45"/>
      <c r="R179" s="245"/>
      <c r="S179" s="245"/>
    </row>
    <row r="180" spans="1:19" ht="17.25" thickBot="1">
      <c r="A180" s="162" t="s">
        <v>128</v>
      </c>
      <c r="B180" s="126">
        <v>307</v>
      </c>
      <c r="C180" s="77">
        <v>-2.8481012699999999E-2</v>
      </c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>
        <v>297</v>
      </c>
      <c r="K180" s="32">
        <f t="shared" ref="K180:K183" si="96">IF(ISNUMBER(J180), (J180 - $B180) / $B180, "")</f>
        <v>-3.2573289902280131E-2</v>
      </c>
      <c r="L180" s="18">
        <f>IF(ISNUMBER(J180), $B199 * K180, "")</f>
        <v>-3257.328990228013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45"/>
      <c r="R180" s="245"/>
      <c r="S180" s="245"/>
    </row>
    <row r="181" spans="1:19" ht="17.25" thickBot="1">
      <c r="A181" s="162" t="s">
        <v>160</v>
      </c>
      <c r="B181" s="126">
        <v>1590</v>
      </c>
      <c r="C181" s="77">
        <v>-3.0487804899999998E-2</v>
      </c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>
        <v>1655</v>
      </c>
      <c r="K181" s="32">
        <f t="shared" si="96"/>
        <v>4.0880503144654086E-2</v>
      </c>
      <c r="L181" s="18">
        <f>IF(ISNUMBER(J181), $B199 * K181, "")</f>
        <v>4088.0503144654085</v>
      </c>
      <c r="M181" s="31"/>
      <c r="N181" s="32" t="str">
        <f t="shared" si="97"/>
        <v/>
      </c>
      <c r="O181" s="18" t="str">
        <f>IF(ISNUMBER(M181), $B199 * N181, "")</f>
        <v/>
      </c>
      <c r="Q181" s="235"/>
      <c r="R181" s="235"/>
      <c r="S181" s="235"/>
    </row>
    <row r="182" spans="1:19" ht="17.25" thickBot="1">
      <c r="A182" s="162" t="s">
        <v>272</v>
      </c>
      <c r="B182" s="126">
        <v>1245</v>
      </c>
      <c r="C182" s="77">
        <v>-3.1128404700000001E-2</v>
      </c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>
        <v>1215</v>
      </c>
      <c r="K182" s="32">
        <f t="shared" si="96"/>
        <v>-2.4096385542168676E-2</v>
      </c>
      <c r="L182" s="18">
        <f>IF(ISNUMBER(J182), $B199 * K182, "")</f>
        <v>-2409.6385542168678</v>
      </c>
      <c r="M182" s="31"/>
      <c r="N182" s="32" t="str">
        <f t="shared" si="97"/>
        <v/>
      </c>
      <c r="O182" s="18" t="str">
        <f>IF(ISNUMBER(M182), $B199 * N182, "")</f>
        <v/>
      </c>
      <c r="Q182" s="235"/>
      <c r="R182" s="235"/>
      <c r="S182" s="235"/>
    </row>
    <row r="183" spans="1:19" ht="17.25" thickBot="1">
      <c r="A183" s="163" t="s">
        <v>264</v>
      </c>
      <c r="B183" s="128">
        <v>74.5</v>
      </c>
      <c r="C183" s="78">
        <v>-3.1209362800000001E-2</v>
      </c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>
        <v>71.099999999999994</v>
      </c>
      <c r="K183" s="21">
        <f t="shared" si="96"/>
        <v>-4.5637583892617524E-2</v>
      </c>
      <c r="L183" s="22">
        <f>IF(ISNUMBER(J183), $B199 * K183, "")</f>
        <v>-4563.7583892617522</v>
      </c>
      <c r="M183" s="30"/>
      <c r="N183" s="21" t="str">
        <f t="shared" si="97"/>
        <v/>
      </c>
      <c r="O183" s="22" t="str">
        <f>IF(ISNUMBER(M183), $B199 * N183, "")</f>
        <v/>
      </c>
      <c r="Q183" s="235"/>
      <c r="R183" s="235"/>
      <c r="S183" s="235"/>
    </row>
    <row r="184" spans="1:19" ht="17.25" thickBot="1">
      <c r="A184" s="162" t="s">
        <v>216</v>
      </c>
      <c r="B184" s="129">
        <v>244</v>
      </c>
      <c r="C184" s="80">
        <v>-3.1746031700000003E-2</v>
      </c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>
        <v>237</v>
      </c>
      <c r="K184" s="107">
        <f>IF(ISNUMBER(J184), (J184 - $B184) / $B184, "")</f>
        <v>-2.8688524590163935E-2</v>
      </c>
      <c r="L184" s="108">
        <f>IF(ISNUMBER(J184), $B199 * K184, "")</f>
        <v>-2868.8524590163934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35"/>
      <c r="R184" s="235"/>
      <c r="S184" s="235"/>
    </row>
    <row r="185" spans="1:19" ht="17.25" thickBot="1">
      <c r="A185" s="162" t="s">
        <v>284</v>
      </c>
      <c r="B185" s="126">
        <v>204</v>
      </c>
      <c r="C185" s="77">
        <v>-3.3175355500000003E-2</v>
      </c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>
        <v>194</v>
      </c>
      <c r="K185" s="32">
        <f t="shared" ref="K185:K188" si="100">IF(ISNUMBER(J185), (J185 - $B185) / $B185, "")</f>
        <v>-4.9019607843137254E-2</v>
      </c>
      <c r="L185" s="18">
        <f>IF(ISNUMBER(J185), $B199 * K185, "")</f>
        <v>-4901.9607843137255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35"/>
      <c r="R185" s="235"/>
      <c r="S185" s="235"/>
    </row>
    <row r="186" spans="1:19" ht="17.25" thickBot="1">
      <c r="A186" s="162" t="s">
        <v>208</v>
      </c>
      <c r="B186" s="126">
        <v>98.4</v>
      </c>
      <c r="C186" s="77">
        <v>-3.5294117600000001E-2</v>
      </c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>
        <v>88.9</v>
      </c>
      <c r="K186" s="32">
        <f t="shared" si="100"/>
        <v>-9.6544715447154469E-2</v>
      </c>
      <c r="L186" s="18">
        <f>IF(ISNUMBER(J186), $B199 * K186, "")</f>
        <v>-9654.4715447154467</v>
      </c>
      <c r="M186" s="31"/>
      <c r="N186" s="32" t="str">
        <f t="shared" si="101"/>
        <v/>
      </c>
      <c r="O186" s="18" t="str">
        <f>IF(ISNUMBER(M186), $B199 * N186, "")</f>
        <v/>
      </c>
      <c r="Q186" s="235"/>
      <c r="R186" s="235"/>
      <c r="S186" s="235"/>
    </row>
    <row r="187" spans="1:19" ht="17.25" thickBot="1">
      <c r="A187" s="162" t="s">
        <v>118</v>
      </c>
      <c r="B187" s="126">
        <v>4440</v>
      </c>
      <c r="C187" s="77">
        <v>-3.58306189E-2</v>
      </c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>
        <v>4935</v>
      </c>
      <c r="K187" s="32">
        <f t="shared" si="100"/>
        <v>0.11148648648648649</v>
      </c>
      <c r="L187" s="18">
        <f>IF(ISNUMBER(J187), $B199 * K187, "")</f>
        <v>11148.648648648648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262</v>
      </c>
      <c r="B188" s="131">
        <v>491</v>
      </c>
      <c r="C188" s="79">
        <v>-3.7254901999999999E-2</v>
      </c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>
        <v>471</v>
      </c>
      <c r="K188" s="25">
        <f t="shared" si="100"/>
        <v>-4.0733197556008148E-2</v>
      </c>
      <c r="L188" s="104">
        <f>IF(ISNUMBER(J188), $B199 * K188, "")</f>
        <v>-4073.3197556008149</v>
      </c>
      <c r="M188" s="102"/>
      <c r="N188" s="25" t="str">
        <f t="shared" si="101"/>
        <v/>
      </c>
      <c r="O188" s="104" t="str">
        <f>IF(ISNUMBER(M188), $B199 * N188, "")</f>
        <v/>
      </c>
      <c r="Q188" s="236"/>
      <c r="R188" s="237"/>
      <c r="S188" s="238"/>
    </row>
    <row r="189" spans="1:19">
      <c r="A189" s="161" t="s">
        <v>192</v>
      </c>
      <c r="B189" s="124">
        <v>982</v>
      </c>
      <c r="C189" s="76">
        <v>-3.7254901999999999E-2</v>
      </c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>
        <v>949</v>
      </c>
      <c r="K189" s="14">
        <f>IF(ISNUMBER(J189), (J189 - $B189) / $B189, "")</f>
        <v>-3.360488798370672E-2</v>
      </c>
      <c r="L189" s="16">
        <f>IF(ISNUMBER(J189), $B199 * K189, "")</f>
        <v>-3360.4887983706722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39"/>
      <c r="R189" s="240"/>
      <c r="S189" s="241"/>
    </row>
    <row r="190" spans="1:19" ht="17.25" thickBot="1">
      <c r="A190" s="162" t="s">
        <v>242</v>
      </c>
      <c r="B190" s="126">
        <v>3420</v>
      </c>
      <c r="C190" s="77">
        <v>-3.7974683500000002E-2</v>
      </c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>
        <v>3345</v>
      </c>
      <c r="K190" s="32">
        <f t="shared" ref="K190:K193" si="104">IF(ISNUMBER(J190), (J190 - $B190) / $B190, "")</f>
        <v>-2.1929824561403508E-2</v>
      </c>
      <c r="L190" s="18">
        <f>IF(ISNUMBER(J190), $B199 * K190, "")</f>
        <v>-2192.9824561403507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42"/>
      <c r="R190" s="243"/>
      <c r="S190" s="244"/>
    </row>
    <row r="191" spans="1:19" ht="17.25" thickBot="1">
      <c r="A191" s="162" t="s">
        <v>232</v>
      </c>
      <c r="B191" s="126">
        <v>92.6</v>
      </c>
      <c r="C191" s="77">
        <v>-3.8421599200000003E-2</v>
      </c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>
        <v>103</v>
      </c>
      <c r="K191" s="32">
        <f t="shared" si="104"/>
        <v>0.11231101511879056</v>
      </c>
      <c r="L191" s="18">
        <f>IF(ISNUMBER(J191), $B199 * K191, "")</f>
        <v>11231.101511879056</v>
      </c>
      <c r="M191" s="31"/>
      <c r="N191" s="32" t="str">
        <f t="shared" si="105"/>
        <v/>
      </c>
      <c r="O191" s="18" t="str">
        <f>IF(ISNUMBER(M191), $B199 * N191, "")</f>
        <v/>
      </c>
      <c r="Q191" s="235"/>
      <c r="R191" s="235"/>
      <c r="S191" s="235"/>
    </row>
    <row r="192" spans="1:19" ht="17.25" thickBot="1">
      <c r="A192" s="162" t="s">
        <v>180</v>
      </c>
      <c r="B192" s="126">
        <v>2485</v>
      </c>
      <c r="C192" s="77">
        <v>-3.8684719499999999E-2</v>
      </c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>
        <v>2410</v>
      </c>
      <c r="K192" s="32">
        <f t="shared" si="104"/>
        <v>-3.0181086519114688E-2</v>
      </c>
      <c r="L192" s="18">
        <f>IF(ISNUMBER(J192), $B199 * K192, "")</f>
        <v>-3018.1086519114688</v>
      </c>
      <c r="M192" s="31"/>
      <c r="N192" s="32" t="str">
        <f t="shared" si="105"/>
        <v/>
      </c>
      <c r="O192" s="18" t="str">
        <f>IF(ISNUMBER(M192), $B199 * N192, "")</f>
        <v/>
      </c>
      <c r="Q192" s="245"/>
      <c r="R192" s="245"/>
      <c r="S192" s="245"/>
    </row>
    <row r="193" spans="1:19" ht="17.25" thickBot="1">
      <c r="A193" s="163" t="s">
        <v>190</v>
      </c>
      <c r="B193" s="128">
        <v>51540</v>
      </c>
      <c r="C193" s="78">
        <v>-4.1294642899999998E-2</v>
      </c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>
        <v>51440</v>
      </c>
      <c r="K193" s="21">
        <f t="shared" si="104"/>
        <v>-1.9402405898331393E-3</v>
      </c>
      <c r="L193" s="22">
        <f>IF(ISNUMBER(J193), $B199 * K193, "")</f>
        <v>-194.02405898331392</v>
      </c>
      <c r="M193" s="30"/>
      <c r="N193" s="21" t="str">
        <f t="shared" si="105"/>
        <v/>
      </c>
      <c r="O193" s="22" t="str">
        <f>IF(ISNUMBER(M193), $B199 * N193, "")</f>
        <v/>
      </c>
      <c r="Q193" s="245"/>
      <c r="R193" s="245"/>
      <c r="S193" s="245"/>
    </row>
    <row r="194" spans="1:19" ht="17.25" thickBot="1">
      <c r="A194" s="162" t="s">
        <v>274</v>
      </c>
      <c r="B194" s="129">
        <v>7765</v>
      </c>
      <c r="C194" s="80">
        <v>-4.7823421200000001E-2</v>
      </c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>
        <v>7375</v>
      </c>
      <c r="K194" s="107">
        <f>IF(ISNUMBER(J194), (J194 - $B194) / $B194, "")</f>
        <v>-5.0225370251126854E-2</v>
      </c>
      <c r="L194" s="108">
        <f>IF(ISNUMBER(J194), $B199 * K194, "")</f>
        <v>-5022.5370251126851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35"/>
      <c r="R194" s="235"/>
      <c r="S194" s="235"/>
    </row>
    <row r="195" spans="1:19" ht="17.25" thickBot="1">
      <c r="A195" s="162" t="s">
        <v>234</v>
      </c>
      <c r="B195" s="126">
        <v>345</v>
      </c>
      <c r="C195" s="77">
        <v>-5.2197802199999997E-2</v>
      </c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>
        <v>304</v>
      </c>
      <c r="K195" s="32">
        <f t="shared" ref="K195:K198" si="108">IF(ISNUMBER(J195), (J195 - $B195) / $B195, "")</f>
        <v>-0.11884057971014493</v>
      </c>
      <c r="L195" s="18">
        <f>IF(ISNUMBER(J195), $B199 * K195, "")</f>
        <v>-11884.057971014494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35"/>
      <c r="R195" s="235"/>
      <c r="S195" s="235"/>
    </row>
    <row r="196" spans="1:19" ht="17.25" thickBot="1">
      <c r="A196" s="162" t="s">
        <v>142</v>
      </c>
      <c r="B196" s="126">
        <v>612</v>
      </c>
      <c r="C196" s="77">
        <v>-6.42201835E-2</v>
      </c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>
        <v>571</v>
      </c>
      <c r="K196" s="32">
        <f t="shared" si="108"/>
        <v>-6.699346405228758E-2</v>
      </c>
      <c r="L196" s="18">
        <f>IF(ISNUMBER(J196), $B199 * K196, "")</f>
        <v>-6699.3464052287582</v>
      </c>
      <c r="M196" s="31"/>
      <c r="N196" s="32" t="str">
        <f t="shared" si="109"/>
        <v/>
      </c>
      <c r="O196" s="18" t="str">
        <f>IF(ISNUMBER(M196), $B199 * N196, "")</f>
        <v/>
      </c>
      <c r="Q196" s="235"/>
      <c r="R196" s="235"/>
      <c r="S196" s="235"/>
    </row>
    <row r="197" spans="1:19">
      <c r="A197" s="162" t="s">
        <v>138</v>
      </c>
      <c r="B197" s="126">
        <v>27550</v>
      </c>
      <c r="C197" s="77">
        <v>-7.4571716499999996E-2</v>
      </c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>
        <v>26670</v>
      </c>
      <c r="K197" s="32">
        <f t="shared" si="108"/>
        <v>-3.1941923774954625E-2</v>
      </c>
      <c r="L197" s="18">
        <f>IF(ISNUMBER(J197), $B199 * K197, "")</f>
        <v>-3194.1923774954626</v>
      </c>
      <c r="M197" s="31"/>
      <c r="N197" s="32" t="str">
        <f t="shared" si="109"/>
        <v/>
      </c>
      <c r="O197" s="18" t="str">
        <f>IF(ISNUMBER(M197), $B199 * N197, "")</f>
        <v/>
      </c>
      <c r="Q197" s="224"/>
      <c r="R197" s="225"/>
      <c r="S197" s="226"/>
    </row>
    <row r="198" spans="1:19" ht="17.25" thickBot="1">
      <c r="A198" s="130" t="s">
        <v>162</v>
      </c>
      <c r="B198" s="131">
        <v>736</v>
      </c>
      <c r="C198" s="79">
        <v>-8.9108910900000005E-2</v>
      </c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>
        <v>733</v>
      </c>
      <c r="K198" s="25">
        <f t="shared" si="108"/>
        <v>-4.076086956521739E-3</v>
      </c>
      <c r="L198" s="104">
        <f>IF(ISNUMBER(J198), $B199 * K198, "")</f>
        <v>-407.60869565217388</v>
      </c>
      <c r="M198" s="102"/>
      <c r="N198" s="25" t="str">
        <f t="shared" si="109"/>
        <v/>
      </c>
      <c r="O198" s="104" t="str">
        <f>IF(ISNUMBER(M198), $B199 * N198, "")</f>
        <v/>
      </c>
      <c r="Q198" s="227"/>
      <c r="R198" s="228"/>
      <c r="S198" s="229"/>
    </row>
    <row r="199" spans="1:19" ht="17.25" thickBot="1">
      <c r="A199" s="132" t="s">
        <v>300</v>
      </c>
      <c r="B199" s="288">
        <f>$B$37</f>
        <v>100000</v>
      </c>
      <c r="C199" s="289"/>
      <c r="D199" s="26" t="s">
        <v>301</v>
      </c>
      <c r="E199" s="27">
        <f>IF(COUNT(E179:E198), SUM(E179:E198) / COUNT(E179:E198), 0)</f>
        <v>0</v>
      </c>
      <c r="F199" s="28">
        <f>SUM(F179:F198)</f>
        <v>0</v>
      </c>
      <c r="G199" s="26" t="s">
        <v>301</v>
      </c>
      <c r="H199" s="27">
        <f>IF(COUNT(H179:H198), SUM(H179:H198) / COUNT(H179:H198), 0)</f>
        <v>0</v>
      </c>
      <c r="I199" s="28">
        <f>SUM(I179:I198)</f>
        <v>0</v>
      </c>
      <c r="J199" s="26" t="s">
        <v>301</v>
      </c>
      <c r="K199" s="27">
        <f>IF(COUNT(K179:K198), SUM(K179:K198) / COUNT(K179:K198), 0)</f>
        <v>-2.152836939522371E-2</v>
      </c>
      <c r="L199" s="28">
        <f>SUM(L179:L198)</f>
        <v>-43056.738790447424</v>
      </c>
      <c r="M199" s="26" t="s">
        <v>301</v>
      </c>
      <c r="N199" s="27">
        <f>IF(COUNT(N179:N198), SUM(N179:N198) / COUNT(N179:N198), 0)</f>
        <v>0</v>
      </c>
      <c r="O199" s="28">
        <f>SUM(O179:O198)</f>
        <v>0</v>
      </c>
      <c r="Q199" s="230"/>
      <c r="R199" s="231"/>
      <c r="S199" s="232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21</vt:i4>
      </vt:variant>
    </vt:vector>
  </HeadingPairs>
  <TitlesOfParts>
    <vt:vector size="21" baseType="lpstr">
      <vt:lpstr>투자전략(조건부서식초기화)</vt:lpstr>
      <vt:lpstr>투자전략</vt:lpstr>
      <vt:lpstr>현재가테이블</vt:lpstr>
      <vt:lpstr>종목선정</vt:lpstr>
      <vt:lpstr>월말결산</vt:lpstr>
      <vt:lpstr>2021.06.01</vt:lpstr>
      <vt:lpstr>2021.06.02</vt:lpstr>
      <vt:lpstr>2021.06.03</vt:lpstr>
      <vt:lpstr>2021.06.04</vt:lpstr>
      <vt:lpstr>2021.06.05</vt:lpstr>
      <vt:lpstr>2021.06.06</vt:lpstr>
      <vt:lpstr>2021.06.07</vt:lpstr>
      <vt:lpstr>2021.06.08</vt:lpstr>
      <vt:lpstr>2021.06.09</vt:lpstr>
      <vt:lpstr>2021.06.10</vt:lpstr>
      <vt:lpstr>2021.06.11</vt:lpstr>
      <vt:lpstr>2021.06.12</vt:lpstr>
      <vt:lpstr>2021.06.13</vt:lpstr>
      <vt:lpstr>2021.06.14</vt:lpstr>
      <vt:lpstr>2021.06.15</vt:lpstr>
      <vt:lpstr>2021.06.16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2021-06-16T12:16:56Z</dcterms:modified>
</cp:coreProperties>
</file>