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CF1396B2-715A-45BF-A014-41D9507E68A8}" xr6:coauthVersionLast="47" xr6:coauthVersionMax="47" xr10:uidLastSave="{00000000-0000-0000-0000-000000000000}"/>
  <bookViews>
    <workbookView xWindow="28680" yWindow="-120" windowWidth="29040" windowHeight="15840" firstSheet="6" activeTab="15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9.01" sheetId="24" r:id="rId6"/>
    <sheet name="2021.09.02" sheetId="25" r:id="rId7"/>
    <sheet name="2021.09.03" sheetId="26" r:id="rId8"/>
    <sheet name="2021.09.04" sheetId="27" r:id="rId9"/>
    <sheet name="2021.09.05" sheetId="28" r:id="rId10"/>
    <sheet name="2021.09.06" sheetId="29" r:id="rId11"/>
    <sheet name="2021.09.07" sheetId="30" r:id="rId12"/>
    <sheet name="2021.09.08" sheetId="31" r:id="rId13"/>
    <sheet name="2021.09.09" sheetId="32" r:id="rId14"/>
    <sheet name="2021.09.10" sheetId="33" r:id="rId15"/>
    <sheet name="2021.09.11" sheetId="34" r:id="rId16"/>
  </sheets>
  <definedNames>
    <definedName name="_xlnm._FilterDatabase" localSheetId="5" hidden="1">'2021.09.01'!#REF!</definedName>
    <definedName name="_xlnm._FilterDatabase" localSheetId="6" hidden="1">'2021.09.02'!#REF!</definedName>
    <definedName name="_xlnm._FilterDatabase" localSheetId="7" hidden="1">'2021.09.03'!#REF!</definedName>
    <definedName name="_xlnm._FilterDatabase" localSheetId="8" hidden="1">'2021.09.04'!#REF!</definedName>
    <definedName name="_xlnm._FilterDatabase" localSheetId="9" hidden="1">'2021.09.05'!#REF!</definedName>
    <definedName name="_xlnm._FilterDatabase" localSheetId="10" hidden="1">'2021.09.06'!#REF!</definedName>
    <definedName name="_xlnm._FilterDatabase" localSheetId="11" hidden="1">'2021.09.07'!#REF!</definedName>
    <definedName name="_xlnm._FilterDatabase" localSheetId="12" hidden="1">'2021.09.08'!#REF!</definedName>
    <definedName name="_xlnm._FilterDatabase" localSheetId="13" hidden="1">'2021.09.09'!#REF!</definedName>
    <definedName name="_xlnm._FilterDatabase" localSheetId="14" hidden="1">'2021.09.10'!#REF!</definedName>
    <definedName name="_xlnm._FilterDatabase" localSheetId="15" hidden="1">'2021.09.11'!#REF!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4" l="1"/>
  <c r="O198" i="34"/>
  <c r="N198" i="34"/>
  <c r="L198" i="34"/>
  <c r="K198" i="34"/>
  <c r="H198" i="34"/>
  <c r="I198" i="34" s="1"/>
  <c r="F198" i="34"/>
  <c r="E198" i="34"/>
  <c r="O197" i="34"/>
  <c r="N197" i="34"/>
  <c r="K197" i="34"/>
  <c r="L197" i="34" s="1"/>
  <c r="H197" i="34"/>
  <c r="I197" i="34" s="1"/>
  <c r="F197" i="34"/>
  <c r="E197" i="34"/>
  <c r="O196" i="34"/>
  <c r="N196" i="34"/>
  <c r="K196" i="34"/>
  <c r="L196" i="34" s="1"/>
  <c r="H196" i="34"/>
  <c r="I196" i="34" s="1"/>
  <c r="F196" i="34"/>
  <c r="E196" i="34"/>
  <c r="O195" i="34"/>
  <c r="N195" i="34"/>
  <c r="L195" i="34"/>
  <c r="K195" i="34"/>
  <c r="H195" i="34"/>
  <c r="I195" i="34" s="1"/>
  <c r="F195" i="34"/>
  <c r="E195" i="34"/>
  <c r="O194" i="34"/>
  <c r="N194" i="34"/>
  <c r="L194" i="34"/>
  <c r="K194" i="34"/>
  <c r="H194" i="34"/>
  <c r="I194" i="34" s="1"/>
  <c r="F194" i="34"/>
  <c r="E194" i="34"/>
  <c r="O193" i="34"/>
  <c r="N193" i="34"/>
  <c r="K193" i="34"/>
  <c r="L193" i="34" s="1"/>
  <c r="H193" i="34"/>
  <c r="I193" i="34" s="1"/>
  <c r="F193" i="34"/>
  <c r="E193" i="34"/>
  <c r="O192" i="34"/>
  <c r="N192" i="34"/>
  <c r="K192" i="34"/>
  <c r="L192" i="34" s="1"/>
  <c r="H192" i="34"/>
  <c r="I192" i="34" s="1"/>
  <c r="F192" i="34"/>
  <c r="E192" i="34"/>
  <c r="O191" i="34"/>
  <c r="N191" i="34"/>
  <c r="L191" i="34"/>
  <c r="K191" i="34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O189" i="34"/>
  <c r="N189" i="34"/>
  <c r="K189" i="34"/>
  <c r="L189" i="34" s="1"/>
  <c r="H189" i="34"/>
  <c r="I189" i="34" s="1"/>
  <c r="F189" i="34"/>
  <c r="E189" i="34"/>
  <c r="O188" i="34"/>
  <c r="N188" i="34"/>
  <c r="K188" i="34"/>
  <c r="L188" i="34" s="1"/>
  <c r="H188" i="34"/>
  <c r="I188" i="34" s="1"/>
  <c r="F188" i="34"/>
  <c r="E188" i="34"/>
  <c r="O187" i="34"/>
  <c r="N187" i="34"/>
  <c r="L187" i="34"/>
  <c r="K187" i="34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O185" i="34"/>
  <c r="N185" i="34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F184" i="34"/>
  <c r="E184" i="34"/>
  <c r="O183" i="34"/>
  <c r="N183" i="34"/>
  <c r="L183" i="34"/>
  <c r="K183" i="34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O180" i="34"/>
  <c r="N180" i="34"/>
  <c r="K180" i="34"/>
  <c r="L180" i="34" s="1"/>
  <c r="H180" i="34"/>
  <c r="I180" i="34" s="1"/>
  <c r="F180" i="34"/>
  <c r="E180" i="34"/>
  <c r="O179" i="34"/>
  <c r="O199" i="34" s="1"/>
  <c r="N179" i="34"/>
  <c r="N199" i="34" s="1"/>
  <c r="L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O171" i="34"/>
  <c r="N171" i="34"/>
  <c r="L171" i="34"/>
  <c r="K171" i="34"/>
  <c r="I171" i="34"/>
  <c r="H171" i="34"/>
  <c r="F171" i="34"/>
  <c r="E171" i="34"/>
  <c r="O170" i="34"/>
  <c r="N170" i="34"/>
  <c r="L170" i="34"/>
  <c r="K170" i="34"/>
  <c r="I170" i="34"/>
  <c r="H170" i="34"/>
  <c r="F170" i="34"/>
  <c r="E170" i="34"/>
  <c r="O169" i="34"/>
  <c r="N169" i="34"/>
  <c r="L169" i="34"/>
  <c r="K169" i="34"/>
  <c r="I169" i="34"/>
  <c r="H169" i="34"/>
  <c r="F169" i="34"/>
  <c r="E169" i="34"/>
  <c r="O168" i="34"/>
  <c r="N168" i="34"/>
  <c r="L168" i="34"/>
  <c r="K168" i="34"/>
  <c r="I168" i="34"/>
  <c r="H168" i="34"/>
  <c r="F168" i="34"/>
  <c r="E168" i="34"/>
  <c r="O167" i="34"/>
  <c r="N167" i="34"/>
  <c r="L167" i="34"/>
  <c r="K167" i="34"/>
  <c r="I167" i="34"/>
  <c r="H167" i="34"/>
  <c r="F167" i="34"/>
  <c r="E167" i="34"/>
  <c r="O166" i="34"/>
  <c r="N166" i="34"/>
  <c r="L166" i="34"/>
  <c r="K166" i="34"/>
  <c r="I166" i="34"/>
  <c r="H166" i="34"/>
  <c r="F166" i="34"/>
  <c r="E166" i="34"/>
  <c r="O165" i="34"/>
  <c r="N165" i="34"/>
  <c r="L165" i="34"/>
  <c r="K165" i="34"/>
  <c r="I165" i="34"/>
  <c r="H165" i="34"/>
  <c r="F165" i="34"/>
  <c r="E165" i="34"/>
  <c r="O164" i="34"/>
  <c r="N164" i="34"/>
  <c r="L164" i="34"/>
  <c r="K164" i="34"/>
  <c r="I164" i="34"/>
  <c r="H164" i="34"/>
  <c r="F164" i="34"/>
  <c r="E164" i="34"/>
  <c r="O163" i="34"/>
  <c r="N163" i="34"/>
  <c r="L163" i="34"/>
  <c r="K163" i="34"/>
  <c r="I163" i="34"/>
  <c r="H163" i="34"/>
  <c r="F163" i="34"/>
  <c r="E163" i="34"/>
  <c r="O162" i="34"/>
  <c r="N162" i="34"/>
  <c r="L162" i="34"/>
  <c r="K162" i="34"/>
  <c r="I162" i="34"/>
  <c r="H162" i="34"/>
  <c r="F162" i="34"/>
  <c r="E162" i="34"/>
  <c r="O161" i="34"/>
  <c r="N161" i="34"/>
  <c r="L161" i="34"/>
  <c r="K161" i="34"/>
  <c r="I161" i="34"/>
  <c r="H161" i="34"/>
  <c r="F161" i="34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H141" i="34"/>
  <c r="I141" i="34" s="1"/>
  <c r="E141" i="34"/>
  <c r="F141" i="34" s="1"/>
  <c r="O140" i="34"/>
  <c r="N140" i="34"/>
  <c r="K140" i="34"/>
  <c r="L140" i="34" s="1"/>
  <c r="H140" i="34"/>
  <c r="I140" i="34" s="1"/>
  <c r="E140" i="34"/>
  <c r="F140" i="34" s="1"/>
  <c r="O139" i="34"/>
  <c r="N139" i="34"/>
  <c r="L139" i="34"/>
  <c r="K139" i="34"/>
  <c r="H139" i="34"/>
  <c r="I139" i="34" s="1"/>
  <c r="E139" i="34"/>
  <c r="F139" i="34" s="1"/>
  <c r="O138" i="34"/>
  <c r="N138" i="34"/>
  <c r="K138" i="34"/>
  <c r="L138" i="34" s="1"/>
  <c r="I138" i="34"/>
  <c r="H138" i="34"/>
  <c r="E138" i="34"/>
  <c r="F138" i="34" s="1"/>
  <c r="O137" i="34"/>
  <c r="N137" i="34"/>
  <c r="L137" i="34"/>
  <c r="K137" i="34"/>
  <c r="H137" i="34"/>
  <c r="I137" i="34" s="1"/>
  <c r="E137" i="34"/>
  <c r="F137" i="34" s="1"/>
  <c r="O136" i="34"/>
  <c r="N136" i="34"/>
  <c r="L136" i="34"/>
  <c r="K136" i="34"/>
  <c r="H136" i="34"/>
  <c r="I136" i="34" s="1"/>
  <c r="E136" i="34"/>
  <c r="F136" i="34" s="1"/>
  <c r="O135" i="34"/>
  <c r="N135" i="34"/>
  <c r="L135" i="34"/>
  <c r="K135" i="34"/>
  <c r="H135" i="34"/>
  <c r="I135" i="34" s="1"/>
  <c r="E135" i="34"/>
  <c r="F135" i="34" s="1"/>
  <c r="O134" i="34"/>
  <c r="N134" i="34"/>
  <c r="L134" i="34"/>
  <c r="K134" i="34"/>
  <c r="I134" i="34"/>
  <c r="H134" i="34"/>
  <c r="E134" i="34"/>
  <c r="F134" i="34" s="1"/>
  <c r="O133" i="34"/>
  <c r="N133" i="34"/>
  <c r="K133" i="34"/>
  <c r="L133" i="34" s="1"/>
  <c r="H133" i="34"/>
  <c r="I133" i="34" s="1"/>
  <c r="E133" i="34"/>
  <c r="F133" i="34" s="1"/>
  <c r="O132" i="34"/>
  <c r="N132" i="34"/>
  <c r="L132" i="34"/>
  <c r="K132" i="34"/>
  <c r="H132" i="34"/>
  <c r="I132" i="34" s="1"/>
  <c r="E132" i="34"/>
  <c r="F132" i="34" s="1"/>
  <c r="O131" i="34"/>
  <c r="N131" i="34"/>
  <c r="K131" i="34"/>
  <c r="L131" i="34" s="1"/>
  <c r="H131" i="34"/>
  <c r="I131" i="34" s="1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L129" i="34"/>
  <c r="K129" i="34"/>
  <c r="H129" i="34"/>
  <c r="I129" i="34" s="1"/>
  <c r="E129" i="34"/>
  <c r="F129" i="34" s="1"/>
  <c r="O128" i="34"/>
  <c r="N128" i="34"/>
  <c r="L128" i="34"/>
  <c r="K128" i="34"/>
  <c r="H128" i="34"/>
  <c r="I128" i="34" s="1"/>
  <c r="E128" i="34"/>
  <c r="F128" i="34" s="1"/>
  <c r="O127" i="34"/>
  <c r="N127" i="34"/>
  <c r="L127" i="34"/>
  <c r="K127" i="34"/>
  <c r="H127" i="34"/>
  <c r="I127" i="34" s="1"/>
  <c r="E127" i="34"/>
  <c r="F127" i="34" s="1"/>
  <c r="O126" i="34"/>
  <c r="N126" i="34"/>
  <c r="L126" i="34"/>
  <c r="K126" i="34"/>
  <c r="I126" i="34"/>
  <c r="H126" i="34"/>
  <c r="E126" i="34"/>
  <c r="F126" i="34" s="1"/>
  <c r="O125" i="34"/>
  <c r="O145" i="34" s="1"/>
  <c r="N125" i="34"/>
  <c r="N145" i="34" s="1"/>
  <c r="L125" i="34"/>
  <c r="K125" i="34"/>
  <c r="K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E117" i="34"/>
  <c r="F117" i="34" s="1"/>
  <c r="O116" i="34"/>
  <c r="N116" i="34"/>
  <c r="L116" i="34"/>
  <c r="K116" i="34"/>
  <c r="H116" i="34"/>
  <c r="I116" i="34" s="1"/>
  <c r="E116" i="34"/>
  <c r="F116" i="34" s="1"/>
  <c r="O115" i="34"/>
  <c r="N115" i="34"/>
  <c r="K115" i="34"/>
  <c r="L115" i="34" s="1"/>
  <c r="I115" i="34"/>
  <c r="H115" i="34"/>
  <c r="E115" i="34"/>
  <c r="F115" i="34" s="1"/>
  <c r="O114" i="34"/>
  <c r="N114" i="34"/>
  <c r="K114" i="34"/>
  <c r="L114" i="34" s="1"/>
  <c r="H114" i="34"/>
  <c r="I114" i="34" s="1"/>
  <c r="E114" i="34"/>
  <c r="F114" i="34" s="1"/>
  <c r="O113" i="34"/>
  <c r="N113" i="34"/>
  <c r="L113" i="34"/>
  <c r="K113" i="34"/>
  <c r="H113" i="34"/>
  <c r="I113" i="34" s="1"/>
  <c r="E113" i="34"/>
  <c r="F113" i="34" s="1"/>
  <c r="O112" i="34"/>
  <c r="N112" i="34"/>
  <c r="K112" i="34"/>
  <c r="L112" i="34" s="1"/>
  <c r="H112" i="34"/>
  <c r="I112" i="34" s="1"/>
  <c r="E112" i="34"/>
  <c r="F112" i="34" s="1"/>
  <c r="O111" i="34"/>
  <c r="N111" i="34"/>
  <c r="L111" i="34"/>
  <c r="K111" i="34"/>
  <c r="I111" i="34"/>
  <c r="H111" i="34"/>
  <c r="E111" i="34"/>
  <c r="F111" i="34" s="1"/>
  <c r="O110" i="34"/>
  <c r="N110" i="34"/>
  <c r="K110" i="34"/>
  <c r="L110" i="34" s="1"/>
  <c r="H110" i="34"/>
  <c r="I110" i="34" s="1"/>
  <c r="E110" i="34"/>
  <c r="F110" i="34" s="1"/>
  <c r="O109" i="34"/>
  <c r="N109" i="34"/>
  <c r="L109" i="34"/>
  <c r="K109" i="34"/>
  <c r="H109" i="34"/>
  <c r="I109" i="34" s="1"/>
  <c r="E109" i="34"/>
  <c r="F109" i="34" s="1"/>
  <c r="O108" i="34"/>
  <c r="N108" i="34"/>
  <c r="K108" i="34"/>
  <c r="L108" i="34" s="1"/>
  <c r="H108" i="34"/>
  <c r="I108" i="34" s="1"/>
  <c r="E108" i="34"/>
  <c r="F108" i="34" s="1"/>
  <c r="O107" i="34"/>
  <c r="N107" i="34"/>
  <c r="L107" i="34"/>
  <c r="K107" i="34"/>
  <c r="I107" i="34"/>
  <c r="H107" i="34"/>
  <c r="E107" i="34"/>
  <c r="F107" i="34" s="1"/>
  <c r="O106" i="34"/>
  <c r="N106" i="34"/>
  <c r="L106" i="34"/>
  <c r="K106" i="34"/>
  <c r="H106" i="34"/>
  <c r="I106" i="34" s="1"/>
  <c r="E106" i="34"/>
  <c r="F106" i="34" s="1"/>
  <c r="O105" i="34"/>
  <c r="N105" i="34"/>
  <c r="K105" i="34"/>
  <c r="L105" i="34" s="1"/>
  <c r="H105" i="34"/>
  <c r="I105" i="34" s="1"/>
  <c r="E105" i="34"/>
  <c r="F105" i="34" s="1"/>
  <c r="O104" i="34"/>
  <c r="N104" i="34"/>
  <c r="L104" i="34"/>
  <c r="K104" i="34"/>
  <c r="H104" i="34"/>
  <c r="I104" i="34" s="1"/>
  <c r="E104" i="34"/>
  <c r="F104" i="34" s="1"/>
  <c r="O103" i="34"/>
  <c r="N103" i="34"/>
  <c r="K103" i="34"/>
  <c r="L103" i="34" s="1"/>
  <c r="I103" i="34"/>
  <c r="H103" i="34"/>
  <c r="E103" i="34"/>
  <c r="F103" i="34" s="1"/>
  <c r="O102" i="34"/>
  <c r="N102" i="34"/>
  <c r="L102" i="34"/>
  <c r="K102" i="34"/>
  <c r="H102" i="34"/>
  <c r="I102" i="34" s="1"/>
  <c r="E102" i="34"/>
  <c r="F102" i="34" s="1"/>
  <c r="O101" i="34"/>
  <c r="N101" i="34"/>
  <c r="K101" i="34"/>
  <c r="L101" i="34" s="1"/>
  <c r="H101" i="34"/>
  <c r="I101" i="34" s="1"/>
  <c r="E101" i="34"/>
  <c r="F101" i="34" s="1"/>
  <c r="O100" i="34"/>
  <c r="N100" i="34"/>
  <c r="L100" i="34"/>
  <c r="K100" i="34"/>
  <c r="H100" i="34"/>
  <c r="I100" i="34" s="1"/>
  <c r="E100" i="34"/>
  <c r="F100" i="34" s="1"/>
  <c r="O99" i="34"/>
  <c r="N99" i="34"/>
  <c r="K99" i="34"/>
  <c r="L99" i="34" s="1"/>
  <c r="I99" i="34"/>
  <c r="H99" i="34"/>
  <c r="E99" i="34"/>
  <c r="F99" i="34" s="1"/>
  <c r="O98" i="34"/>
  <c r="O118" i="34" s="1"/>
  <c r="N98" i="34"/>
  <c r="N118" i="34" s="1"/>
  <c r="K98" i="34"/>
  <c r="H98" i="34"/>
  <c r="H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E90" i="34"/>
  <c r="F90" i="34" s="1"/>
  <c r="O89" i="34"/>
  <c r="N89" i="34"/>
  <c r="K89" i="34"/>
  <c r="L89" i="34" s="1"/>
  <c r="H89" i="34"/>
  <c r="I89" i="34" s="1"/>
  <c r="E89" i="34"/>
  <c r="F89" i="34" s="1"/>
  <c r="O88" i="34"/>
  <c r="N88" i="34"/>
  <c r="K88" i="34"/>
  <c r="L88" i="34" s="1"/>
  <c r="I88" i="34"/>
  <c r="H88" i="34"/>
  <c r="E88" i="34"/>
  <c r="F88" i="34" s="1"/>
  <c r="O87" i="34"/>
  <c r="N87" i="34"/>
  <c r="L87" i="34"/>
  <c r="K87" i="34"/>
  <c r="H87" i="34"/>
  <c r="I87" i="34" s="1"/>
  <c r="F87" i="34"/>
  <c r="E87" i="34"/>
  <c r="O86" i="34"/>
  <c r="N86" i="34"/>
  <c r="K86" i="34"/>
  <c r="L86" i="34" s="1"/>
  <c r="H86" i="34"/>
  <c r="I86" i="34" s="1"/>
  <c r="F86" i="34"/>
  <c r="E86" i="34"/>
  <c r="O85" i="34"/>
  <c r="N85" i="34"/>
  <c r="L85" i="34"/>
  <c r="K85" i="34"/>
  <c r="H85" i="34"/>
  <c r="I85" i="34" s="1"/>
  <c r="F85" i="34"/>
  <c r="E85" i="34"/>
  <c r="O84" i="34"/>
  <c r="N84" i="34"/>
  <c r="K84" i="34"/>
  <c r="L84" i="34" s="1"/>
  <c r="H84" i="34"/>
  <c r="I84" i="34" s="1"/>
  <c r="F84" i="34"/>
  <c r="E84" i="34"/>
  <c r="O83" i="34"/>
  <c r="N83" i="34"/>
  <c r="L83" i="34"/>
  <c r="K83" i="34"/>
  <c r="H83" i="34"/>
  <c r="I83" i="34" s="1"/>
  <c r="F83" i="34"/>
  <c r="E83" i="34"/>
  <c r="O82" i="34"/>
  <c r="N82" i="34"/>
  <c r="K82" i="34"/>
  <c r="L82" i="34" s="1"/>
  <c r="H82" i="34"/>
  <c r="I82" i="34" s="1"/>
  <c r="F82" i="34"/>
  <c r="E82" i="34"/>
  <c r="O81" i="34"/>
  <c r="N81" i="34"/>
  <c r="L81" i="34"/>
  <c r="K81" i="34"/>
  <c r="H81" i="34"/>
  <c r="I81" i="34" s="1"/>
  <c r="F81" i="34"/>
  <c r="E81" i="34"/>
  <c r="O80" i="34"/>
  <c r="N80" i="34"/>
  <c r="K80" i="34"/>
  <c r="L80" i="34" s="1"/>
  <c r="H80" i="34"/>
  <c r="I80" i="34" s="1"/>
  <c r="F80" i="34"/>
  <c r="E80" i="34"/>
  <c r="O79" i="34"/>
  <c r="N79" i="34"/>
  <c r="L79" i="34"/>
  <c r="K79" i="34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L77" i="34"/>
  <c r="K77" i="34"/>
  <c r="H77" i="34"/>
  <c r="I77" i="34" s="1"/>
  <c r="F77" i="34"/>
  <c r="E77" i="34"/>
  <c r="O76" i="34"/>
  <c r="N76" i="34"/>
  <c r="K76" i="34"/>
  <c r="L76" i="34" s="1"/>
  <c r="H76" i="34"/>
  <c r="I76" i="34" s="1"/>
  <c r="F76" i="34"/>
  <c r="E76" i="34"/>
  <c r="O75" i="34"/>
  <c r="N75" i="34"/>
  <c r="L75" i="34"/>
  <c r="K75" i="34"/>
  <c r="H75" i="34"/>
  <c r="I75" i="34" s="1"/>
  <c r="F75" i="34"/>
  <c r="E75" i="34"/>
  <c r="O74" i="34"/>
  <c r="N74" i="34"/>
  <c r="K74" i="34"/>
  <c r="L74" i="34" s="1"/>
  <c r="H74" i="34"/>
  <c r="I74" i="34" s="1"/>
  <c r="F74" i="34"/>
  <c r="E74" i="34"/>
  <c r="O73" i="34"/>
  <c r="N73" i="34"/>
  <c r="L73" i="34"/>
  <c r="K73" i="34"/>
  <c r="H73" i="34"/>
  <c r="I73" i="34" s="1"/>
  <c r="F73" i="34"/>
  <c r="E73" i="34"/>
  <c r="O72" i="34"/>
  <c r="N72" i="34"/>
  <c r="K72" i="34"/>
  <c r="L72" i="34" s="1"/>
  <c r="H72" i="34"/>
  <c r="I72" i="34" s="1"/>
  <c r="F72" i="34"/>
  <c r="E72" i="34"/>
  <c r="O71" i="34"/>
  <c r="O91" i="34" s="1"/>
  <c r="N71" i="34"/>
  <c r="N91" i="34" s="1"/>
  <c r="L71" i="34"/>
  <c r="K71" i="34"/>
  <c r="H71" i="34"/>
  <c r="H91" i="34" s="1"/>
  <c r="F71" i="34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F59" i="34"/>
  <c r="E59" i="34"/>
  <c r="O58" i="34"/>
  <c r="N58" i="34"/>
  <c r="L58" i="34"/>
  <c r="K58" i="34"/>
  <c r="H58" i="34"/>
  <c r="I58" i="34" s="1"/>
  <c r="F58" i="34"/>
  <c r="E58" i="34"/>
  <c r="O57" i="34"/>
  <c r="N57" i="34"/>
  <c r="K57" i="34"/>
  <c r="L57" i="34" s="1"/>
  <c r="H57" i="34"/>
  <c r="I57" i="34" s="1"/>
  <c r="F57" i="34"/>
  <c r="E57" i="34"/>
  <c r="O56" i="34"/>
  <c r="N56" i="34"/>
  <c r="K56" i="34"/>
  <c r="L56" i="34" s="1"/>
  <c r="H56" i="34"/>
  <c r="I56" i="34" s="1"/>
  <c r="F56" i="34"/>
  <c r="E56" i="34"/>
  <c r="O55" i="34"/>
  <c r="N55" i="34"/>
  <c r="K55" i="34"/>
  <c r="L55" i="34" s="1"/>
  <c r="H55" i="34"/>
  <c r="I55" i="34" s="1"/>
  <c r="F55" i="34"/>
  <c r="E55" i="34"/>
  <c r="O54" i="34"/>
  <c r="N54" i="34"/>
  <c r="L54" i="34"/>
  <c r="K54" i="34"/>
  <c r="H54" i="34"/>
  <c r="I54" i="34" s="1"/>
  <c r="F54" i="34"/>
  <c r="E54" i="34"/>
  <c r="O53" i="34"/>
  <c r="N53" i="34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F52" i="34"/>
  <c r="E52" i="34"/>
  <c r="O51" i="34"/>
  <c r="N51" i="34"/>
  <c r="K51" i="34"/>
  <c r="L51" i="34" s="1"/>
  <c r="H51" i="34"/>
  <c r="I51" i="34" s="1"/>
  <c r="F51" i="34"/>
  <c r="E51" i="34"/>
  <c r="O50" i="34"/>
  <c r="N50" i="34"/>
  <c r="L50" i="34"/>
  <c r="K50" i="34"/>
  <c r="H50" i="34"/>
  <c r="I50" i="34" s="1"/>
  <c r="F50" i="34"/>
  <c r="E50" i="34"/>
  <c r="O49" i="34"/>
  <c r="N49" i="34"/>
  <c r="K49" i="34"/>
  <c r="L49" i="34" s="1"/>
  <c r="H49" i="34"/>
  <c r="I49" i="34" s="1"/>
  <c r="E49" i="34"/>
  <c r="F49" i="34" s="1"/>
  <c r="O48" i="34"/>
  <c r="N48" i="34"/>
  <c r="L48" i="34"/>
  <c r="K48" i="34"/>
  <c r="H48" i="34"/>
  <c r="I48" i="34" s="1"/>
  <c r="F48" i="34"/>
  <c r="E48" i="34"/>
  <c r="O47" i="34"/>
  <c r="N47" i="34"/>
  <c r="L47" i="34"/>
  <c r="K47" i="34"/>
  <c r="H47" i="34"/>
  <c r="I47" i="34" s="1"/>
  <c r="F47" i="34"/>
  <c r="E47" i="34"/>
  <c r="O46" i="34"/>
  <c r="N46" i="34"/>
  <c r="K46" i="34"/>
  <c r="L46" i="34" s="1"/>
  <c r="H46" i="34"/>
  <c r="I46" i="34" s="1"/>
  <c r="F46" i="34"/>
  <c r="E46" i="34"/>
  <c r="O45" i="34"/>
  <c r="N45" i="34"/>
  <c r="K45" i="34"/>
  <c r="L45" i="34" s="1"/>
  <c r="H45" i="34"/>
  <c r="I45" i="34" s="1"/>
  <c r="F45" i="34"/>
  <c r="E45" i="34"/>
  <c r="O44" i="34"/>
  <c r="O64" i="34" s="1"/>
  <c r="N44" i="34"/>
  <c r="N64" i="34" s="1"/>
  <c r="L44" i="34"/>
  <c r="K44" i="34"/>
  <c r="H44" i="34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K19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O169" i="33"/>
  <c r="N169" i="33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O167" i="33"/>
  <c r="N167" i="33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N165" i="33"/>
  <c r="O165" i="33" s="1"/>
  <c r="K165" i="33"/>
  <c r="L165" i="33" s="1"/>
  <c r="H165" i="33"/>
  <c r="I165" i="33" s="1"/>
  <c r="F165" i="33"/>
  <c r="E165" i="33"/>
  <c r="N164" i="33"/>
  <c r="O164" i="33" s="1"/>
  <c r="K164" i="33"/>
  <c r="L164" i="33" s="1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K160" i="33"/>
  <c r="L160" i="33" s="1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O158" i="33"/>
  <c r="N158" i="33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K156" i="33"/>
  <c r="L156" i="33" s="1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O153" i="33"/>
  <c r="N153" i="33"/>
  <c r="K153" i="33"/>
  <c r="L153" i="33" s="1"/>
  <c r="H153" i="33"/>
  <c r="I153" i="33" s="1"/>
  <c r="F153" i="33"/>
  <c r="E153" i="33"/>
  <c r="N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N137" i="33"/>
  <c r="O137" i="33" s="1"/>
  <c r="K137" i="33"/>
  <c r="L137" i="33" s="1"/>
  <c r="H137" i="33"/>
  <c r="I137" i="33" s="1"/>
  <c r="E137" i="33"/>
  <c r="F137" i="33" s="1"/>
  <c r="N136" i="33"/>
  <c r="O136" i="33" s="1"/>
  <c r="L136" i="33"/>
  <c r="K136" i="33"/>
  <c r="H136" i="33"/>
  <c r="I136" i="33" s="1"/>
  <c r="E136" i="33"/>
  <c r="F136" i="33" s="1"/>
  <c r="O135" i="33"/>
  <c r="N135" i="33"/>
  <c r="K135" i="33"/>
  <c r="L135" i="33" s="1"/>
  <c r="H135" i="33"/>
  <c r="I135" i="33" s="1"/>
  <c r="E135" i="33"/>
  <c r="F135" i="33" s="1"/>
  <c r="N134" i="33"/>
  <c r="O134" i="33" s="1"/>
  <c r="L134" i="33"/>
  <c r="K134" i="33"/>
  <c r="I134" i="33"/>
  <c r="H134" i="33"/>
  <c r="E134" i="33"/>
  <c r="F134" i="33" s="1"/>
  <c r="O133" i="33"/>
  <c r="N133" i="33"/>
  <c r="L133" i="33"/>
  <c r="K133" i="33"/>
  <c r="H133" i="33"/>
  <c r="I133" i="33" s="1"/>
  <c r="E133" i="33"/>
  <c r="F133" i="33" s="1"/>
  <c r="N132" i="33"/>
  <c r="O132" i="33" s="1"/>
  <c r="K132" i="33"/>
  <c r="L132" i="33" s="1"/>
  <c r="H132" i="33"/>
  <c r="I132" i="33" s="1"/>
  <c r="E132" i="33"/>
  <c r="F132" i="33" s="1"/>
  <c r="O131" i="33"/>
  <c r="N131" i="33"/>
  <c r="L131" i="33"/>
  <c r="K131" i="33"/>
  <c r="H131" i="33"/>
  <c r="I131" i="33" s="1"/>
  <c r="E131" i="33"/>
  <c r="F131" i="33" s="1"/>
  <c r="N130" i="33"/>
  <c r="O130" i="33" s="1"/>
  <c r="K130" i="33"/>
  <c r="L130" i="33" s="1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N128" i="33"/>
  <c r="O128" i="33" s="1"/>
  <c r="K128" i="33"/>
  <c r="L128" i="33" s="1"/>
  <c r="H128" i="33"/>
  <c r="I128" i="33" s="1"/>
  <c r="E128" i="33"/>
  <c r="F128" i="33" s="1"/>
  <c r="N127" i="33"/>
  <c r="O127" i="33" s="1"/>
  <c r="L127" i="33"/>
  <c r="K127" i="33"/>
  <c r="H127" i="33"/>
  <c r="I127" i="33" s="1"/>
  <c r="E127" i="33"/>
  <c r="F127" i="33" s="1"/>
  <c r="O126" i="33"/>
  <c r="N126" i="33"/>
  <c r="K126" i="33"/>
  <c r="L126" i="33" s="1"/>
  <c r="I126" i="33"/>
  <c r="H126" i="33"/>
  <c r="E126" i="33"/>
  <c r="F126" i="33" s="1"/>
  <c r="N125" i="33"/>
  <c r="N145" i="33" s="1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E117" i="33"/>
  <c r="F117" i="33" s="1"/>
  <c r="N116" i="33"/>
  <c r="O116" i="33" s="1"/>
  <c r="K116" i="33"/>
  <c r="L116" i="33" s="1"/>
  <c r="I116" i="33"/>
  <c r="H116" i="33"/>
  <c r="E116" i="33"/>
  <c r="F116" i="33" s="1"/>
  <c r="O115" i="33"/>
  <c r="N115" i="33"/>
  <c r="K115" i="33"/>
  <c r="L115" i="33" s="1"/>
  <c r="I115" i="33"/>
  <c r="H115" i="33"/>
  <c r="E115" i="33"/>
  <c r="F115" i="33" s="1"/>
  <c r="N114" i="33"/>
  <c r="O114" i="33" s="1"/>
  <c r="L114" i="33"/>
  <c r="K114" i="33"/>
  <c r="H114" i="33"/>
  <c r="I114" i="33" s="1"/>
  <c r="E114" i="33"/>
  <c r="F114" i="33" s="1"/>
  <c r="O113" i="33"/>
  <c r="N113" i="33"/>
  <c r="L113" i="33"/>
  <c r="K113" i="33"/>
  <c r="H113" i="33"/>
  <c r="I113" i="33" s="1"/>
  <c r="E113" i="33"/>
  <c r="F113" i="33" s="1"/>
  <c r="N112" i="33"/>
  <c r="O112" i="33" s="1"/>
  <c r="L112" i="33"/>
  <c r="K112" i="33"/>
  <c r="I112" i="33"/>
  <c r="H112" i="33"/>
  <c r="E112" i="33"/>
  <c r="F112" i="33" s="1"/>
  <c r="N111" i="33"/>
  <c r="O111" i="33" s="1"/>
  <c r="K111" i="33"/>
  <c r="L111" i="33" s="1"/>
  <c r="I111" i="33"/>
  <c r="H111" i="33"/>
  <c r="E111" i="33"/>
  <c r="F111" i="33" s="1"/>
  <c r="N110" i="33"/>
  <c r="O110" i="33" s="1"/>
  <c r="K110" i="33"/>
  <c r="L110" i="33" s="1"/>
  <c r="H110" i="33"/>
  <c r="I110" i="33" s="1"/>
  <c r="E110" i="33"/>
  <c r="F110" i="33" s="1"/>
  <c r="O109" i="33"/>
  <c r="N109" i="33"/>
  <c r="L109" i="33"/>
  <c r="K109" i="33"/>
  <c r="H109" i="33"/>
  <c r="I109" i="33" s="1"/>
  <c r="E109" i="33"/>
  <c r="F109" i="33" s="1"/>
  <c r="N108" i="33"/>
  <c r="O108" i="33" s="1"/>
  <c r="K108" i="33"/>
  <c r="L108" i="33" s="1"/>
  <c r="I108" i="33"/>
  <c r="H108" i="33"/>
  <c r="E108" i="33"/>
  <c r="F108" i="33" s="1"/>
  <c r="O107" i="33"/>
  <c r="N107" i="33"/>
  <c r="L107" i="33"/>
  <c r="K107" i="33"/>
  <c r="I107" i="33"/>
  <c r="H107" i="33"/>
  <c r="E107" i="33"/>
  <c r="F107" i="33" s="1"/>
  <c r="N106" i="33"/>
  <c r="O106" i="33" s="1"/>
  <c r="L106" i="33"/>
  <c r="K106" i="33"/>
  <c r="H106" i="33"/>
  <c r="I106" i="33" s="1"/>
  <c r="E106" i="33"/>
  <c r="F106" i="33" s="1"/>
  <c r="N105" i="33"/>
  <c r="O105" i="33" s="1"/>
  <c r="K105" i="33"/>
  <c r="L105" i="33" s="1"/>
  <c r="H105" i="33"/>
  <c r="I105" i="33" s="1"/>
  <c r="E105" i="33"/>
  <c r="F105" i="33" s="1"/>
  <c r="O104" i="33"/>
  <c r="N104" i="33"/>
  <c r="L104" i="33"/>
  <c r="K104" i="33"/>
  <c r="I104" i="33"/>
  <c r="H104" i="33"/>
  <c r="E104" i="33"/>
  <c r="F104" i="33" s="1"/>
  <c r="N103" i="33"/>
  <c r="O103" i="33" s="1"/>
  <c r="K103" i="33"/>
  <c r="L103" i="33" s="1"/>
  <c r="I103" i="33"/>
  <c r="H103" i="33"/>
  <c r="E103" i="33"/>
  <c r="F103" i="33" s="1"/>
  <c r="N102" i="33"/>
  <c r="O102" i="33" s="1"/>
  <c r="K102" i="33"/>
  <c r="L102" i="33" s="1"/>
  <c r="H102" i="33"/>
  <c r="I102" i="33" s="1"/>
  <c r="E102" i="33"/>
  <c r="F102" i="33" s="1"/>
  <c r="O101" i="33"/>
  <c r="N101" i="33"/>
  <c r="L101" i="33"/>
  <c r="K101" i="33"/>
  <c r="H101" i="33"/>
  <c r="I101" i="33" s="1"/>
  <c r="E101" i="33"/>
  <c r="F101" i="33" s="1"/>
  <c r="N100" i="33"/>
  <c r="O100" i="33" s="1"/>
  <c r="K100" i="33"/>
  <c r="L100" i="33" s="1"/>
  <c r="I100" i="33"/>
  <c r="H100" i="33"/>
  <c r="E100" i="33"/>
  <c r="F100" i="33" s="1"/>
  <c r="O99" i="33"/>
  <c r="N99" i="33"/>
  <c r="K99" i="33"/>
  <c r="L99" i="33" s="1"/>
  <c r="I99" i="33"/>
  <c r="H99" i="33"/>
  <c r="E99" i="33"/>
  <c r="F99" i="33" s="1"/>
  <c r="N98" i="33"/>
  <c r="L98" i="33"/>
  <c r="K98" i="33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O90" i="33"/>
  <c r="N90" i="33"/>
  <c r="K90" i="33"/>
  <c r="L90" i="33" s="1"/>
  <c r="I90" i="33"/>
  <c r="H90" i="33"/>
  <c r="E90" i="33"/>
  <c r="F90" i="33" s="1"/>
  <c r="N89" i="33"/>
  <c r="O89" i="33" s="1"/>
  <c r="K89" i="33"/>
  <c r="L89" i="33" s="1"/>
  <c r="H89" i="33"/>
  <c r="I89" i="33" s="1"/>
  <c r="E89" i="33"/>
  <c r="F89" i="33" s="1"/>
  <c r="N88" i="33"/>
  <c r="O88" i="33" s="1"/>
  <c r="K88" i="33"/>
  <c r="L88" i="33" s="1"/>
  <c r="I88" i="33"/>
  <c r="H88" i="33"/>
  <c r="E88" i="33"/>
  <c r="F88" i="33" s="1"/>
  <c r="N87" i="33"/>
  <c r="O87" i="33" s="1"/>
  <c r="K87" i="33"/>
  <c r="L87" i="33" s="1"/>
  <c r="H87" i="33"/>
  <c r="I87" i="33" s="1"/>
  <c r="E87" i="33"/>
  <c r="F87" i="33" s="1"/>
  <c r="N86" i="33"/>
  <c r="O86" i="33" s="1"/>
  <c r="L86" i="33"/>
  <c r="K86" i="33"/>
  <c r="I86" i="33"/>
  <c r="H86" i="33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I84" i="33"/>
  <c r="H84" i="33"/>
  <c r="E84" i="33"/>
  <c r="F84" i="33" s="1"/>
  <c r="O83" i="33"/>
  <c r="N83" i="33"/>
  <c r="L83" i="33"/>
  <c r="K83" i="33"/>
  <c r="H83" i="33"/>
  <c r="I83" i="33" s="1"/>
  <c r="E83" i="33"/>
  <c r="F83" i="33" s="1"/>
  <c r="N82" i="33"/>
  <c r="O82" i="33" s="1"/>
  <c r="K82" i="33"/>
  <c r="L82" i="33" s="1"/>
  <c r="I82" i="33"/>
  <c r="H82" i="33"/>
  <c r="E82" i="33"/>
  <c r="F82" i="33" s="1"/>
  <c r="O81" i="33"/>
  <c r="N81" i="33"/>
  <c r="K81" i="33"/>
  <c r="L81" i="33" s="1"/>
  <c r="H81" i="33"/>
  <c r="I81" i="33" s="1"/>
  <c r="E81" i="33"/>
  <c r="F81" i="33" s="1"/>
  <c r="N80" i="33"/>
  <c r="O80" i="33" s="1"/>
  <c r="K80" i="33"/>
  <c r="L80" i="33" s="1"/>
  <c r="I80" i="33"/>
  <c r="H80" i="33"/>
  <c r="E80" i="33"/>
  <c r="F80" i="33" s="1"/>
  <c r="N79" i="33"/>
  <c r="O79" i="33" s="1"/>
  <c r="K79" i="33"/>
  <c r="L79" i="33" s="1"/>
  <c r="H79" i="33"/>
  <c r="I79" i="33" s="1"/>
  <c r="E79" i="33"/>
  <c r="F79" i="33" s="1"/>
  <c r="O78" i="33"/>
  <c r="N78" i="33"/>
  <c r="L78" i="33"/>
  <c r="K78" i="33"/>
  <c r="I78" i="33"/>
  <c r="H78" i="33"/>
  <c r="E78" i="33"/>
  <c r="F78" i="33" s="1"/>
  <c r="N77" i="33"/>
  <c r="O77" i="33" s="1"/>
  <c r="K77" i="33"/>
  <c r="L77" i="33" s="1"/>
  <c r="H77" i="33"/>
  <c r="I77" i="33" s="1"/>
  <c r="E77" i="33"/>
  <c r="F77" i="33" s="1"/>
  <c r="O76" i="33"/>
  <c r="N76" i="33"/>
  <c r="K76" i="33"/>
  <c r="L76" i="33" s="1"/>
  <c r="I76" i="33"/>
  <c r="H76" i="33"/>
  <c r="E76" i="33"/>
  <c r="F76" i="33" s="1"/>
  <c r="N75" i="33"/>
  <c r="O75" i="33" s="1"/>
  <c r="L75" i="33"/>
  <c r="K75" i="33"/>
  <c r="H75" i="33"/>
  <c r="I75" i="33" s="1"/>
  <c r="E75" i="33"/>
  <c r="F75" i="33" s="1"/>
  <c r="O74" i="33"/>
  <c r="N74" i="33"/>
  <c r="K74" i="33"/>
  <c r="L74" i="33" s="1"/>
  <c r="I74" i="33"/>
  <c r="H74" i="33"/>
  <c r="E74" i="33"/>
  <c r="F74" i="33" s="1"/>
  <c r="N73" i="33"/>
  <c r="O73" i="33" s="1"/>
  <c r="K73" i="33"/>
  <c r="L73" i="33" s="1"/>
  <c r="H73" i="33"/>
  <c r="I73" i="33" s="1"/>
  <c r="F73" i="33"/>
  <c r="E73" i="33"/>
  <c r="O72" i="33"/>
  <c r="N72" i="33"/>
  <c r="L72" i="33"/>
  <c r="K72" i="33"/>
  <c r="H72" i="33"/>
  <c r="I72" i="33" s="1"/>
  <c r="F72" i="33"/>
  <c r="E72" i="33"/>
  <c r="N71" i="33"/>
  <c r="N91" i="33" s="1"/>
  <c r="K71" i="33"/>
  <c r="K91" i="33" s="1"/>
  <c r="H71" i="33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L58" i="33"/>
  <c r="K58" i="33"/>
  <c r="I58" i="33"/>
  <c r="H58" i="33"/>
  <c r="F58" i="33"/>
  <c r="E58" i="33"/>
  <c r="O57" i="33"/>
  <c r="N57" i="33"/>
  <c r="L57" i="33"/>
  <c r="K57" i="33"/>
  <c r="I57" i="33"/>
  <c r="H57" i="33"/>
  <c r="F57" i="33"/>
  <c r="E57" i="33"/>
  <c r="O56" i="33"/>
  <c r="N56" i="33"/>
  <c r="L56" i="33"/>
  <c r="K56" i="33"/>
  <c r="I56" i="33"/>
  <c r="H56" i="33"/>
  <c r="F56" i="33"/>
  <c r="E56" i="33"/>
  <c r="O55" i="33"/>
  <c r="N55" i="33"/>
  <c r="L55" i="33"/>
  <c r="K55" i="33"/>
  <c r="I55" i="33"/>
  <c r="H55" i="33"/>
  <c r="F55" i="33"/>
  <c r="E55" i="33"/>
  <c r="O54" i="33"/>
  <c r="N54" i="33"/>
  <c r="L54" i="33"/>
  <c r="K54" i="33"/>
  <c r="I54" i="33"/>
  <c r="H54" i="33"/>
  <c r="F54" i="33"/>
  <c r="E54" i="33"/>
  <c r="O53" i="33"/>
  <c r="N53" i="33"/>
  <c r="L53" i="33"/>
  <c r="K53" i="33"/>
  <c r="I53" i="33"/>
  <c r="H53" i="33"/>
  <c r="F53" i="33"/>
  <c r="E53" i="33"/>
  <c r="O52" i="33"/>
  <c r="N52" i="33"/>
  <c r="L52" i="33"/>
  <c r="K52" i="33"/>
  <c r="I52" i="33"/>
  <c r="H52" i="33"/>
  <c r="F52" i="33"/>
  <c r="E52" i="33"/>
  <c r="O51" i="33"/>
  <c r="N51" i="33"/>
  <c r="L51" i="33"/>
  <c r="K51" i="33"/>
  <c r="I51" i="33"/>
  <c r="H51" i="33"/>
  <c r="F51" i="33"/>
  <c r="E51" i="33"/>
  <c r="O50" i="33"/>
  <c r="N50" i="33"/>
  <c r="L50" i="33"/>
  <c r="K50" i="33"/>
  <c r="I50" i="33"/>
  <c r="H50" i="33"/>
  <c r="F50" i="33"/>
  <c r="E50" i="33"/>
  <c r="O49" i="33"/>
  <c r="N49" i="33"/>
  <c r="L49" i="33"/>
  <c r="K49" i="33"/>
  <c r="I49" i="33"/>
  <c r="H49" i="33"/>
  <c r="F49" i="33"/>
  <c r="E49" i="33"/>
  <c r="O48" i="33"/>
  <c r="N48" i="33"/>
  <c r="L48" i="33"/>
  <c r="K48" i="33"/>
  <c r="I48" i="33"/>
  <c r="H48" i="33"/>
  <c r="F48" i="33"/>
  <c r="E48" i="33"/>
  <c r="O47" i="33"/>
  <c r="N47" i="33"/>
  <c r="L47" i="33"/>
  <c r="K47" i="33"/>
  <c r="I47" i="33"/>
  <c r="H47" i="33"/>
  <c r="F47" i="33"/>
  <c r="E47" i="33"/>
  <c r="O46" i="33"/>
  <c r="N46" i="33"/>
  <c r="L46" i="33"/>
  <c r="K46" i="33"/>
  <c r="I46" i="33"/>
  <c r="H46" i="33"/>
  <c r="F46" i="33"/>
  <c r="E46" i="33"/>
  <c r="O45" i="33"/>
  <c r="N45" i="33"/>
  <c r="L45" i="33"/>
  <c r="K45" i="33"/>
  <c r="I45" i="33"/>
  <c r="H45" i="33"/>
  <c r="F45" i="33"/>
  <c r="E45" i="33"/>
  <c r="O44" i="33"/>
  <c r="N44" i="33"/>
  <c r="N64" i="33" s="1"/>
  <c r="L44" i="33"/>
  <c r="K44" i="33"/>
  <c r="I44" i="33"/>
  <c r="H44" i="33"/>
  <c r="H64" i="33" s="1"/>
  <c r="F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I198" i="32"/>
  <c r="H198" i="32"/>
  <c r="F198" i="32"/>
  <c r="E198" i="32"/>
  <c r="N197" i="32"/>
  <c r="O197" i="32" s="1"/>
  <c r="L197" i="32"/>
  <c r="K197" i="32"/>
  <c r="I197" i="32"/>
  <c r="H197" i="32"/>
  <c r="F197" i="32"/>
  <c r="E197" i="32"/>
  <c r="N196" i="32"/>
  <c r="O196" i="32" s="1"/>
  <c r="L196" i="32"/>
  <c r="K196" i="32"/>
  <c r="I196" i="32"/>
  <c r="H196" i="32"/>
  <c r="F196" i="32"/>
  <c r="E196" i="32"/>
  <c r="N195" i="32"/>
  <c r="O195" i="32" s="1"/>
  <c r="L195" i="32"/>
  <c r="K195" i="32"/>
  <c r="I195" i="32"/>
  <c r="H195" i="32"/>
  <c r="F195" i="32"/>
  <c r="E195" i="32"/>
  <c r="N194" i="32"/>
  <c r="O194" i="32" s="1"/>
  <c r="L194" i="32"/>
  <c r="K194" i="32"/>
  <c r="I194" i="32"/>
  <c r="H194" i="32"/>
  <c r="F194" i="32"/>
  <c r="E194" i="32"/>
  <c r="N193" i="32"/>
  <c r="O193" i="32" s="1"/>
  <c r="L193" i="32"/>
  <c r="K193" i="32"/>
  <c r="I193" i="32"/>
  <c r="H193" i="32"/>
  <c r="F193" i="32"/>
  <c r="E193" i="32"/>
  <c r="N192" i="32"/>
  <c r="O192" i="32" s="1"/>
  <c r="L192" i="32"/>
  <c r="K192" i="32"/>
  <c r="I192" i="32"/>
  <c r="H192" i="32"/>
  <c r="F192" i="32"/>
  <c r="E192" i="32"/>
  <c r="N191" i="32"/>
  <c r="O191" i="32" s="1"/>
  <c r="L191" i="32"/>
  <c r="K191" i="32"/>
  <c r="I191" i="32"/>
  <c r="H191" i="32"/>
  <c r="F191" i="32"/>
  <c r="E191" i="32"/>
  <c r="N190" i="32"/>
  <c r="O190" i="32" s="1"/>
  <c r="L190" i="32"/>
  <c r="K190" i="32"/>
  <c r="I190" i="32"/>
  <c r="H190" i="32"/>
  <c r="F190" i="32"/>
  <c r="E190" i="32"/>
  <c r="N189" i="32"/>
  <c r="O189" i="32" s="1"/>
  <c r="L189" i="32"/>
  <c r="K189" i="32"/>
  <c r="I189" i="32"/>
  <c r="H189" i="32"/>
  <c r="F189" i="32"/>
  <c r="E189" i="32"/>
  <c r="N188" i="32"/>
  <c r="O188" i="32" s="1"/>
  <c r="L188" i="32"/>
  <c r="K188" i="32"/>
  <c r="I188" i="32"/>
  <c r="H188" i="32"/>
  <c r="F188" i="32"/>
  <c r="E188" i="32"/>
  <c r="N187" i="32"/>
  <c r="O187" i="32" s="1"/>
  <c r="L187" i="32"/>
  <c r="K187" i="32"/>
  <c r="I187" i="32"/>
  <c r="H187" i="32"/>
  <c r="F187" i="32"/>
  <c r="E187" i="32"/>
  <c r="N186" i="32"/>
  <c r="O186" i="32" s="1"/>
  <c r="L186" i="32"/>
  <c r="K186" i="32"/>
  <c r="I186" i="32"/>
  <c r="H186" i="32"/>
  <c r="F186" i="32"/>
  <c r="E186" i="32"/>
  <c r="N185" i="32"/>
  <c r="O185" i="32" s="1"/>
  <c r="L185" i="32"/>
  <c r="K185" i="32"/>
  <c r="I185" i="32"/>
  <c r="H185" i="32"/>
  <c r="F185" i="32"/>
  <c r="E185" i="32"/>
  <c r="N184" i="32"/>
  <c r="O184" i="32" s="1"/>
  <c r="L184" i="32"/>
  <c r="K184" i="32"/>
  <c r="I184" i="32"/>
  <c r="H184" i="32"/>
  <c r="F184" i="32"/>
  <c r="E184" i="32"/>
  <c r="N183" i="32"/>
  <c r="O183" i="32" s="1"/>
  <c r="L183" i="32"/>
  <c r="K183" i="32"/>
  <c r="I183" i="32"/>
  <c r="H183" i="32"/>
  <c r="F183" i="32"/>
  <c r="E183" i="32"/>
  <c r="N182" i="32"/>
  <c r="O182" i="32" s="1"/>
  <c r="L182" i="32"/>
  <c r="K182" i="32"/>
  <c r="I182" i="32"/>
  <c r="H182" i="32"/>
  <c r="F182" i="32"/>
  <c r="E182" i="32"/>
  <c r="N181" i="32"/>
  <c r="O181" i="32" s="1"/>
  <c r="L181" i="32"/>
  <c r="K181" i="32"/>
  <c r="I181" i="32"/>
  <c r="H181" i="32"/>
  <c r="F181" i="32"/>
  <c r="E181" i="32"/>
  <c r="N180" i="32"/>
  <c r="O180" i="32" s="1"/>
  <c r="L180" i="32"/>
  <c r="K180" i="32"/>
  <c r="I180" i="32"/>
  <c r="H180" i="32"/>
  <c r="F180" i="32"/>
  <c r="E180" i="32"/>
  <c r="N179" i="32"/>
  <c r="N199" i="32" s="1"/>
  <c r="L179" i="32"/>
  <c r="L199" i="32" s="1"/>
  <c r="K179" i="32"/>
  <c r="K199" i="32" s="1"/>
  <c r="I179" i="32"/>
  <c r="I199" i="32" s="1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O168" i="32"/>
  <c r="N168" i="32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O165" i="32"/>
  <c r="N165" i="32"/>
  <c r="K165" i="32"/>
  <c r="L165" i="32" s="1"/>
  <c r="H165" i="32"/>
  <c r="I165" i="32" s="1"/>
  <c r="F165" i="32"/>
  <c r="E165" i="32"/>
  <c r="N164" i="32"/>
  <c r="O164" i="32" s="1"/>
  <c r="K164" i="32"/>
  <c r="L164" i="32" s="1"/>
  <c r="H164" i="32"/>
  <c r="I164" i="32" s="1"/>
  <c r="F164" i="32"/>
  <c r="E164" i="32"/>
  <c r="O163" i="32"/>
  <c r="N163" i="32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O160" i="32"/>
  <c r="N160" i="32"/>
  <c r="K160" i="32"/>
  <c r="L160" i="32" s="1"/>
  <c r="H160" i="32"/>
  <c r="I160" i="32" s="1"/>
  <c r="F160" i="32"/>
  <c r="E160" i="32"/>
  <c r="O159" i="32"/>
  <c r="N159" i="32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O152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O139" i="32"/>
  <c r="N139" i="32"/>
  <c r="L139" i="32"/>
  <c r="K139" i="32"/>
  <c r="I139" i="32"/>
  <c r="H139" i="32"/>
  <c r="F139" i="32"/>
  <c r="E139" i="32"/>
  <c r="O138" i="32"/>
  <c r="N138" i="32"/>
  <c r="L138" i="32"/>
  <c r="K138" i="32"/>
  <c r="I138" i="32"/>
  <c r="H138" i="32"/>
  <c r="F138" i="32"/>
  <c r="E138" i="32"/>
  <c r="O137" i="32"/>
  <c r="N137" i="32"/>
  <c r="L137" i="32"/>
  <c r="K137" i="32"/>
  <c r="I137" i="32"/>
  <c r="H137" i="32"/>
  <c r="F137" i="32"/>
  <c r="E137" i="32"/>
  <c r="O136" i="32"/>
  <c r="N136" i="32"/>
  <c r="L136" i="32"/>
  <c r="K136" i="32"/>
  <c r="I136" i="32"/>
  <c r="H136" i="32"/>
  <c r="F136" i="32"/>
  <c r="E136" i="32"/>
  <c r="O135" i="32"/>
  <c r="N135" i="32"/>
  <c r="L135" i="32"/>
  <c r="K135" i="32"/>
  <c r="I135" i="32"/>
  <c r="H135" i="32"/>
  <c r="F135" i="32"/>
  <c r="E135" i="32"/>
  <c r="O134" i="32"/>
  <c r="N134" i="32"/>
  <c r="L134" i="32"/>
  <c r="K134" i="32"/>
  <c r="I134" i="32"/>
  <c r="H134" i="32"/>
  <c r="F134" i="32"/>
  <c r="E134" i="32"/>
  <c r="O133" i="32"/>
  <c r="N133" i="32"/>
  <c r="L133" i="32"/>
  <c r="K133" i="32"/>
  <c r="I133" i="32"/>
  <c r="H133" i="32"/>
  <c r="F133" i="32"/>
  <c r="E133" i="32"/>
  <c r="O132" i="32"/>
  <c r="N132" i="32"/>
  <c r="L132" i="32"/>
  <c r="K132" i="32"/>
  <c r="I132" i="32"/>
  <c r="H132" i="32"/>
  <c r="F132" i="32"/>
  <c r="E132" i="32"/>
  <c r="O131" i="32"/>
  <c r="N131" i="32"/>
  <c r="L131" i="32"/>
  <c r="K131" i="32"/>
  <c r="I131" i="32"/>
  <c r="H131" i="32"/>
  <c r="F131" i="32"/>
  <c r="E131" i="32"/>
  <c r="O130" i="32"/>
  <c r="N130" i="32"/>
  <c r="L130" i="32"/>
  <c r="K130" i="32"/>
  <c r="I130" i="32"/>
  <c r="H130" i="32"/>
  <c r="F130" i="32"/>
  <c r="E130" i="32"/>
  <c r="O129" i="32"/>
  <c r="N129" i="32"/>
  <c r="L129" i="32"/>
  <c r="K129" i="32"/>
  <c r="I129" i="32"/>
  <c r="H129" i="32"/>
  <c r="F129" i="32"/>
  <c r="E129" i="32"/>
  <c r="O128" i="32"/>
  <c r="N128" i="32"/>
  <c r="L128" i="32"/>
  <c r="K128" i="32"/>
  <c r="I128" i="32"/>
  <c r="H128" i="32"/>
  <c r="F128" i="32"/>
  <c r="E128" i="32"/>
  <c r="O127" i="32"/>
  <c r="N127" i="32"/>
  <c r="L127" i="32"/>
  <c r="K127" i="32"/>
  <c r="I127" i="32"/>
  <c r="H127" i="32"/>
  <c r="F127" i="32"/>
  <c r="E127" i="32"/>
  <c r="O126" i="32"/>
  <c r="N126" i="32"/>
  <c r="L126" i="32"/>
  <c r="K126" i="32"/>
  <c r="I126" i="32"/>
  <c r="H126" i="32"/>
  <c r="F126" i="32"/>
  <c r="E126" i="32"/>
  <c r="O125" i="32"/>
  <c r="O145" i="32" s="1"/>
  <c r="N125" i="32"/>
  <c r="N145" i="32" s="1"/>
  <c r="L125" i="32"/>
  <c r="L145" i="32" s="1"/>
  <c r="K125" i="32"/>
  <c r="K145" i="32" s="1"/>
  <c r="I125" i="32"/>
  <c r="I145" i="32" s="1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N116" i="32"/>
  <c r="O116" i="32" s="1"/>
  <c r="K116" i="32"/>
  <c r="L116" i="32" s="1"/>
  <c r="H116" i="32"/>
  <c r="I116" i="32" s="1"/>
  <c r="E116" i="32"/>
  <c r="F116" i="32" s="1"/>
  <c r="N115" i="32"/>
  <c r="O115" i="32" s="1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N113" i="32"/>
  <c r="O113" i="32" s="1"/>
  <c r="K113" i="32"/>
  <c r="L113" i="32" s="1"/>
  <c r="H113" i="32"/>
  <c r="I113" i="32" s="1"/>
  <c r="E113" i="32"/>
  <c r="F113" i="32" s="1"/>
  <c r="O112" i="32"/>
  <c r="N112" i="32"/>
  <c r="L112" i="32"/>
  <c r="K112" i="32"/>
  <c r="H112" i="32"/>
  <c r="I112" i="32" s="1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L108" i="32"/>
  <c r="K108" i="32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L103" i="32"/>
  <c r="K103" i="32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N100" i="32"/>
  <c r="O100" i="32" s="1"/>
  <c r="K100" i="32"/>
  <c r="L100" i="32" s="1"/>
  <c r="H100" i="32"/>
  <c r="I100" i="32" s="1"/>
  <c r="E100" i="32"/>
  <c r="F100" i="32" s="1"/>
  <c r="N99" i="32"/>
  <c r="O99" i="32" s="1"/>
  <c r="L99" i="32"/>
  <c r="K99" i="32"/>
  <c r="I99" i="32"/>
  <c r="H99" i="32"/>
  <c r="E99" i="32"/>
  <c r="F99" i="32" s="1"/>
  <c r="N98" i="32"/>
  <c r="L98" i="32"/>
  <c r="K98" i="32"/>
  <c r="K118" i="32" s="1"/>
  <c r="I98" i="32"/>
  <c r="H98" i="32"/>
  <c r="E98" i="32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K88" i="32"/>
  <c r="L88" i="32" s="1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L86" i="32"/>
  <c r="K86" i="32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N81" i="32"/>
  <c r="O81" i="32" s="1"/>
  <c r="K81" i="32"/>
  <c r="L81" i="32" s="1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K79" i="32"/>
  <c r="L79" i="32" s="1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N77" i="32"/>
  <c r="O77" i="32" s="1"/>
  <c r="L77" i="32"/>
  <c r="K77" i="32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N75" i="32"/>
  <c r="O75" i="32" s="1"/>
  <c r="L75" i="32"/>
  <c r="K75" i="32"/>
  <c r="I75" i="32"/>
  <c r="H75" i="32"/>
  <c r="E75" i="32"/>
  <c r="F75" i="32" s="1"/>
  <c r="O74" i="32"/>
  <c r="N74" i="32"/>
  <c r="K74" i="32"/>
  <c r="L74" i="32" s="1"/>
  <c r="H74" i="32"/>
  <c r="I74" i="32" s="1"/>
  <c r="E74" i="32"/>
  <c r="F74" i="32" s="1"/>
  <c r="N73" i="32"/>
  <c r="O73" i="32" s="1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O71" i="32"/>
  <c r="N71" i="32"/>
  <c r="K71" i="32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H60" i="32"/>
  <c r="I60" i="32" s="1"/>
  <c r="E60" i="32"/>
  <c r="F60" i="32" s="1"/>
  <c r="O59" i="32"/>
  <c r="N59" i="32"/>
  <c r="K59" i="32"/>
  <c r="L59" i="32" s="1"/>
  <c r="I59" i="32"/>
  <c r="H59" i="32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K57" i="32"/>
  <c r="L57" i="32" s="1"/>
  <c r="I57" i="32"/>
  <c r="H57" i="32"/>
  <c r="E57" i="32"/>
  <c r="F57" i="32" s="1"/>
  <c r="O56" i="32"/>
  <c r="N56" i="32"/>
  <c r="K56" i="32"/>
  <c r="L56" i="32" s="1"/>
  <c r="H56" i="32"/>
  <c r="I56" i="32" s="1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I51" i="32"/>
  <c r="H51" i="32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K48" i="32"/>
  <c r="L48" i="32" s="1"/>
  <c r="H48" i="32"/>
  <c r="I48" i="32" s="1"/>
  <c r="E48" i="32"/>
  <c r="F48" i="32" s="1"/>
  <c r="N47" i="32"/>
  <c r="O47" i="32" s="1"/>
  <c r="L47" i="32"/>
  <c r="K47" i="32"/>
  <c r="I47" i="32"/>
  <c r="H47" i="32"/>
  <c r="E47" i="32"/>
  <c r="F47" i="32" s="1"/>
  <c r="N46" i="32"/>
  <c r="O46" i="32" s="1"/>
  <c r="K46" i="32"/>
  <c r="L46" i="32" s="1"/>
  <c r="H46" i="32"/>
  <c r="I46" i="32" s="1"/>
  <c r="E46" i="32"/>
  <c r="F46" i="32" s="1"/>
  <c r="N45" i="32"/>
  <c r="O45" i="32" s="1"/>
  <c r="L45" i="32"/>
  <c r="K45" i="32"/>
  <c r="I45" i="32"/>
  <c r="H45" i="32"/>
  <c r="E45" i="32"/>
  <c r="F45" i="32" s="1"/>
  <c r="N44" i="32"/>
  <c r="L44" i="32"/>
  <c r="K44" i="32"/>
  <c r="H44" i="32"/>
  <c r="H64" i="32" s="1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O195" i="31"/>
  <c r="N195" i="31"/>
  <c r="L195" i="31"/>
  <c r="K195" i="3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L191" i="31"/>
  <c r="K191" i="3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O188" i="31"/>
  <c r="N188" i="31"/>
  <c r="K188" i="31"/>
  <c r="L188" i="31" s="1"/>
  <c r="H188" i="31"/>
  <c r="I188" i="31" s="1"/>
  <c r="F188" i="31"/>
  <c r="E188" i="31"/>
  <c r="O187" i="31"/>
  <c r="N187" i="31"/>
  <c r="L187" i="31"/>
  <c r="K187" i="3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L183" i="31"/>
  <c r="K183" i="3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O181" i="31"/>
  <c r="N181" i="3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O179" i="31"/>
  <c r="N179" i="31"/>
  <c r="L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N169" i="31"/>
  <c r="O169" i="31" s="1"/>
  <c r="K169" i="31"/>
  <c r="L169" i="31" s="1"/>
  <c r="H169" i="31"/>
  <c r="I169" i="31" s="1"/>
  <c r="F169" i="31"/>
  <c r="E169" i="31"/>
  <c r="O168" i="31"/>
  <c r="N168" i="3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O165" i="31"/>
  <c r="N165" i="31"/>
  <c r="K165" i="31"/>
  <c r="L165" i="31" s="1"/>
  <c r="H165" i="31"/>
  <c r="I165" i="31" s="1"/>
  <c r="F165" i="31"/>
  <c r="E165" i="31"/>
  <c r="N164" i="31"/>
  <c r="O164" i="31" s="1"/>
  <c r="L164" i="31"/>
  <c r="K164" i="3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N161" i="31"/>
  <c r="O161" i="31" s="1"/>
  <c r="K161" i="31"/>
  <c r="L161" i="31" s="1"/>
  <c r="H161" i="31"/>
  <c r="I161" i="31" s="1"/>
  <c r="F161" i="31"/>
  <c r="E161" i="31"/>
  <c r="O160" i="31"/>
  <c r="N160" i="3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N156" i="31"/>
  <c r="O156" i="31" s="1"/>
  <c r="L156" i="31"/>
  <c r="K156" i="3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N153" i="31"/>
  <c r="O153" i="31" s="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O140" i="31"/>
  <c r="N140" i="31"/>
  <c r="L140" i="31"/>
  <c r="K140" i="31"/>
  <c r="I140" i="31"/>
  <c r="H140" i="31"/>
  <c r="F140" i="31"/>
  <c r="E140" i="31"/>
  <c r="O139" i="31"/>
  <c r="N139" i="31"/>
  <c r="L139" i="31"/>
  <c r="K139" i="31"/>
  <c r="H139" i="31"/>
  <c r="I139" i="31" s="1"/>
  <c r="F139" i="31"/>
  <c r="E139" i="31"/>
  <c r="N138" i="31"/>
  <c r="O138" i="31" s="1"/>
  <c r="K138" i="31"/>
  <c r="L138" i="31" s="1"/>
  <c r="I138" i="31"/>
  <c r="H138" i="31"/>
  <c r="F138" i="31"/>
  <c r="E138" i="31"/>
  <c r="O137" i="31"/>
  <c r="N137" i="31"/>
  <c r="K137" i="31"/>
  <c r="L137" i="31" s="1"/>
  <c r="I137" i="31"/>
  <c r="H137" i="31"/>
  <c r="F137" i="31"/>
  <c r="E137" i="31"/>
  <c r="N136" i="31"/>
  <c r="O136" i="31" s="1"/>
  <c r="K136" i="31"/>
  <c r="L136" i="31" s="1"/>
  <c r="I136" i="31"/>
  <c r="H136" i="31"/>
  <c r="F136" i="31"/>
  <c r="E136" i="31"/>
  <c r="N135" i="31"/>
  <c r="O135" i="31" s="1"/>
  <c r="K135" i="31"/>
  <c r="L135" i="31" s="1"/>
  <c r="I135" i="31"/>
  <c r="H135" i="31"/>
  <c r="F135" i="31"/>
  <c r="E135" i="31"/>
  <c r="N134" i="31"/>
  <c r="O134" i="31" s="1"/>
  <c r="K134" i="31"/>
  <c r="L134" i="31" s="1"/>
  <c r="I134" i="31"/>
  <c r="H134" i="31"/>
  <c r="F134" i="31"/>
  <c r="E134" i="31"/>
  <c r="O133" i="31"/>
  <c r="N133" i="31"/>
  <c r="K133" i="31"/>
  <c r="L133" i="31" s="1"/>
  <c r="I133" i="31"/>
  <c r="H133" i="31"/>
  <c r="F133" i="31"/>
  <c r="E133" i="31"/>
  <c r="N132" i="31"/>
  <c r="O132" i="31" s="1"/>
  <c r="K132" i="31"/>
  <c r="L132" i="31" s="1"/>
  <c r="I132" i="31"/>
  <c r="H132" i="31"/>
  <c r="F132" i="31"/>
  <c r="E132" i="31"/>
  <c r="N131" i="31"/>
  <c r="O131" i="31" s="1"/>
  <c r="K131" i="31"/>
  <c r="L131" i="31" s="1"/>
  <c r="I131" i="31"/>
  <c r="H131" i="31"/>
  <c r="F131" i="31"/>
  <c r="E131" i="31"/>
  <c r="N130" i="31"/>
  <c r="O130" i="31" s="1"/>
  <c r="K130" i="31"/>
  <c r="L130" i="31" s="1"/>
  <c r="I130" i="31"/>
  <c r="H130" i="31"/>
  <c r="F130" i="31"/>
  <c r="E130" i="31"/>
  <c r="O129" i="31"/>
  <c r="N129" i="31"/>
  <c r="K129" i="31"/>
  <c r="L129" i="31" s="1"/>
  <c r="I129" i="31"/>
  <c r="H129" i="31"/>
  <c r="F129" i="31"/>
  <c r="E129" i="31"/>
  <c r="N128" i="31"/>
  <c r="O128" i="31" s="1"/>
  <c r="K128" i="31"/>
  <c r="L128" i="31" s="1"/>
  <c r="I128" i="31"/>
  <c r="H128" i="31"/>
  <c r="F128" i="31"/>
  <c r="E128" i="31"/>
  <c r="N127" i="31"/>
  <c r="O127" i="31" s="1"/>
  <c r="K127" i="31"/>
  <c r="L127" i="31" s="1"/>
  <c r="I127" i="31"/>
  <c r="H127" i="31"/>
  <c r="F127" i="31"/>
  <c r="E127" i="31"/>
  <c r="N126" i="31"/>
  <c r="O126" i="31" s="1"/>
  <c r="K126" i="31"/>
  <c r="L126" i="31" s="1"/>
  <c r="I126" i="31"/>
  <c r="H126" i="31"/>
  <c r="F126" i="31"/>
  <c r="E126" i="31"/>
  <c r="O125" i="31"/>
  <c r="N125" i="31"/>
  <c r="K125" i="31"/>
  <c r="K145" i="31" s="1"/>
  <c r="I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I116" i="31"/>
  <c r="H116" i="3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I112" i="31"/>
  <c r="H112" i="31"/>
  <c r="E112" i="31"/>
  <c r="F112" i="31" s="1"/>
  <c r="N111" i="31"/>
  <c r="O111" i="31" s="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N109" i="31"/>
  <c r="O109" i="31" s="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E104" i="31"/>
  <c r="F104" i="31" s="1"/>
  <c r="N103" i="31"/>
  <c r="O103" i="31" s="1"/>
  <c r="K103" i="31"/>
  <c r="L103" i="31" s="1"/>
  <c r="I103" i="31"/>
  <c r="H103" i="31"/>
  <c r="F103" i="31"/>
  <c r="E103" i="31"/>
  <c r="N102" i="31"/>
  <c r="O102" i="31" s="1"/>
  <c r="K102" i="31"/>
  <c r="L102" i="31" s="1"/>
  <c r="I102" i="31"/>
  <c r="H102" i="31"/>
  <c r="E102" i="31"/>
  <c r="F102" i="31" s="1"/>
  <c r="O101" i="31"/>
  <c r="N101" i="31"/>
  <c r="K101" i="31"/>
  <c r="L101" i="31" s="1"/>
  <c r="H101" i="31"/>
  <c r="I101" i="31" s="1"/>
  <c r="E101" i="31"/>
  <c r="F101" i="31" s="1"/>
  <c r="N100" i="31"/>
  <c r="O100" i="31" s="1"/>
  <c r="K100" i="31"/>
  <c r="L100" i="31" s="1"/>
  <c r="I100" i="31"/>
  <c r="H100" i="31"/>
  <c r="E100" i="31"/>
  <c r="F100" i="31" s="1"/>
  <c r="N99" i="31"/>
  <c r="O99" i="31" s="1"/>
  <c r="K99" i="31"/>
  <c r="L99" i="31" s="1"/>
  <c r="H99" i="31"/>
  <c r="I99" i="31" s="1"/>
  <c r="E99" i="31"/>
  <c r="F99" i="31" s="1"/>
  <c r="O98" i="31"/>
  <c r="N98" i="31"/>
  <c r="L98" i="31"/>
  <c r="K98" i="3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O88" i="31"/>
  <c r="N88" i="31"/>
  <c r="K88" i="31"/>
  <c r="L88" i="31" s="1"/>
  <c r="H88" i="31"/>
  <c r="I88" i="31" s="1"/>
  <c r="E88" i="31"/>
  <c r="F88" i="31" s="1"/>
  <c r="N87" i="31"/>
  <c r="O87" i="31" s="1"/>
  <c r="K87" i="31"/>
  <c r="L87" i="31" s="1"/>
  <c r="I87" i="31"/>
  <c r="H87" i="31"/>
  <c r="E87" i="31"/>
  <c r="F87" i="31" s="1"/>
  <c r="O86" i="31"/>
  <c r="N86" i="31"/>
  <c r="L86" i="31"/>
  <c r="K86" i="3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N84" i="31"/>
  <c r="O84" i="31" s="1"/>
  <c r="L84" i="31"/>
  <c r="K84" i="3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O80" i="31"/>
  <c r="N80" i="31"/>
  <c r="K80" i="31"/>
  <c r="L80" i="31" s="1"/>
  <c r="H80" i="31"/>
  <c r="I80" i="31" s="1"/>
  <c r="E80" i="31"/>
  <c r="F80" i="31" s="1"/>
  <c r="N79" i="31"/>
  <c r="O79" i="31" s="1"/>
  <c r="K79" i="31"/>
  <c r="L79" i="31" s="1"/>
  <c r="I79" i="31"/>
  <c r="H79" i="31"/>
  <c r="E79" i="31"/>
  <c r="F79" i="31" s="1"/>
  <c r="O78" i="31"/>
  <c r="N78" i="31"/>
  <c r="K78" i="31"/>
  <c r="L78" i="31" s="1"/>
  <c r="H78" i="31"/>
  <c r="I78" i="31" s="1"/>
  <c r="E78" i="31"/>
  <c r="F78" i="31" s="1"/>
  <c r="O77" i="31"/>
  <c r="N77" i="31"/>
  <c r="L77" i="31"/>
  <c r="K77" i="31"/>
  <c r="H77" i="31"/>
  <c r="I77" i="31" s="1"/>
  <c r="E77" i="31"/>
  <c r="F77" i="31" s="1"/>
  <c r="N76" i="31"/>
  <c r="O76" i="31" s="1"/>
  <c r="K76" i="31"/>
  <c r="L76" i="31" s="1"/>
  <c r="H76" i="31"/>
  <c r="I76" i="31" s="1"/>
  <c r="E76" i="31"/>
  <c r="F76" i="31" s="1"/>
  <c r="O75" i="31"/>
  <c r="N75" i="31"/>
  <c r="L75" i="31"/>
  <c r="K75" i="3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K73" i="31"/>
  <c r="L73" i="31" s="1"/>
  <c r="H73" i="31"/>
  <c r="I73" i="31" s="1"/>
  <c r="E73" i="31"/>
  <c r="F73" i="31" s="1"/>
  <c r="O72" i="31"/>
  <c r="N72" i="31"/>
  <c r="K72" i="31"/>
  <c r="L72" i="31" s="1"/>
  <c r="H72" i="31"/>
  <c r="I72" i="31" s="1"/>
  <c r="E72" i="31"/>
  <c r="F72" i="31" s="1"/>
  <c r="N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H60" i="31"/>
  <c r="I60" i="31" s="1"/>
  <c r="E60" i="31"/>
  <c r="F60" i="31" s="1"/>
  <c r="N59" i="31"/>
  <c r="O59" i="31" s="1"/>
  <c r="L59" i="31"/>
  <c r="K59" i="31"/>
  <c r="I59" i="31"/>
  <c r="H59" i="31"/>
  <c r="F59" i="31"/>
  <c r="E59" i="31"/>
  <c r="N58" i="31"/>
  <c r="O58" i="31" s="1"/>
  <c r="L58" i="31"/>
  <c r="K58" i="31"/>
  <c r="I58" i="31"/>
  <c r="H58" i="31"/>
  <c r="F58" i="31"/>
  <c r="E58" i="31"/>
  <c r="N57" i="31"/>
  <c r="O57" i="31" s="1"/>
  <c r="L57" i="31"/>
  <c r="K57" i="31"/>
  <c r="I57" i="31"/>
  <c r="H57" i="31"/>
  <c r="F57" i="31"/>
  <c r="E57" i="31"/>
  <c r="N56" i="31"/>
  <c r="O56" i="31" s="1"/>
  <c r="L56" i="31"/>
  <c r="K56" i="31"/>
  <c r="I56" i="31"/>
  <c r="H56" i="31"/>
  <c r="F56" i="31"/>
  <c r="E56" i="31"/>
  <c r="N55" i="31"/>
  <c r="O55" i="31" s="1"/>
  <c r="L55" i="31"/>
  <c r="K55" i="31"/>
  <c r="I55" i="31"/>
  <c r="H55" i="31"/>
  <c r="F55" i="31"/>
  <c r="E55" i="31"/>
  <c r="N54" i="31"/>
  <c r="O54" i="31" s="1"/>
  <c r="L54" i="31"/>
  <c r="K54" i="31"/>
  <c r="I54" i="31"/>
  <c r="H54" i="31"/>
  <c r="E54" i="31"/>
  <c r="F54" i="31" s="1"/>
  <c r="O53" i="31"/>
  <c r="N53" i="31"/>
  <c r="K53" i="31"/>
  <c r="L53" i="31" s="1"/>
  <c r="H53" i="31"/>
  <c r="I53" i="31" s="1"/>
  <c r="E53" i="31"/>
  <c r="F53" i="31" s="1"/>
  <c r="N52" i="31"/>
  <c r="O52" i="31" s="1"/>
  <c r="K52" i="31"/>
  <c r="L52" i="31" s="1"/>
  <c r="H52" i="31"/>
  <c r="I52" i="31" s="1"/>
  <c r="E52" i="31"/>
  <c r="F52" i="31" s="1"/>
  <c r="N51" i="31"/>
  <c r="O51" i="31" s="1"/>
  <c r="L51" i="31"/>
  <c r="K51" i="31"/>
  <c r="I51" i="31"/>
  <c r="H51" i="31"/>
  <c r="E51" i="31"/>
  <c r="F51" i="31" s="1"/>
  <c r="N50" i="31"/>
  <c r="O50" i="31" s="1"/>
  <c r="L50" i="31"/>
  <c r="K50" i="31"/>
  <c r="I50" i="31"/>
  <c r="H50" i="31"/>
  <c r="E50" i="31"/>
  <c r="F50" i="31" s="1"/>
  <c r="O49" i="31"/>
  <c r="N49" i="31"/>
  <c r="K49" i="31"/>
  <c r="L49" i="31" s="1"/>
  <c r="H49" i="31"/>
  <c r="I49" i="31" s="1"/>
  <c r="E49" i="31"/>
  <c r="F49" i="31" s="1"/>
  <c r="N48" i="31"/>
  <c r="O48" i="31" s="1"/>
  <c r="L48" i="31"/>
  <c r="K48" i="31"/>
  <c r="H48" i="31"/>
  <c r="I48" i="31" s="1"/>
  <c r="E48" i="31"/>
  <c r="F48" i="31" s="1"/>
  <c r="O47" i="31"/>
  <c r="N47" i="31"/>
  <c r="K47" i="31"/>
  <c r="L47" i="31" s="1"/>
  <c r="I47" i="31"/>
  <c r="H47" i="31"/>
  <c r="E47" i="31"/>
  <c r="F47" i="31" s="1"/>
  <c r="N46" i="31"/>
  <c r="O46" i="31" s="1"/>
  <c r="L46" i="31"/>
  <c r="K46" i="31"/>
  <c r="I46" i="31"/>
  <c r="H46" i="31"/>
  <c r="E46" i="31"/>
  <c r="F46" i="31" s="1"/>
  <c r="O45" i="31"/>
  <c r="N45" i="31"/>
  <c r="L45" i="31"/>
  <c r="K45" i="31"/>
  <c r="H45" i="31"/>
  <c r="I45" i="31" s="1"/>
  <c r="E45" i="31"/>
  <c r="F45" i="31" s="1"/>
  <c r="N44" i="31"/>
  <c r="N64" i="31" s="1"/>
  <c r="K44" i="31"/>
  <c r="K64" i="31" s="1"/>
  <c r="H44" i="31"/>
  <c r="I44" i="31" s="1"/>
  <c r="I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N195" i="30"/>
  <c r="O195" i="30" s="1"/>
  <c r="L195" i="30"/>
  <c r="K195" i="30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K192" i="30"/>
  <c r="L192" i="30" s="1"/>
  <c r="H192" i="30"/>
  <c r="I192" i="30" s="1"/>
  <c r="F192" i="30"/>
  <c r="E192" i="30"/>
  <c r="N191" i="30"/>
  <c r="O191" i="30" s="1"/>
  <c r="L191" i="30"/>
  <c r="K191" i="30"/>
  <c r="H191" i="30"/>
  <c r="I191" i="30" s="1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K184" i="30"/>
  <c r="L184" i="30" s="1"/>
  <c r="H184" i="30"/>
  <c r="I184" i="30" s="1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L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L169" i="30"/>
  <c r="K169" i="30"/>
  <c r="H169" i="30"/>
  <c r="I169" i="30" s="1"/>
  <c r="F169" i="30"/>
  <c r="E169" i="30"/>
  <c r="O168" i="30"/>
  <c r="N168" i="30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N165" i="30"/>
  <c r="O165" i="30" s="1"/>
  <c r="L165" i="30"/>
  <c r="K165" i="30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L161" i="30"/>
  <c r="K161" i="30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L157" i="30"/>
  <c r="K157" i="30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O155" i="30"/>
  <c r="N155" i="30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L153" i="30"/>
  <c r="K153" i="30"/>
  <c r="H153" i="30"/>
  <c r="I153" i="30" s="1"/>
  <c r="F153" i="30"/>
  <c r="E153" i="30"/>
  <c r="O152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O140" i="30"/>
  <c r="N140" i="30"/>
  <c r="L140" i="30"/>
  <c r="K140" i="30"/>
  <c r="I140" i="30"/>
  <c r="H140" i="30"/>
  <c r="F140" i="30"/>
  <c r="E140" i="30"/>
  <c r="O139" i="30"/>
  <c r="N139" i="30"/>
  <c r="L139" i="30"/>
  <c r="K139" i="30"/>
  <c r="I139" i="30"/>
  <c r="H139" i="30"/>
  <c r="F139" i="30"/>
  <c r="E139" i="30"/>
  <c r="O138" i="30"/>
  <c r="N138" i="30"/>
  <c r="K138" i="30"/>
  <c r="L138" i="30" s="1"/>
  <c r="H138" i="30"/>
  <c r="I138" i="30" s="1"/>
  <c r="E138" i="30"/>
  <c r="F138" i="30" s="1"/>
  <c r="N137" i="30"/>
  <c r="O137" i="30" s="1"/>
  <c r="K137" i="30"/>
  <c r="L137" i="30" s="1"/>
  <c r="I137" i="30"/>
  <c r="H137" i="30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L135" i="30"/>
  <c r="K135" i="30"/>
  <c r="I135" i="30"/>
  <c r="H135" i="30"/>
  <c r="E135" i="30"/>
  <c r="F135" i="30" s="1"/>
  <c r="O134" i="30"/>
  <c r="N134" i="30"/>
  <c r="K134" i="30"/>
  <c r="L134" i="30" s="1"/>
  <c r="H134" i="30"/>
  <c r="I134" i="30" s="1"/>
  <c r="E134" i="30"/>
  <c r="F134" i="30" s="1"/>
  <c r="N133" i="30"/>
  <c r="O133" i="30" s="1"/>
  <c r="K133" i="30"/>
  <c r="L133" i="30" s="1"/>
  <c r="I133" i="30"/>
  <c r="H133" i="30"/>
  <c r="E133" i="30"/>
  <c r="F133" i="30" s="1"/>
  <c r="N132" i="30"/>
  <c r="O132" i="30" s="1"/>
  <c r="L132" i="30"/>
  <c r="K132" i="30"/>
  <c r="H132" i="30"/>
  <c r="I132" i="30" s="1"/>
  <c r="E132" i="30"/>
  <c r="F132" i="30" s="1"/>
  <c r="N131" i="30"/>
  <c r="O131" i="30" s="1"/>
  <c r="L131" i="30"/>
  <c r="K131" i="30"/>
  <c r="I131" i="30"/>
  <c r="H131" i="30"/>
  <c r="E131" i="30"/>
  <c r="F131" i="30" s="1"/>
  <c r="O130" i="30"/>
  <c r="N130" i="30"/>
  <c r="K130" i="30"/>
  <c r="L130" i="30" s="1"/>
  <c r="H130" i="30"/>
  <c r="I130" i="30" s="1"/>
  <c r="E130" i="30"/>
  <c r="F130" i="30" s="1"/>
  <c r="N129" i="30"/>
  <c r="O129" i="30" s="1"/>
  <c r="K129" i="30"/>
  <c r="L129" i="30" s="1"/>
  <c r="I129" i="30"/>
  <c r="H129" i="30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L127" i="30"/>
  <c r="K127" i="30"/>
  <c r="I127" i="30"/>
  <c r="H127" i="30"/>
  <c r="E127" i="30"/>
  <c r="F127" i="30" s="1"/>
  <c r="O126" i="30"/>
  <c r="N126" i="30"/>
  <c r="K126" i="30"/>
  <c r="L126" i="30" s="1"/>
  <c r="H126" i="30"/>
  <c r="I126" i="30" s="1"/>
  <c r="E126" i="30"/>
  <c r="F126" i="30" s="1"/>
  <c r="N125" i="30"/>
  <c r="N145" i="30" s="1"/>
  <c r="K125" i="30"/>
  <c r="K145" i="30" s="1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N112" i="30"/>
  <c r="O112" i="30" s="1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N110" i="30"/>
  <c r="O110" i="30" s="1"/>
  <c r="K110" i="30"/>
  <c r="L110" i="30" s="1"/>
  <c r="H110" i="30"/>
  <c r="I110" i="30" s="1"/>
  <c r="F110" i="30"/>
  <c r="E110" i="30"/>
  <c r="O109" i="30"/>
  <c r="N109" i="30"/>
  <c r="L109" i="30"/>
  <c r="K109" i="30"/>
  <c r="H109" i="30"/>
  <c r="I109" i="30" s="1"/>
  <c r="F109" i="30"/>
  <c r="E109" i="30"/>
  <c r="N108" i="30"/>
  <c r="O108" i="30" s="1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N106" i="30"/>
  <c r="O106" i="30" s="1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O104" i="30"/>
  <c r="N104" i="30"/>
  <c r="K104" i="30"/>
  <c r="L104" i="30" s="1"/>
  <c r="H104" i="30"/>
  <c r="I104" i="30" s="1"/>
  <c r="F104" i="30"/>
  <c r="E104" i="30"/>
  <c r="N103" i="30"/>
  <c r="O103" i="30" s="1"/>
  <c r="K103" i="30"/>
  <c r="L103" i="30" s="1"/>
  <c r="H103" i="30"/>
  <c r="I103" i="30" s="1"/>
  <c r="F103" i="30"/>
  <c r="E103" i="30"/>
  <c r="O102" i="30"/>
  <c r="N102" i="30"/>
  <c r="K102" i="30"/>
  <c r="L102" i="30" s="1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N100" i="30"/>
  <c r="O100" i="30" s="1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L90" i="30"/>
  <c r="K90" i="30"/>
  <c r="H90" i="30"/>
  <c r="I90" i="30" s="1"/>
  <c r="E90" i="30"/>
  <c r="F90" i="30" s="1"/>
  <c r="N89" i="30"/>
  <c r="O89" i="30" s="1"/>
  <c r="L89" i="30"/>
  <c r="K89" i="30"/>
  <c r="I89" i="30"/>
  <c r="H89" i="30"/>
  <c r="E89" i="30"/>
  <c r="F89" i="30" s="1"/>
  <c r="O88" i="30"/>
  <c r="N88" i="30"/>
  <c r="K88" i="30"/>
  <c r="L88" i="30" s="1"/>
  <c r="H88" i="30"/>
  <c r="I88" i="30" s="1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L84" i="30"/>
  <c r="K84" i="30"/>
  <c r="H84" i="30"/>
  <c r="I84" i="30" s="1"/>
  <c r="E84" i="30"/>
  <c r="F84" i="30" s="1"/>
  <c r="O83" i="30"/>
  <c r="N83" i="30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O76" i="30"/>
  <c r="N76" i="30"/>
  <c r="L76" i="30"/>
  <c r="K76" i="30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L73" i="30"/>
  <c r="K73" i="30"/>
  <c r="I73" i="30"/>
  <c r="H73" i="30"/>
  <c r="E73" i="30"/>
  <c r="F73" i="30" s="1"/>
  <c r="O72" i="30"/>
  <c r="N72" i="30"/>
  <c r="K72" i="30"/>
  <c r="L72" i="30" s="1"/>
  <c r="H72" i="30"/>
  <c r="I72" i="30" s="1"/>
  <c r="E72" i="30"/>
  <c r="F72" i="30" s="1"/>
  <c r="N71" i="30"/>
  <c r="K71" i="30"/>
  <c r="K91" i="30" s="1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I59" i="30"/>
  <c r="H59" i="30"/>
  <c r="F59" i="30"/>
  <c r="E59" i="30"/>
  <c r="O58" i="30"/>
  <c r="N58" i="30"/>
  <c r="L58" i="30"/>
  <c r="K58" i="30"/>
  <c r="I58" i="30"/>
  <c r="H58" i="30"/>
  <c r="F58" i="30"/>
  <c r="E58" i="30"/>
  <c r="N57" i="30"/>
  <c r="O57" i="30" s="1"/>
  <c r="K57" i="30"/>
  <c r="L57" i="30" s="1"/>
  <c r="H57" i="30"/>
  <c r="I57" i="30" s="1"/>
  <c r="E57" i="30"/>
  <c r="F57" i="30" s="1"/>
  <c r="O56" i="30"/>
  <c r="N56" i="30"/>
  <c r="K56" i="30"/>
  <c r="L56" i="30" s="1"/>
  <c r="I56" i="30"/>
  <c r="H56" i="30"/>
  <c r="F56" i="30"/>
  <c r="E56" i="30"/>
  <c r="N55" i="30"/>
  <c r="O55" i="30" s="1"/>
  <c r="K55" i="30"/>
  <c r="L55" i="30" s="1"/>
  <c r="I55" i="30"/>
  <c r="H55" i="30"/>
  <c r="F55" i="30"/>
  <c r="E55" i="30"/>
  <c r="N54" i="30"/>
  <c r="O54" i="30" s="1"/>
  <c r="K54" i="30"/>
  <c r="L54" i="30" s="1"/>
  <c r="I54" i="30"/>
  <c r="H54" i="30"/>
  <c r="F54" i="30"/>
  <c r="E54" i="30"/>
  <c r="N53" i="30"/>
  <c r="O53" i="30" s="1"/>
  <c r="K53" i="30"/>
  <c r="L53" i="30" s="1"/>
  <c r="I53" i="30"/>
  <c r="H53" i="30"/>
  <c r="F53" i="30"/>
  <c r="E53" i="30"/>
  <c r="O52" i="30"/>
  <c r="N52" i="30"/>
  <c r="K52" i="30"/>
  <c r="L52" i="30" s="1"/>
  <c r="I52" i="30"/>
  <c r="H52" i="30"/>
  <c r="F52" i="30"/>
  <c r="E52" i="30"/>
  <c r="N51" i="30"/>
  <c r="O51" i="30" s="1"/>
  <c r="K51" i="30"/>
  <c r="L51" i="30" s="1"/>
  <c r="I51" i="30"/>
  <c r="H51" i="30"/>
  <c r="F51" i="30"/>
  <c r="E51" i="30"/>
  <c r="N50" i="30"/>
  <c r="O50" i="30" s="1"/>
  <c r="K50" i="30"/>
  <c r="L50" i="30" s="1"/>
  <c r="I50" i="30"/>
  <c r="H50" i="30"/>
  <c r="F50" i="30"/>
  <c r="E50" i="30"/>
  <c r="N49" i="30"/>
  <c r="O49" i="30" s="1"/>
  <c r="K49" i="30"/>
  <c r="L49" i="30" s="1"/>
  <c r="I49" i="30"/>
  <c r="H49" i="30"/>
  <c r="E49" i="30"/>
  <c r="F49" i="30" s="1"/>
  <c r="N48" i="30"/>
  <c r="O48" i="30" s="1"/>
  <c r="L48" i="30"/>
  <c r="K48" i="30"/>
  <c r="H48" i="30"/>
  <c r="I48" i="30" s="1"/>
  <c r="E48" i="30"/>
  <c r="F48" i="30" s="1"/>
  <c r="N47" i="30"/>
  <c r="O47" i="30" s="1"/>
  <c r="L47" i="30"/>
  <c r="K47" i="30"/>
  <c r="H47" i="30"/>
  <c r="I47" i="30" s="1"/>
  <c r="F47" i="30"/>
  <c r="E47" i="30"/>
  <c r="O46" i="30"/>
  <c r="N46" i="30"/>
  <c r="K46" i="30"/>
  <c r="L46" i="30" s="1"/>
  <c r="H46" i="30"/>
  <c r="I46" i="30" s="1"/>
  <c r="F46" i="30"/>
  <c r="E46" i="30"/>
  <c r="N45" i="30"/>
  <c r="O45" i="30" s="1"/>
  <c r="L45" i="30"/>
  <c r="K45" i="30"/>
  <c r="H45" i="30"/>
  <c r="I45" i="30" s="1"/>
  <c r="F45" i="30"/>
  <c r="E45" i="30"/>
  <c r="N44" i="30"/>
  <c r="K44" i="30"/>
  <c r="H44" i="30"/>
  <c r="F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N138" i="29"/>
  <c r="O138" i="29" s="1"/>
  <c r="L138" i="29"/>
  <c r="K138" i="29"/>
  <c r="H138" i="29"/>
  <c r="I138" i="29" s="1"/>
  <c r="F138" i="29"/>
  <c r="E138" i="29"/>
  <c r="N137" i="29"/>
  <c r="O137" i="29" s="1"/>
  <c r="K137" i="29"/>
  <c r="L137" i="29" s="1"/>
  <c r="H137" i="29"/>
  <c r="I137" i="29" s="1"/>
  <c r="F137" i="29"/>
  <c r="E137" i="29"/>
  <c r="N136" i="29"/>
  <c r="O136" i="29" s="1"/>
  <c r="L136" i="29"/>
  <c r="K136" i="29"/>
  <c r="H136" i="29"/>
  <c r="I136" i="29" s="1"/>
  <c r="F136" i="29"/>
  <c r="E136" i="29"/>
  <c r="N135" i="29"/>
  <c r="O135" i="29" s="1"/>
  <c r="K135" i="29"/>
  <c r="L135" i="29" s="1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N133" i="29"/>
  <c r="O133" i="29" s="1"/>
  <c r="K133" i="29"/>
  <c r="L133" i="29" s="1"/>
  <c r="H133" i="29"/>
  <c r="I133" i="29" s="1"/>
  <c r="F133" i="29"/>
  <c r="E133" i="29"/>
  <c r="N132" i="29"/>
  <c r="O132" i="29" s="1"/>
  <c r="L132" i="29"/>
  <c r="K132" i="29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L130" i="29"/>
  <c r="K130" i="29"/>
  <c r="H130" i="29"/>
  <c r="I130" i="29" s="1"/>
  <c r="F130" i="29"/>
  <c r="E130" i="29"/>
  <c r="N129" i="29"/>
  <c r="O129" i="29" s="1"/>
  <c r="K129" i="29"/>
  <c r="L129" i="29" s="1"/>
  <c r="H129" i="29"/>
  <c r="I129" i="29" s="1"/>
  <c r="F129" i="29"/>
  <c r="E129" i="29"/>
  <c r="N128" i="29"/>
  <c r="O128" i="29" s="1"/>
  <c r="L128" i="29"/>
  <c r="K128" i="29"/>
  <c r="H128" i="29"/>
  <c r="I128" i="29" s="1"/>
  <c r="E128" i="29"/>
  <c r="F128" i="29" s="1"/>
  <c r="N127" i="29"/>
  <c r="O127" i="29" s="1"/>
  <c r="L127" i="29"/>
  <c r="K127" i="29"/>
  <c r="H127" i="29"/>
  <c r="I127" i="29" s="1"/>
  <c r="E127" i="29"/>
  <c r="F127" i="29" s="1"/>
  <c r="N126" i="29"/>
  <c r="O126" i="29" s="1"/>
  <c r="L126" i="29"/>
  <c r="K126" i="29"/>
  <c r="I126" i="29"/>
  <c r="H126" i="29"/>
  <c r="E126" i="29"/>
  <c r="F126" i="29" s="1"/>
  <c r="N125" i="29"/>
  <c r="K125" i="29"/>
  <c r="H125" i="29"/>
  <c r="H145" i="29" s="1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O113" i="29"/>
  <c r="N113" i="29"/>
  <c r="L113" i="29"/>
  <c r="K113" i="29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I111" i="29"/>
  <c r="H111" i="29"/>
  <c r="E111" i="29"/>
  <c r="F111" i="29" s="1"/>
  <c r="N110" i="29"/>
  <c r="O110" i="29" s="1"/>
  <c r="K110" i="29"/>
  <c r="L110" i="29" s="1"/>
  <c r="H110" i="29"/>
  <c r="I110" i="29" s="1"/>
  <c r="E110" i="29"/>
  <c r="F110" i="29" s="1"/>
  <c r="N109" i="29"/>
  <c r="O109" i="29" s="1"/>
  <c r="K109" i="29"/>
  <c r="L109" i="29" s="1"/>
  <c r="H109" i="29"/>
  <c r="I109" i="29" s="1"/>
  <c r="E109" i="29"/>
  <c r="F109" i="29" s="1"/>
  <c r="O108" i="29"/>
  <c r="N108" i="29"/>
  <c r="K108" i="29"/>
  <c r="L108" i="29" s="1"/>
  <c r="H108" i="29"/>
  <c r="I108" i="29" s="1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L106" i="29"/>
  <c r="K106" i="29"/>
  <c r="H106" i="29"/>
  <c r="I106" i="29" s="1"/>
  <c r="E106" i="29"/>
  <c r="F106" i="29" s="1"/>
  <c r="N105" i="29"/>
  <c r="O105" i="29" s="1"/>
  <c r="K105" i="29"/>
  <c r="L105" i="29" s="1"/>
  <c r="H105" i="29"/>
  <c r="I105" i="29" s="1"/>
  <c r="E105" i="29"/>
  <c r="F105" i="29" s="1"/>
  <c r="N104" i="29"/>
  <c r="O104" i="29" s="1"/>
  <c r="L104" i="29"/>
  <c r="K104" i="29"/>
  <c r="H104" i="29"/>
  <c r="I104" i="29" s="1"/>
  <c r="E104" i="29"/>
  <c r="F104" i="29" s="1"/>
  <c r="O103" i="29"/>
  <c r="N103" i="29"/>
  <c r="K103" i="29"/>
  <c r="L103" i="29" s="1"/>
  <c r="I103" i="29"/>
  <c r="H103" i="29"/>
  <c r="E103" i="29"/>
  <c r="F103" i="29" s="1"/>
  <c r="N102" i="29"/>
  <c r="O102" i="29" s="1"/>
  <c r="K102" i="29"/>
  <c r="L102" i="29" s="1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I99" i="29"/>
  <c r="H99" i="29"/>
  <c r="E99" i="29"/>
  <c r="F99" i="29" s="1"/>
  <c r="N98" i="29"/>
  <c r="N118" i="29" s="1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O90" i="29"/>
  <c r="N90" i="29"/>
  <c r="L90" i="29"/>
  <c r="K90" i="29"/>
  <c r="H90" i="29"/>
  <c r="I90" i="29" s="1"/>
  <c r="E90" i="29"/>
  <c r="F90" i="29" s="1"/>
  <c r="N89" i="29"/>
  <c r="O89" i="29" s="1"/>
  <c r="K89" i="29"/>
  <c r="L89" i="29" s="1"/>
  <c r="H89" i="29"/>
  <c r="I89" i="29" s="1"/>
  <c r="E89" i="29"/>
  <c r="F89" i="29" s="1"/>
  <c r="N88" i="29"/>
  <c r="O88" i="29" s="1"/>
  <c r="L88" i="29"/>
  <c r="K88" i="29"/>
  <c r="I88" i="29"/>
  <c r="H88" i="29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N85" i="29"/>
  <c r="O85" i="29" s="1"/>
  <c r="K85" i="29"/>
  <c r="L85" i="29" s="1"/>
  <c r="H85" i="29"/>
  <c r="I85" i="29" s="1"/>
  <c r="E85" i="29"/>
  <c r="F85" i="29" s="1"/>
  <c r="N84" i="29"/>
  <c r="O84" i="29" s="1"/>
  <c r="L84" i="29"/>
  <c r="K84" i="29"/>
  <c r="I84" i="29"/>
  <c r="H84" i="29"/>
  <c r="E84" i="29"/>
  <c r="F84" i="29" s="1"/>
  <c r="N83" i="29"/>
  <c r="O83" i="29" s="1"/>
  <c r="L83" i="29"/>
  <c r="K83" i="29"/>
  <c r="H83" i="29"/>
  <c r="I83" i="29" s="1"/>
  <c r="E83" i="29"/>
  <c r="F83" i="29" s="1"/>
  <c r="N82" i="29"/>
  <c r="O82" i="29" s="1"/>
  <c r="K82" i="29"/>
  <c r="L82" i="29" s="1"/>
  <c r="H82" i="29"/>
  <c r="I82" i="29" s="1"/>
  <c r="E82" i="29"/>
  <c r="F82" i="29" s="1"/>
  <c r="O81" i="29"/>
  <c r="N81" i="29"/>
  <c r="L81" i="29"/>
  <c r="K81" i="29"/>
  <c r="H81" i="29"/>
  <c r="I81" i="29" s="1"/>
  <c r="E81" i="29"/>
  <c r="F81" i="29" s="1"/>
  <c r="N80" i="29"/>
  <c r="O80" i="29" s="1"/>
  <c r="K80" i="29"/>
  <c r="L80" i="29" s="1"/>
  <c r="I80" i="29"/>
  <c r="H80" i="29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L77" i="29"/>
  <c r="K77" i="29"/>
  <c r="H77" i="29"/>
  <c r="I77" i="29" s="1"/>
  <c r="E77" i="29"/>
  <c r="F77" i="29" s="1"/>
  <c r="O76" i="29"/>
  <c r="N76" i="29"/>
  <c r="K76" i="29"/>
  <c r="L76" i="29" s="1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L74" i="29"/>
  <c r="K74" i="29"/>
  <c r="H74" i="29"/>
  <c r="I74" i="29" s="1"/>
  <c r="E74" i="29"/>
  <c r="F74" i="29" s="1"/>
  <c r="N73" i="29"/>
  <c r="O73" i="29" s="1"/>
  <c r="K73" i="29"/>
  <c r="L73" i="29" s="1"/>
  <c r="H73" i="29"/>
  <c r="I73" i="29" s="1"/>
  <c r="E73" i="29"/>
  <c r="F73" i="29" s="1"/>
  <c r="N72" i="29"/>
  <c r="O72" i="29" s="1"/>
  <c r="L72" i="29"/>
  <c r="K72" i="29"/>
  <c r="I72" i="29"/>
  <c r="H72" i="29"/>
  <c r="E72" i="29"/>
  <c r="F72" i="29" s="1"/>
  <c r="N71" i="29"/>
  <c r="K71" i="29"/>
  <c r="K91" i="29" s="1"/>
  <c r="H71" i="29"/>
  <c r="H91" i="29" s="1"/>
  <c r="E71" i="29"/>
  <c r="F7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O59" i="29"/>
  <c r="N59" i="29"/>
  <c r="L59" i="29"/>
  <c r="K59" i="29"/>
  <c r="I59" i="29"/>
  <c r="H59" i="29"/>
  <c r="F59" i="29"/>
  <c r="E59" i="29"/>
  <c r="O58" i="29"/>
  <c r="N58" i="29"/>
  <c r="L58" i="29"/>
  <c r="K58" i="29"/>
  <c r="I58" i="29"/>
  <c r="H58" i="29"/>
  <c r="F58" i="29"/>
  <c r="E58" i="29"/>
  <c r="N57" i="29"/>
  <c r="O57" i="29" s="1"/>
  <c r="K57" i="29"/>
  <c r="L57" i="29" s="1"/>
  <c r="H57" i="29"/>
  <c r="I57" i="29" s="1"/>
  <c r="E57" i="29"/>
  <c r="F57" i="29" s="1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L53" i="29"/>
  <c r="K53" i="29"/>
  <c r="H53" i="29"/>
  <c r="I53" i="29" s="1"/>
  <c r="F53" i="29"/>
  <c r="E53" i="29"/>
  <c r="N52" i="29"/>
  <c r="O52" i="29" s="1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N50" i="29"/>
  <c r="O50" i="29" s="1"/>
  <c r="K50" i="29"/>
  <c r="L50" i="29" s="1"/>
  <c r="H50" i="29"/>
  <c r="I50" i="29" s="1"/>
  <c r="F50" i="29"/>
  <c r="E50" i="29"/>
  <c r="O49" i="29"/>
  <c r="N49" i="29"/>
  <c r="L49" i="29"/>
  <c r="K49" i="29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O46" i="29"/>
  <c r="N46" i="29"/>
  <c r="K46" i="29"/>
  <c r="L46" i="29" s="1"/>
  <c r="H46" i="29"/>
  <c r="I46" i="29" s="1"/>
  <c r="F46" i="29"/>
  <c r="E46" i="29"/>
  <c r="N45" i="29"/>
  <c r="O45" i="29" s="1"/>
  <c r="L45" i="29"/>
  <c r="K45" i="29"/>
  <c r="H45" i="29"/>
  <c r="I45" i="29" s="1"/>
  <c r="F45" i="29"/>
  <c r="E45" i="29"/>
  <c r="N44" i="29"/>
  <c r="K44" i="29"/>
  <c r="K64" i="29" s="1"/>
  <c r="H44" i="29"/>
  <c r="H64" i="29" s="1"/>
  <c r="F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L184" i="28"/>
  <c r="K184" i="28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O180" i="28"/>
  <c r="N180" i="28"/>
  <c r="L180" i="28"/>
  <c r="K180" i="28"/>
  <c r="H180" i="28"/>
  <c r="I180" i="28" s="1"/>
  <c r="F180" i="28"/>
  <c r="E180" i="28"/>
  <c r="N179" i="28"/>
  <c r="N199" i="28" s="1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O168" i="28"/>
  <c r="N168" i="28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O140" i="28"/>
  <c r="N140" i="28"/>
  <c r="L140" i="28"/>
  <c r="K140" i="28"/>
  <c r="I140" i="28"/>
  <c r="H140" i="28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O134" i="28"/>
  <c r="N134" i="28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N125" i="28"/>
  <c r="K125" i="28"/>
  <c r="K145" i="28" s="1"/>
  <c r="H125" i="28"/>
  <c r="H145" i="28" s="1"/>
  <c r="F125" i="28"/>
  <c r="E125" i="28"/>
  <c r="E145" i="28" s="1"/>
  <c r="M123" i="28"/>
  <c r="J123" i="28"/>
  <c r="G123" i="28"/>
  <c r="D123" i="28"/>
  <c r="B123" i="28"/>
  <c r="M122" i="28"/>
  <c r="G122" i="28"/>
  <c r="E118" i="28"/>
  <c r="B118" i="28"/>
  <c r="O117" i="28"/>
  <c r="N117" i="28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O112" i="28"/>
  <c r="N112" i="28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O110" i="28"/>
  <c r="N110" i="28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N108" i="28"/>
  <c r="O108" i="28" s="1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L98" i="28" s="1"/>
  <c r="L118" i="28" s="1"/>
  <c r="H98" i="28"/>
  <c r="H118" i="28" s="1"/>
  <c r="F98" i="28"/>
  <c r="F118" i="28" s="1"/>
  <c r="E98" i="28"/>
  <c r="M96" i="28"/>
  <c r="J96" i="28"/>
  <c r="G96" i="28"/>
  <c r="D96" i="28"/>
  <c r="B96" i="28"/>
  <c r="M95" i="28"/>
  <c r="G95" i="28"/>
  <c r="B91" i="28"/>
  <c r="O90" i="28"/>
  <c r="N90" i="28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N88" i="28"/>
  <c r="O88" i="28" s="1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O84" i="28"/>
  <c r="N84" i="28"/>
  <c r="K84" i="28"/>
  <c r="L84" i="28" s="1"/>
  <c r="H84" i="28"/>
  <c r="I84" i="28" s="1"/>
  <c r="F84" i="28"/>
  <c r="E84" i="28"/>
  <c r="N83" i="28"/>
  <c r="O83" i="28" s="1"/>
  <c r="L83" i="28"/>
  <c r="K83" i="28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L79" i="28"/>
  <c r="K79" i="28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O76" i="28"/>
  <c r="N76" i="28"/>
  <c r="K76" i="28"/>
  <c r="L76" i="28" s="1"/>
  <c r="H76" i="28"/>
  <c r="I76" i="28" s="1"/>
  <c r="F76" i="28"/>
  <c r="E76" i="28"/>
  <c r="N75" i="28"/>
  <c r="O75" i="28" s="1"/>
  <c r="L75" i="28"/>
  <c r="K75" i="28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N72" i="28"/>
  <c r="O72" i="28" s="1"/>
  <c r="K72" i="28"/>
  <c r="L72" i="28" s="1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O59" i="28"/>
  <c r="N59" i="28"/>
  <c r="L59" i="28"/>
  <c r="K59" i="28"/>
  <c r="I59" i="28"/>
  <c r="H59" i="28"/>
  <c r="F59" i="28"/>
  <c r="E59" i="28"/>
  <c r="N58" i="28"/>
  <c r="O58" i="28" s="1"/>
  <c r="L58" i="28"/>
  <c r="K58" i="28"/>
  <c r="H58" i="28"/>
  <c r="I58" i="28" s="1"/>
  <c r="F58" i="28"/>
  <c r="E58" i="28"/>
  <c r="N57" i="28"/>
  <c r="O57" i="28" s="1"/>
  <c r="K57" i="28"/>
  <c r="L57" i="28" s="1"/>
  <c r="I57" i="28"/>
  <c r="H57" i="28"/>
  <c r="F57" i="28"/>
  <c r="E57" i="28"/>
  <c r="O56" i="28"/>
  <c r="N56" i="28"/>
  <c r="K56" i="28"/>
  <c r="L56" i="28" s="1"/>
  <c r="I56" i="28"/>
  <c r="H56" i="28"/>
  <c r="F56" i="28"/>
  <c r="E56" i="28"/>
  <c r="N55" i="28"/>
  <c r="O55" i="28" s="1"/>
  <c r="K55" i="28"/>
  <c r="L55" i="28" s="1"/>
  <c r="I55" i="28"/>
  <c r="H55" i="28"/>
  <c r="F55" i="28"/>
  <c r="E55" i="28"/>
  <c r="O54" i="28"/>
  <c r="N54" i="28"/>
  <c r="K54" i="28"/>
  <c r="L54" i="28" s="1"/>
  <c r="I54" i="28"/>
  <c r="H54" i="28"/>
  <c r="F54" i="28"/>
  <c r="E54" i="28"/>
  <c r="N53" i="28"/>
  <c r="O53" i="28" s="1"/>
  <c r="K53" i="28"/>
  <c r="L53" i="28" s="1"/>
  <c r="I53" i="28"/>
  <c r="H53" i="28"/>
  <c r="F53" i="28"/>
  <c r="E53" i="28"/>
  <c r="O52" i="28"/>
  <c r="N52" i="28"/>
  <c r="K52" i="28"/>
  <c r="L52" i="28" s="1"/>
  <c r="I52" i="28"/>
  <c r="H52" i="28"/>
  <c r="F52" i="28"/>
  <c r="E52" i="28"/>
  <c r="N51" i="28"/>
  <c r="O51" i="28" s="1"/>
  <c r="K51" i="28"/>
  <c r="L51" i="28" s="1"/>
  <c r="I51" i="28"/>
  <c r="H51" i="28"/>
  <c r="F51" i="28"/>
  <c r="E51" i="28"/>
  <c r="O50" i="28"/>
  <c r="N50" i="28"/>
  <c r="K50" i="28"/>
  <c r="L50" i="28" s="1"/>
  <c r="I50" i="28"/>
  <c r="H50" i="28"/>
  <c r="F50" i="28"/>
  <c r="E50" i="28"/>
  <c r="N49" i="28"/>
  <c r="O49" i="28" s="1"/>
  <c r="K49" i="28"/>
  <c r="L49" i="28" s="1"/>
  <c r="I49" i="28"/>
  <c r="H49" i="28"/>
  <c r="F49" i="28"/>
  <c r="E49" i="28"/>
  <c r="O48" i="28"/>
  <c r="N48" i="28"/>
  <c r="K48" i="28"/>
  <c r="L48" i="28" s="1"/>
  <c r="I48" i="28"/>
  <c r="H48" i="28"/>
  <c r="F48" i="28"/>
  <c r="E48" i="28"/>
  <c r="N47" i="28"/>
  <c r="O47" i="28" s="1"/>
  <c r="K47" i="28"/>
  <c r="L47" i="28" s="1"/>
  <c r="I47" i="28"/>
  <c r="H47" i="28"/>
  <c r="F47" i="28"/>
  <c r="E47" i="28"/>
  <c r="O46" i="28"/>
  <c r="N46" i="28"/>
  <c r="K46" i="28"/>
  <c r="L46" i="28" s="1"/>
  <c r="I46" i="28"/>
  <c r="H46" i="28"/>
  <c r="F46" i="28"/>
  <c r="E46" i="28"/>
  <c r="N45" i="28"/>
  <c r="O45" i="28" s="1"/>
  <c r="K45" i="28"/>
  <c r="L45" i="28" s="1"/>
  <c r="I45" i="28"/>
  <c r="H45" i="28"/>
  <c r="F45" i="28"/>
  <c r="E45" i="28"/>
  <c r="O44" i="28"/>
  <c r="N44" i="28"/>
  <c r="K44" i="28"/>
  <c r="K64" i="28" s="1"/>
  <c r="I44" i="28"/>
  <c r="H44" i="28"/>
  <c r="H64" i="28" s="1"/>
  <c r="F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N180" i="27"/>
  <c r="O180" i="27" s="1"/>
  <c r="L180" i="27"/>
  <c r="K180" i="27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L169" i="27"/>
  <c r="K169" i="27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N164" i="27"/>
  <c r="O164" i="27" s="1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O161" i="27"/>
  <c r="N161" i="27"/>
  <c r="L161" i="27"/>
  <c r="K161" i="27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L153" i="27"/>
  <c r="K153" i="27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O138" i="27"/>
  <c r="N138" i="27"/>
  <c r="K138" i="27"/>
  <c r="L138" i="27" s="1"/>
  <c r="H138" i="27"/>
  <c r="I138" i="27" s="1"/>
  <c r="E138" i="27"/>
  <c r="N137" i="27"/>
  <c r="O137" i="27" s="1"/>
  <c r="K137" i="27"/>
  <c r="L137" i="27" s="1"/>
  <c r="I137" i="27"/>
  <c r="H137" i="27"/>
  <c r="E137" i="27"/>
  <c r="N136" i="27"/>
  <c r="O136" i="27" s="1"/>
  <c r="L136" i="27"/>
  <c r="K136" i="27"/>
  <c r="H136" i="27"/>
  <c r="I136" i="27" s="1"/>
  <c r="E136" i="27"/>
  <c r="N135" i="27"/>
  <c r="O135" i="27" s="1"/>
  <c r="L135" i="27"/>
  <c r="K135" i="27"/>
  <c r="H135" i="27"/>
  <c r="I135" i="27" s="1"/>
  <c r="E135" i="27"/>
  <c r="N134" i="27"/>
  <c r="O134" i="27" s="1"/>
  <c r="L134" i="27"/>
  <c r="K134" i="27"/>
  <c r="H134" i="27"/>
  <c r="I134" i="27" s="1"/>
  <c r="E134" i="27"/>
  <c r="N133" i="27"/>
  <c r="O133" i="27" s="1"/>
  <c r="L133" i="27"/>
  <c r="K133" i="27"/>
  <c r="I133" i="27"/>
  <c r="H133" i="27"/>
  <c r="E133" i="27"/>
  <c r="O132" i="27"/>
  <c r="N132" i="27"/>
  <c r="K132" i="27"/>
  <c r="L132" i="27" s="1"/>
  <c r="H132" i="27"/>
  <c r="I132" i="27" s="1"/>
  <c r="E132" i="27"/>
  <c r="N131" i="27"/>
  <c r="O131" i="27" s="1"/>
  <c r="L131" i="27"/>
  <c r="K131" i="27"/>
  <c r="H131" i="27"/>
  <c r="I131" i="27" s="1"/>
  <c r="E131" i="27"/>
  <c r="N130" i="27"/>
  <c r="O130" i="27" s="1"/>
  <c r="K130" i="27"/>
  <c r="L130" i="27" s="1"/>
  <c r="H130" i="27"/>
  <c r="I130" i="27" s="1"/>
  <c r="E130" i="27"/>
  <c r="O129" i="27"/>
  <c r="N129" i="27"/>
  <c r="L129" i="27"/>
  <c r="K129" i="27"/>
  <c r="I129" i="27"/>
  <c r="H129" i="27"/>
  <c r="E129" i="27"/>
  <c r="N128" i="27"/>
  <c r="O128" i="27" s="1"/>
  <c r="L128" i="27"/>
  <c r="K128" i="27"/>
  <c r="H128" i="27"/>
  <c r="I128" i="27" s="1"/>
  <c r="E128" i="27"/>
  <c r="N127" i="27"/>
  <c r="O127" i="27" s="1"/>
  <c r="L127" i="27"/>
  <c r="K127" i="27"/>
  <c r="H127" i="27"/>
  <c r="I127" i="27" s="1"/>
  <c r="E127" i="27"/>
  <c r="N126" i="27"/>
  <c r="O126" i="27" s="1"/>
  <c r="L126" i="27"/>
  <c r="K126" i="27"/>
  <c r="H126" i="27"/>
  <c r="I126" i="27" s="1"/>
  <c r="E126" i="27"/>
  <c r="N125" i="27"/>
  <c r="O125" i="27" s="1"/>
  <c r="K125" i="27"/>
  <c r="I125" i="27"/>
  <c r="H125" i="27"/>
  <c r="E125" i="27"/>
  <c r="M123" i="27"/>
  <c r="J123" i="27"/>
  <c r="G123" i="27"/>
  <c r="D123" i="27"/>
  <c r="B123" i="27"/>
  <c r="M122" i="27"/>
  <c r="G122" i="27"/>
  <c r="B118" i="27"/>
  <c r="N117" i="27"/>
  <c r="O117" i="27" s="1"/>
  <c r="K117" i="27"/>
  <c r="L117" i="27" s="1"/>
  <c r="H117" i="27"/>
  <c r="I117" i="27" s="1"/>
  <c r="E117" i="27"/>
  <c r="F117" i="27" s="1"/>
  <c r="O116" i="27"/>
  <c r="N116" i="27"/>
  <c r="K116" i="27"/>
  <c r="L116" i="27" s="1"/>
  <c r="H116" i="27"/>
  <c r="I116" i="27" s="1"/>
  <c r="E116" i="27"/>
  <c r="F116" i="27" s="1"/>
  <c r="O115" i="27"/>
  <c r="N115" i="27"/>
  <c r="K115" i="27"/>
  <c r="L115" i="27" s="1"/>
  <c r="H115" i="27"/>
  <c r="I115" i="27" s="1"/>
  <c r="E115" i="27"/>
  <c r="F115" i="27" s="1"/>
  <c r="N114" i="27"/>
  <c r="O114" i="27" s="1"/>
  <c r="K114" i="27"/>
  <c r="L114" i="27" s="1"/>
  <c r="I114" i="27"/>
  <c r="H114" i="27"/>
  <c r="E114" i="27"/>
  <c r="F114" i="27" s="1"/>
  <c r="O113" i="27"/>
  <c r="N113" i="27"/>
  <c r="L113" i="27"/>
  <c r="K113" i="27"/>
  <c r="H113" i="27"/>
  <c r="I113" i="27" s="1"/>
  <c r="E113" i="27"/>
  <c r="F113" i="27" s="1"/>
  <c r="N112" i="27"/>
  <c r="O112" i="27" s="1"/>
  <c r="L112" i="27"/>
  <c r="K112" i="27"/>
  <c r="H112" i="27"/>
  <c r="I112" i="27" s="1"/>
  <c r="E112" i="27"/>
  <c r="F112" i="27" s="1"/>
  <c r="O111" i="27"/>
  <c r="N111" i="27"/>
  <c r="L111" i="27"/>
  <c r="K111" i="27"/>
  <c r="I111" i="27"/>
  <c r="H111" i="27"/>
  <c r="E111" i="27"/>
  <c r="F111" i="27" s="1"/>
  <c r="N110" i="27"/>
  <c r="O110" i="27" s="1"/>
  <c r="K110" i="27"/>
  <c r="L110" i="27" s="1"/>
  <c r="I110" i="27"/>
  <c r="H110" i="27"/>
  <c r="E110" i="27"/>
  <c r="F110" i="27" s="1"/>
  <c r="N109" i="27"/>
  <c r="O109" i="27" s="1"/>
  <c r="L109" i="27"/>
  <c r="K109" i="27"/>
  <c r="H109" i="27"/>
  <c r="I109" i="27" s="1"/>
  <c r="E109" i="27"/>
  <c r="F109" i="27" s="1"/>
  <c r="N108" i="27"/>
  <c r="O108" i="27" s="1"/>
  <c r="L108" i="27"/>
  <c r="K108" i="27"/>
  <c r="H108" i="27"/>
  <c r="I108" i="27" s="1"/>
  <c r="E108" i="27"/>
  <c r="F108" i="27" s="1"/>
  <c r="N107" i="27"/>
  <c r="O107" i="27" s="1"/>
  <c r="L107" i="27"/>
  <c r="K107" i="27"/>
  <c r="I107" i="27"/>
  <c r="H107" i="27"/>
  <c r="E107" i="27"/>
  <c r="F107" i="27" s="1"/>
  <c r="O106" i="27"/>
  <c r="N106" i="27"/>
  <c r="K106" i="27"/>
  <c r="L106" i="27" s="1"/>
  <c r="I106" i="27"/>
  <c r="H106" i="27"/>
  <c r="E106" i="27"/>
  <c r="F106" i="27" s="1"/>
  <c r="N105" i="27"/>
  <c r="O105" i="27" s="1"/>
  <c r="L105" i="27"/>
  <c r="K105" i="27"/>
  <c r="H105" i="27"/>
  <c r="I105" i="27" s="1"/>
  <c r="E105" i="27"/>
  <c r="F105" i="27" s="1"/>
  <c r="O104" i="27"/>
  <c r="N104" i="27"/>
  <c r="L104" i="27"/>
  <c r="K104" i="27"/>
  <c r="H104" i="27"/>
  <c r="I104" i="27" s="1"/>
  <c r="E104" i="27"/>
  <c r="F104" i="27" s="1"/>
  <c r="N103" i="27"/>
  <c r="O103" i="27" s="1"/>
  <c r="L103" i="27"/>
  <c r="K103" i="27"/>
  <c r="I103" i="27"/>
  <c r="H103" i="27"/>
  <c r="E103" i="27"/>
  <c r="F103" i="27" s="1"/>
  <c r="N102" i="27"/>
  <c r="O102" i="27" s="1"/>
  <c r="K102" i="27"/>
  <c r="L102" i="27" s="1"/>
  <c r="I102" i="27"/>
  <c r="H102" i="27"/>
  <c r="E102" i="27"/>
  <c r="F102" i="27" s="1"/>
  <c r="N101" i="27"/>
  <c r="O101" i="27" s="1"/>
  <c r="L101" i="27"/>
  <c r="K101" i="27"/>
  <c r="H101" i="27"/>
  <c r="I101" i="27" s="1"/>
  <c r="E101" i="27"/>
  <c r="F101" i="27" s="1"/>
  <c r="N100" i="27"/>
  <c r="O100" i="27" s="1"/>
  <c r="L100" i="27"/>
  <c r="K100" i="27"/>
  <c r="H100" i="27"/>
  <c r="I100" i="27" s="1"/>
  <c r="E100" i="27"/>
  <c r="F100" i="27" s="1"/>
  <c r="N99" i="27"/>
  <c r="O99" i="27" s="1"/>
  <c r="L99" i="27"/>
  <c r="K99" i="27"/>
  <c r="I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E90" i="27"/>
  <c r="F90" i="27" s="1"/>
  <c r="N89" i="27"/>
  <c r="O89" i="27" s="1"/>
  <c r="L89" i="27"/>
  <c r="K89" i="27"/>
  <c r="H89" i="27"/>
  <c r="I89" i="27" s="1"/>
  <c r="E89" i="27"/>
  <c r="N88" i="27"/>
  <c r="O88" i="27" s="1"/>
  <c r="K88" i="27"/>
  <c r="L88" i="27" s="1"/>
  <c r="I88" i="27"/>
  <c r="H88" i="27"/>
  <c r="E88" i="27"/>
  <c r="F88" i="27" s="1"/>
  <c r="N87" i="27"/>
  <c r="O87" i="27" s="1"/>
  <c r="K87" i="27"/>
  <c r="L87" i="27" s="1"/>
  <c r="I87" i="27"/>
  <c r="H87" i="27"/>
  <c r="E87" i="27"/>
  <c r="F87" i="27" s="1"/>
  <c r="N86" i="27"/>
  <c r="O86" i="27" s="1"/>
  <c r="L86" i="27"/>
  <c r="K86" i="27"/>
  <c r="H86" i="27"/>
  <c r="I86" i="27" s="1"/>
  <c r="E86" i="27"/>
  <c r="F86" i="27" s="1"/>
  <c r="N85" i="27"/>
  <c r="O85" i="27" s="1"/>
  <c r="K85" i="27"/>
  <c r="L85" i="27" s="1"/>
  <c r="H85" i="27"/>
  <c r="I85" i="27" s="1"/>
  <c r="E85" i="27"/>
  <c r="O84" i="27"/>
  <c r="N84" i="27"/>
  <c r="L84" i="27"/>
  <c r="K84" i="27"/>
  <c r="I84" i="27"/>
  <c r="H84" i="27"/>
  <c r="E84" i="27"/>
  <c r="F84" i="27" s="1"/>
  <c r="N83" i="27"/>
  <c r="O83" i="27" s="1"/>
  <c r="K83" i="27"/>
  <c r="L83" i="27" s="1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H81" i="27"/>
  <c r="I81" i="27" s="1"/>
  <c r="E81" i="27"/>
  <c r="O80" i="27"/>
  <c r="N80" i="27"/>
  <c r="K80" i="27"/>
  <c r="L80" i="27" s="1"/>
  <c r="I80" i="27"/>
  <c r="H80" i="27"/>
  <c r="E80" i="27"/>
  <c r="F80" i="27" s="1"/>
  <c r="O79" i="27"/>
  <c r="N79" i="27"/>
  <c r="K79" i="27"/>
  <c r="L79" i="27" s="1"/>
  <c r="I79" i="27"/>
  <c r="H79" i="27"/>
  <c r="E79" i="27"/>
  <c r="F79" i="27" s="1"/>
  <c r="O78" i="27"/>
  <c r="N78" i="27"/>
  <c r="L78" i="27"/>
  <c r="K78" i="27"/>
  <c r="H78" i="27"/>
  <c r="I78" i="27" s="1"/>
  <c r="E78" i="27"/>
  <c r="F78" i="27" s="1"/>
  <c r="O77" i="27"/>
  <c r="N77" i="27"/>
  <c r="K77" i="27"/>
  <c r="L77" i="27" s="1"/>
  <c r="H77" i="27"/>
  <c r="I77" i="27" s="1"/>
  <c r="E77" i="27"/>
  <c r="N76" i="27"/>
  <c r="O76" i="27" s="1"/>
  <c r="L76" i="27"/>
  <c r="K76" i="27"/>
  <c r="I76" i="27"/>
  <c r="H76" i="27"/>
  <c r="E76" i="27"/>
  <c r="F76" i="27" s="1"/>
  <c r="O75" i="27"/>
  <c r="N75" i="27"/>
  <c r="K75" i="27"/>
  <c r="L75" i="27" s="1"/>
  <c r="I75" i="27"/>
  <c r="H75" i="27"/>
  <c r="E75" i="27"/>
  <c r="F75" i="27" s="1"/>
  <c r="O74" i="27"/>
  <c r="N74" i="27"/>
  <c r="K74" i="27"/>
  <c r="L74" i="27" s="1"/>
  <c r="H74" i="27"/>
  <c r="I74" i="27" s="1"/>
  <c r="E74" i="27"/>
  <c r="F74" i="27" s="1"/>
  <c r="N73" i="27"/>
  <c r="O73" i="27" s="1"/>
  <c r="L73" i="27"/>
  <c r="K73" i="27"/>
  <c r="H73" i="27"/>
  <c r="I73" i="27" s="1"/>
  <c r="E73" i="27"/>
  <c r="N72" i="27"/>
  <c r="O72" i="27" s="1"/>
  <c r="K72" i="27"/>
  <c r="L72" i="27" s="1"/>
  <c r="I72" i="27"/>
  <c r="H72" i="27"/>
  <c r="E72" i="27"/>
  <c r="F72" i="27" s="1"/>
  <c r="N71" i="27"/>
  <c r="N91" i="27" s="1"/>
  <c r="K71" i="27"/>
  <c r="I71" i="27"/>
  <c r="H71" i="27"/>
  <c r="E71" i="27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L60" i="27"/>
  <c r="K60" i="27"/>
  <c r="I60" i="27"/>
  <c r="H60" i="27"/>
  <c r="F60" i="27"/>
  <c r="E60" i="27"/>
  <c r="N59" i="27"/>
  <c r="O59" i="27" s="1"/>
  <c r="L59" i="27"/>
  <c r="K59" i="27"/>
  <c r="H59" i="27"/>
  <c r="I59" i="27" s="1"/>
  <c r="E59" i="27"/>
  <c r="F59" i="27" s="1"/>
  <c r="N58" i="27"/>
  <c r="O58" i="27" s="1"/>
  <c r="L58" i="27"/>
  <c r="K58" i="27"/>
  <c r="H58" i="27"/>
  <c r="I58" i="27" s="1"/>
  <c r="E58" i="27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I56" i="27"/>
  <c r="H56" i="27"/>
  <c r="E56" i="27"/>
  <c r="F56" i="27" s="1"/>
  <c r="O55" i="27"/>
  <c r="N55" i="27"/>
  <c r="K55" i="27"/>
  <c r="L55" i="27" s="1"/>
  <c r="H55" i="27"/>
  <c r="I55" i="27" s="1"/>
  <c r="E55" i="27"/>
  <c r="F55" i="27" s="1"/>
  <c r="N54" i="27"/>
  <c r="O54" i="27" s="1"/>
  <c r="K54" i="27"/>
  <c r="L54" i="27" s="1"/>
  <c r="H54" i="27"/>
  <c r="I54" i="27" s="1"/>
  <c r="E54" i="27"/>
  <c r="O53" i="27"/>
  <c r="N53" i="27"/>
  <c r="K53" i="27"/>
  <c r="L53" i="27" s="1"/>
  <c r="H53" i="27"/>
  <c r="I53" i="27" s="1"/>
  <c r="E53" i="27"/>
  <c r="F53" i="27" s="1"/>
  <c r="N52" i="27"/>
  <c r="O52" i="27" s="1"/>
  <c r="K52" i="27"/>
  <c r="L52" i="27" s="1"/>
  <c r="I52" i="27"/>
  <c r="H52" i="27"/>
  <c r="E52" i="27"/>
  <c r="F52" i="27" s="1"/>
  <c r="N51" i="27"/>
  <c r="O51" i="27" s="1"/>
  <c r="L51" i="27"/>
  <c r="K51" i="27"/>
  <c r="H51" i="27"/>
  <c r="I51" i="27" s="1"/>
  <c r="E51" i="27"/>
  <c r="F51" i="27" s="1"/>
  <c r="N50" i="27"/>
  <c r="O50" i="27" s="1"/>
  <c r="L50" i="27"/>
  <c r="K50" i="27"/>
  <c r="H50" i="27"/>
  <c r="I50" i="27" s="1"/>
  <c r="E50" i="27"/>
  <c r="N49" i="27"/>
  <c r="O49" i="27" s="1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O47" i="27"/>
  <c r="N47" i="27"/>
  <c r="K47" i="27"/>
  <c r="L47" i="27" s="1"/>
  <c r="H47" i="27"/>
  <c r="I47" i="27" s="1"/>
  <c r="E47" i="27"/>
  <c r="F47" i="27" s="1"/>
  <c r="N46" i="27"/>
  <c r="O46" i="27" s="1"/>
  <c r="K46" i="27"/>
  <c r="L46" i="27" s="1"/>
  <c r="H46" i="27"/>
  <c r="I46" i="27" s="1"/>
  <c r="E46" i="27"/>
  <c r="O45" i="27"/>
  <c r="N45" i="27"/>
  <c r="K45" i="27"/>
  <c r="L45" i="27" s="1"/>
  <c r="H45" i="27"/>
  <c r="I45" i="27" s="1"/>
  <c r="E45" i="27"/>
  <c r="F45" i="27" s="1"/>
  <c r="N44" i="27"/>
  <c r="N64" i="27" s="1"/>
  <c r="K44" i="27"/>
  <c r="I44" i="27"/>
  <c r="H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L198" i="26" s="1"/>
  <c r="O198" i="26"/>
  <c r="N198" i="26"/>
  <c r="K198" i="26"/>
  <c r="H198" i="26"/>
  <c r="I198" i="26" s="1"/>
  <c r="E198" i="26"/>
  <c r="N197" i="26"/>
  <c r="O197" i="26" s="1"/>
  <c r="K197" i="26"/>
  <c r="L197" i="26" s="1"/>
  <c r="H197" i="26"/>
  <c r="E197" i="26"/>
  <c r="N196" i="26"/>
  <c r="O196" i="26" s="1"/>
  <c r="K196" i="26"/>
  <c r="H196" i="26"/>
  <c r="F196" i="26"/>
  <c r="E196" i="26"/>
  <c r="N195" i="26"/>
  <c r="K195" i="26"/>
  <c r="H195" i="26"/>
  <c r="I195" i="26" s="1"/>
  <c r="F195" i="26"/>
  <c r="E195" i="26"/>
  <c r="N194" i="26"/>
  <c r="L194" i="26"/>
  <c r="K194" i="26"/>
  <c r="H194" i="26"/>
  <c r="E194" i="26"/>
  <c r="O193" i="26"/>
  <c r="N193" i="26"/>
  <c r="K193" i="26"/>
  <c r="H193" i="26"/>
  <c r="I193" i="26" s="1"/>
  <c r="F193" i="26"/>
  <c r="E193" i="26"/>
  <c r="N192" i="26"/>
  <c r="K192" i="26"/>
  <c r="L192" i="26" s="1"/>
  <c r="H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E188" i="26"/>
  <c r="N187" i="26"/>
  <c r="O187" i="26" s="1"/>
  <c r="K187" i="26"/>
  <c r="L187" i="26" s="1"/>
  <c r="H187" i="26"/>
  <c r="F187" i="26"/>
  <c r="E187" i="26"/>
  <c r="N186" i="26"/>
  <c r="O186" i="26" s="1"/>
  <c r="K186" i="26"/>
  <c r="H186" i="26"/>
  <c r="I186" i="26" s="1"/>
  <c r="F186" i="26"/>
  <c r="E186" i="26"/>
  <c r="O185" i="26"/>
  <c r="N185" i="26"/>
  <c r="K185" i="26"/>
  <c r="L185" i="26" s="1"/>
  <c r="H185" i="26"/>
  <c r="F185" i="26"/>
  <c r="E185" i="26"/>
  <c r="O184" i="26"/>
  <c r="N184" i="26"/>
  <c r="K184" i="26"/>
  <c r="L184" i="26" s="1"/>
  <c r="H184" i="26"/>
  <c r="I184" i="26" s="1"/>
  <c r="F184" i="26"/>
  <c r="E184" i="26"/>
  <c r="O183" i="26"/>
  <c r="N183" i="26"/>
  <c r="K183" i="26"/>
  <c r="L183" i="26" s="1"/>
  <c r="H183" i="26"/>
  <c r="F183" i="26"/>
  <c r="E183" i="26"/>
  <c r="O182" i="26"/>
  <c r="N182" i="26"/>
  <c r="L182" i="26"/>
  <c r="K182" i="26"/>
  <c r="H182" i="26"/>
  <c r="I182" i="26" s="1"/>
  <c r="E182" i="26"/>
  <c r="N181" i="26"/>
  <c r="O181" i="26" s="1"/>
  <c r="K181" i="26"/>
  <c r="L181" i="26" s="1"/>
  <c r="H181" i="26"/>
  <c r="F181" i="26"/>
  <c r="E181" i="26"/>
  <c r="N180" i="26"/>
  <c r="O180" i="26" s="1"/>
  <c r="K180" i="26"/>
  <c r="H180" i="26"/>
  <c r="I180" i="26" s="1"/>
  <c r="F180" i="26"/>
  <c r="E180" i="26"/>
  <c r="N179" i="26"/>
  <c r="N199" i="26" s="1"/>
  <c r="K179" i="26"/>
  <c r="H179" i="26"/>
  <c r="H199" i="26" s="1"/>
  <c r="F179" i="26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L168" i="26"/>
  <c r="K168" i="26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H165" i="26"/>
  <c r="I165" i="26" s="1"/>
  <c r="F165" i="26"/>
  <c r="E165" i="26"/>
  <c r="N164" i="26"/>
  <c r="O164" i="26" s="1"/>
  <c r="L164" i="26"/>
  <c r="K164" i="26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L160" i="26"/>
  <c r="K160" i="26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L156" i="26"/>
  <c r="K156" i="26"/>
  <c r="H156" i="26"/>
  <c r="I156" i="26" s="1"/>
  <c r="F156" i="26"/>
  <c r="E156" i="26"/>
  <c r="O155" i="26"/>
  <c r="N155" i="26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L152" i="26"/>
  <c r="K152" i="26"/>
  <c r="H152" i="26"/>
  <c r="H172" i="26" s="1"/>
  <c r="F152" i="26"/>
  <c r="E152" i="26"/>
  <c r="E172" i="26" s="1"/>
  <c r="M150" i="26"/>
  <c r="J150" i="26"/>
  <c r="G150" i="26"/>
  <c r="D150" i="26"/>
  <c r="B150" i="26"/>
  <c r="M149" i="26"/>
  <c r="G149" i="26"/>
  <c r="B145" i="26"/>
  <c r="F135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N141" i="26"/>
  <c r="O141" i="26" s="1"/>
  <c r="K141" i="26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F139" i="26"/>
  <c r="E139" i="26"/>
  <c r="O138" i="26"/>
  <c r="N138" i="26"/>
  <c r="K138" i="26"/>
  <c r="L138" i="26" s="1"/>
  <c r="H138" i="26"/>
  <c r="I138" i="26" s="1"/>
  <c r="F138" i="26"/>
  <c r="E138" i="26"/>
  <c r="O137" i="26"/>
  <c r="N137" i="26"/>
  <c r="L137" i="26"/>
  <c r="K137" i="26"/>
  <c r="H137" i="26"/>
  <c r="I137" i="26" s="1"/>
  <c r="F137" i="26"/>
  <c r="E137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E135" i="26"/>
  <c r="N134" i="26"/>
  <c r="O134" i="26" s="1"/>
  <c r="K134" i="26"/>
  <c r="L134" i="26" s="1"/>
  <c r="H134" i="26"/>
  <c r="F134" i="26"/>
  <c r="E134" i="26"/>
  <c r="N133" i="26"/>
  <c r="O133" i="26" s="1"/>
  <c r="K133" i="26"/>
  <c r="H133" i="26"/>
  <c r="I133" i="26" s="1"/>
  <c r="F133" i="26"/>
  <c r="E133" i="26"/>
  <c r="O132" i="26"/>
  <c r="N132" i="26"/>
  <c r="K132" i="26"/>
  <c r="L132" i="26" s="1"/>
  <c r="H132" i="26"/>
  <c r="F132" i="26"/>
  <c r="E132" i="26"/>
  <c r="O131" i="26"/>
  <c r="N131" i="26"/>
  <c r="K131" i="26"/>
  <c r="L131" i="26" s="1"/>
  <c r="H131" i="26"/>
  <c r="I131" i="26" s="1"/>
  <c r="F131" i="26"/>
  <c r="E131" i="26"/>
  <c r="O130" i="26"/>
  <c r="N130" i="26"/>
  <c r="K130" i="26"/>
  <c r="L130" i="26" s="1"/>
  <c r="H130" i="26"/>
  <c r="F130" i="26"/>
  <c r="E130" i="26"/>
  <c r="O129" i="26"/>
  <c r="N129" i="26"/>
  <c r="L129" i="26"/>
  <c r="K129" i="26"/>
  <c r="H129" i="26"/>
  <c r="I129" i="26" s="1"/>
  <c r="E129" i="26"/>
  <c r="N128" i="26"/>
  <c r="O128" i="26" s="1"/>
  <c r="K128" i="26"/>
  <c r="L128" i="26" s="1"/>
  <c r="H128" i="26"/>
  <c r="E128" i="26"/>
  <c r="F128" i="26" s="1"/>
  <c r="O127" i="26"/>
  <c r="N127" i="26"/>
  <c r="K127" i="26"/>
  <c r="H127" i="26"/>
  <c r="I127" i="26" s="1"/>
  <c r="E127" i="26"/>
  <c r="F127" i="26" s="1"/>
  <c r="N126" i="26"/>
  <c r="O126" i="26" s="1"/>
  <c r="K126" i="26"/>
  <c r="I126" i="26"/>
  <c r="H126" i="26"/>
  <c r="E126" i="26"/>
  <c r="F126" i="26" s="1"/>
  <c r="N125" i="26"/>
  <c r="N145" i="26" s="1"/>
  <c r="K125" i="26"/>
  <c r="K145" i="26" s="1"/>
  <c r="H125" i="26"/>
  <c r="H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K117" i="26"/>
  <c r="H117" i="26"/>
  <c r="E117" i="26"/>
  <c r="N116" i="26"/>
  <c r="K116" i="26"/>
  <c r="H116" i="26"/>
  <c r="E116" i="26"/>
  <c r="N115" i="26"/>
  <c r="K115" i="26"/>
  <c r="H115" i="26"/>
  <c r="E115" i="26"/>
  <c r="N114" i="26"/>
  <c r="K114" i="26"/>
  <c r="H114" i="26"/>
  <c r="E114" i="26"/>
  <c r="N113" i="26"/>
  <c r="K113" i="26"/>
  <c r="H113" i="26"/>
  <c r="E113" i="26"/>
  <c r="N112" i="26"/>
  <c r="K112" i="26"/>
  <c r="H112" i="26"/>
  <c r="E112" i="26"/>
  <c r="N111" i="26"/>
  <c r="K111" i="26"/>
  <c r="H111" i="26"/>
  <c r="E111" i="26"/>
  <c r="N110" i="26"/>
  <c r="K110" i="26"/>
  <c r="H110" i="26"/>
  <c r="E110" i="26"/>
  <c r="N109" i="26"/>
  <c r="K109" i="26"/>
  <c r="H109" i="26"/>
  <c r="E109" i="26"/>
  <c r="N108" i="26"/>
  <c r="K108" i="26"/>
  <c r="H108" i="26"/>
  <c r="E108" i="26"/>
  <c r="N107" i="26"/>
  <c r="K107" i="26"/>
  <c r="H107" i="26"/>
  <c r="E107" i="26"/>
  <c r="N106" i="26"/>
  <c r="K106" i="26"/>
  <c r="H106" i="26"/>
  <c r="F106" i="26"/>
  <c r="E106" i="26"/>
  <c r="N105" i="26"/>
  <c r="L105" i="26"/>
  <c r="K105" i="26"/>
  <c r="H105" i="26"/>
  <c r="F105" i="26"/>
  <c r="E105" i="26"/>
  <c r="N104" i="26"/>
  <c r="L104" i="26"/>
  <c r="K104" i="26"/>
  <c r="H104" i="26"/>
  <c r="F104" i="26"/>
  <c r="E104" i="26"/>
  <c r="N103" i="26"/>
  <c r="L103" i="26"/>
  <c r="K103" i="26"/>
  <c r="H103" i="26"/>
  <c r="F103" i="26"/>
  <c r="E103" i="26"/>
  <c r="N102" i="26"/>
  <c r="L102" i="26"/>
  <c r="K102" i="26"/>
  <c r="H102" i="26"/>
  <c r="F102" i="26"/>
  <c r="E102" i="26"/>
  <c r="N101" i="26"/>
  <c r="L101" i="26"/>
  <c r="K101" i="26"/>
  <c r="H101" i="26"/>
  <c r="F101" i="26"/>
  <c r="E101" i="26"/>
  <c r="N100" i="26"/>
  <c r="L100" i="26"/>
  <c r="K100" i="26"/>
  <c r="H100" i="26"/>
  <c r="F100" i="26"/>
  <c r="E100" i="26"/>
  <c r="N99" i="26"/>
  <c r="L99" i="26"/>
  <c r="K99" i="26"/>
  <c r="H99" i="26"/>
  <c r="F99" i="26"/>
  <c r="E99" i="26"/>
  <c r="N98" i="26"/>
  <c r="N118" i="26" s="1"/>
  <c r="L98" i="26"/>
  <c r="K98" i="26"/>
  <c r="K118" i="26" s="1"/>
  <c r="H98" i="26"/>
  <c r="H118" i="26" s="1"/>
  <c r="F98" i="26"/>
  <c r="E98" i="26"/>
  <c r="E118" i="26" s="1"/>
  <c r="M96" i="26"/>
  <c r="J96" i="26"/>
  <c r="G96" i="26"/>
  <c r="D96" i="26"/>
  <c r="B96" i="26"/>
  <c r="M95" i="26"/>
  <c r="G95" i="26"/>
  <c r="B91" i="26"/>
  <c r="F88" i="26" s="1"/>
  <c r="N90" i="26"/>
  <c r="K90" i="26"/>
  <c r="H90" i="26"/>
  <c r="E90" i="26"/>
  <c r="N89" i="26"/>
  <c r="K89" i="26"/>
  <c r="H89" i="26"/>
  <c r="E89" i="26"/>
  <c r="N88" i="26"/>
  <c r="K88" i="26"/>
  <c r="H88" i="26"/>
  <c r="E88" i="26"/>
  <c r="N87" i="26"/>
  <c r="K87" i="26"/>
  <c r="H87" i="26"/>
  <c r="E87" i="26"/>
  <c r="N86" i="26"/>
  <c r="K86" i="26"/>
  <c r="H86" i="26"/>
  <c r="E86" i="26"/>
  <c r="N85" i="26"/>
  <c r="K85" i="26"/>
  <c r="H85" i="26"/>
  <c r="F85" i="26"/>
  <c r="E85" i="26"/>
  <c r="N84" i="26"/>
  <c r="K84" i="26"/>
  <c r="H84" i="26"/>
  <c r="I84" i="26" s="1"/>
  <c r="E84" i="26"/>
  <c r="N83" i="26"/>
  <c r="L83" i="26"/>
  <c r="K83" i="26"/>
  <c r="H83" i="26"/>
  <c r="E83" i="26"/>
  <c r="O82" i="26"/>
  <c r="N82" i="26"/>
  <c r="K82" i="26"/>
  <c r="H82" i="26"/>
  <c r="F82" i="26"/>
  <c r="E82" i="26"/>
  <c r="N81" i="26"/>
  <c r="K81" i="26"/>
  <c r="H81" i="26"/>
  <c r="I81" i="26" s="1"/>
  <c r="E81" i="26"/>
  <c r="N80" i="26"/>
  <c r="K80" i="26"/>
  <c r="H80" i="26"/>
  <c r="E80" i="26"/>
  <c r="N79" i="26"/>
  <c r="K79" i="26"/>
  <c r="H79" i="26"/>
  <c r="E79" i="26"/>
  <c r="O78" i="26"/>
  <c r="N78" i="26"/>
  <c r="K78" i="26"/>
  <c r="H78" i="26"/>
  <c r="I78" i="26" s="1"/>
  <c r="E78" i="26"/>
  <c r="N77" i="26"/>
  <c r="K77" i="26"/>
  <c r="L77" i="26" s="1"/>
  <c r="H77" i="26"/>
  <c r="E77" i="26"/>
  <c r="N76" i="26"/>
  <c r="O76" i="26" s="1"/>
  <c r="K76" i="26"/>
  <c r="H76" i="26"/>
  <c r="E76" i="26"/>
  <c r="N75" i="26"/>
  <c r="O75" i="26" s="1"/>
  <c r="K75" i="26"/>
  <c r="H75" i="26"/>
  <c r="F75" i="26"/>
  <c r="E75" i="26"/>
  <c r="N74" i="26"/>
  <c r="K74" i="26"/>
  <c r="H74" i="26"/>
  <c r="E74" i="26"/>
  <c r="N73" i="26"/>
  <c r="O73" i="26" s="1"/>
  <c r="K73" i="26"/>
  <c r="H73" i="26"/>
  <c r="E73" i="26"/>
  <c r="N72" i="26"/>
  <c r="K72" i="26"/>
  <c r="H72" i="26"/>
  <c r="F72" i="26"/>
  <c r="E72" i="26"/>
  <c r="N71" i="26"/>
  <c r="N91" i="26" s="1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K59" i="26"/>
  <c r="L59" i="26" s="1"/>
  <c r="H59" i="26"/>
  <c r="I59" i="26" s="1"/>
  <c r="F59" i="26"/>
  <c r="E59" i="26"/>
  <c r="N58" i="26"/>
  <c r="O58" i="26" s="1"/>
  <c r="K58" i="26"/>
  <c r="L58" i="26" s="1"/>
  <c r="H58" i="26"/>
  <c r="I58" i="26" s="1"/>
  <c r="F58" i="26"/>
  <c r="E58" i="26"/>
  <c r="N57" i="26"/>
  <c r="O57" i="26" s="1"/>
  <c r="L57" i="26"/>
  <c r="K57" i="26"/>
  <c r="H57" i="26"/>
  <c r="I57" i="26" s="1"/>
  <c r="E57" i="26"/>
  <c r="F57" i="26" s="1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N53" i="26"/>
  <c r="O53" i="26" s="1"/>
  <c r="L53" i="26"/>
  <c r="K53" i="26"/>
  <c r="H53" i="26"/>
  <c r="I53" i="26" s="1"/>
  <c r="F53" i="26"/>
  <c r="E53" i="26"/>
  <c r="N52" i="26"/>
  <c r="O52" i="26" s="1"/>
  <c r="K52" i="26"/>
  <c r="L52" i="26" s="1"/>
  <c r="H52" i="26"/>
  <c r="I52" i="26" s="1"/>
  <c r="F52" i="26"/>
  <c r="E52" i="26"/>
  <c r="N51" i="26"/>
  <c r="O51" i="26" s="1"/>
  <c r="K51" i="26"/>
  <c r="L51" i="26" s="1"/>
  <c r="H51" i="26"/>
  <c r="I51" i="26" s="1"/>
  <c r="F51" i="26"/>
  <c r="E51" i="26"/>
  <c r="N50" i="26"/>
  <c r="O50" i="26" s="1"/>
  <c r="L50" i="26"/>
  <c r="K50" i="26"/>
  <c r="H50" i="26"/>
  <c r="I50" i="26" s="1"/>
  <c r="F50" i="26"/>
  <c r="E50" i="26"/>
  <c r="O49" i="26"/>
  <c r="N49" i="26"/>
  <c r="L49" i="26"/>
  <c r="K49" i="26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N45" i="26"/>
  <c r="O45" i="26" s="1"/>
  <c r="L45" i="26"/>
  <c r="K45" i="26"/>
  <c r="H45" i="26"/>
  <c r="I45" i="26" s="1"/>
  <c r="F45" i="26"/>
  <c r="E45" i="26"/>
  <c r="N44" i="26"/>
  <c r="K44" i="26"/>
  <c r="K64" i="26" s="1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O192" i="25"/>
  <c r="N192" i="25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O190" i="25"/>
  <c r="N190" i="25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I171" i="25"/>
  <c r="H171" i="25"/>
  <c r="F171" i="25"/>
  <c r="E171" i="25"/>
  <c r="O170" i="25"/>
  <c r="N170" i="25"/>
  <c r="L170" i="25"/>
  <c r="K170" i="25"/>
  <c r="I170" i="25"/>
  <c r="H170" i="25"/>
  <c r="F170" i="25"/>
  <c r="E170" i="25"/>
  <c r="O169" i="25"/>
  <c r="N169" i="25"/>
  <c r="L169" i="25"/>
  <c r="K169" i="25"/>
  <c r="I169" i="25"/>
  <c r="H169" i="25"/>
  <c r="F169" i="25"/>
  <c r="E169" i="25"/>
  <c r="O168" i="25"/>
  <c r="N168" i="25"/>
  <c r="L168" i="25"/>
  <c r="K168" i="25"/>
  <c r="I168" i="25"/>
  <c r="H168" i="25"/>
  <c r="F168" i="25"/>
  <c r="E168" i="25"/>
  <c r="O167" i="25"/>
  <c r="N167" i="25"/>
  <c r="L167" i="25"/>
  <c r="K167" i="25"/>
  <c r="I167" i="25"/>
  <c r="H167" i="25"/>
  <c r="F167" i="25"/>
  <c r="E167" i="25"/>
  <c r="O166" i="25"/>
  <c r="N166" i="25"/>
  <c r="L166" i="25"/>
  <c r="K166" i="25"/>
  <c r="I166" i="25"/>
  <c r="H166" i="25"/>
  <c r="F166" i="25"/>
  <c r="E166" i="25"/>
  <c r="O165" i="25"/>
  <c r="N165" i="25"/>
  <c r="L165" i="25"/>
  <c r="K165" i="25"/>
  <c r="I165" i="25"/>
  <c r="H165" i="25"/>
  <c r="F165" i="25"/>
  <c r="E165" i="25"/>
  <c r="O164" i="25"/>
  <c r="N164" i="25"/>
  <c r="L164" i="25"/>
  <c r="K164" i="25"/>
  <c r="I164" i="25"/>
  <c r="H164" i="25"/>
  <c r="F164" i="25"/>
  <c r="E164" i="25"/>
  <c r="O163" i="25"/>
  <c r="N163" i="25"/>
  <c r="L163" i="25"/>
  <c r="K163" i="25"/>
  <c r="I163" i="25"/>
  <c r="H163" i="25"/>
  <c r="F163" i="25"/>
  <c r="E163" i="25"/>
  <c r="O162" i="25"/>
  <c r="N162" i="25"/>
  <c r="L162" i="25"/>
  <c r="K162" i="25"/>
  <c r="I162" i="25"/>
  <c r="H162" i="25"/>
  <c r="F162" i="25"/>
  <c r="E162" i="25"/>
  <c r="O161" i="25"/>
  <c r="N161" i="25"/>
  <c r="L161" i="25"/>
  <c r="K161" i="25"/>
  <c r="I161" i="25"/>
  <c r="H161" i="25"/>
  <c r="F161" i="25"/>
  <c r="E161" i="25"/>
  <c r="O160" i="25"/>
  <c r="N160" i="25"/>
  <c r="L160" i="25"/>
  <c r="K160" i="25"/>
  <c r="I160" i="25"/>
  <c r="H160" i="25"/>
  <c r="F160" i="25"/>
  <c r="E160" i="25"/>
  <c r="O159" i="25"/>
  <c r="N159" i="25"/>
  <c r="L159" i="25"/>
  <c r="K159" i="25"/>
  <c r="I159" i="25"/>
  <c r="H159" i="25"/>
  <c r="F159" i="25"/>
  <c r="E159" i="25"/>
  <c r="O158" i="25"/>
  <c r="N158" i="25"/>
  <c r="L158" i="25"/>
  <c r="K158" i="25"/>
  <c r="I158" i="25"/>
  <c r="H158" i="25"/>
  <c r="F158" i="25"/>
  <c r="E158" i="25"/>
  <c r="O157" i="25"/>
  <c r="N157" i="25"/>
  <c r="L157" i="25"/>
  <c r="K157" i="25"/>
  <c r="I157" i="25"/>
  <c r="H157" i="25"/>
  <c r="F157" i="25"/>
  <c r="E157" i="25"/>
  <c r="O156" i="25"/>
  <c r="N156" i="25"/>
  <c r="L156" i="25"/>
  <c r="K156" i="25"/>
  <c r="I156" i="25"/>
  <c r="H156" i="25"/>
  <c r="F156" i="25"/>
  <c r="E156" i="25"/>
  <c r="O155" i="25"/>
  <c r="N155" i="25"/>
  <c r="L155" i="25"/>
  <c r="K155" i="25"/>
  <c r="I155" i="25"/>
  <c r="H155" i="25"/>
  <c r="F155" i="25"/>
  <c r="E155" i="25"/>
  <c r="O154" i="25"/>
  <c r="N154" i="25"/>
  <c r="L154" i="25"/>
  <c r="K154" i="25"/>
  <c r="I154" i="25"/>
  <c r="H154" i="25"/>
  <c r="F154" i="25"/>
  <c r="E154" i="25"/>
  <c r="O153" i="25"/>
  <c r="N153" i="25"/>
  <c r="L153" i="25"/>
  <c r="K153" i="25"/>
  <c r="I153" i="25"/>
  <c r="H153" i="25"/>
  <c r="F153" i="25"/>
  <c r="E153" i="25"/>
  <c r="O152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K137" i="25"/>
  <c r="L137" i="25" s="1"/>
  <c r="H137" i="25"/>
  <c r="I137" i="25" s="1"/>
  <c r="E137" i="25"/>
  <c r="F137" i="25" s="1"/>
  <c r="N136" i="25"/>
  <c r="O136" i="25" s="1"/>
  <c r="L136" i="25"/>
  <c r="K136" i="25"/>
  <c r="I136" i="25"/>
  <c r="H136" i="25"/>
  <c r="E136" i="25"/>
  <c r="F136" i="25" s="1"/>
  <c r="N135" i="25"/>
  <c r="O135" i="25" s="1"/>
  <c r="K135" i="25"/>
  <c r="L135" i="25" s="1"/>
  <c r="I135" i="25"/>
  <c r="H135" i="25"/>
  <c r="E135" i="25"/>
  <c r="F135" i="25" s="1"/>
  <c r="N134" i="25"/>
  <c r="O134" i="25" s="1"/>
  <c r="K134" i="25"/>
  <c r="L134" i="25" s="1"/>
  <c r="H134" i="25"/>
  <c r="I134" i="25" s="1"/>
  <c r="E134" i="25"/>
  <c r="F134" i="25" s="1"/>
  <c r="O133" i="25"/>
  <c r="N133" i="25"/>
  <c r="L133" i="25"/>
  <c r="K133" i="25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I131" i="25"/>
  <c r="H131" i="25"/>
  <c r="E131" i="25"/>
  <c r="F131" i="25" s="1"/>
  <c r="N130" i="25"/>
  <c r="O130" i="25" s="1"/>
  <c r="L130" i="25"/>
  <c r="K130" i="25"/>
  <c r="H130" i="25"/>
  <c r="I130" i="25" s="1"/>
  <c r="E130" i="25"/>
  <c r="F130" i="25" s="1"/>
  <c r="N129" i="25"/>
  <c r="O129" i="25" s="1"/>
  <c r="K129" i="25"/>
  <c r="L129" i="25" s="1"/>
  <c r="H129" i="25"/>
  <c r="I129" i="25" s="1"/>
  <c r="E129" i="25"/>
  <c r="F129" i="25" s="1"/>
  <c r="N128" i="25"/>
  <c r="O128" i="25" s="1"/>
  <c r="L128" i="25"/>
  <c r="K128" i="25"/>
  <c r="I128" i="25"/>
  <c r="H128" i="25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K117" i="25"/>
  <c r="L117" i="25" s="1"/>
  <c r="H117" i="25"/>
  <c r="I117" i="25" s="1"/>
  <c r="E117" i="25"/>
  <c r="F117" i="25" s="1"/>
  <c r="N116" i="25"/>
  <c r="O116" i="25" s="1"/>
  <c r="L116" i="25"/>
  <c r="K116" i="25"/>
  <c r="I116" i="25"/>
  <c r="H116" i="25"/>
  <c r="F116" i="25"/>
  <c r="E116" i="25"/>
  <c r="N115" i="25"/>
  <c r="O115" i="25" s="1"/>
  <c r="L115" i="25"/>
  <c r="K115" i="25"/>
  <c r="I115" i="25"/>
  <c r="H115" i="25"/>
  <c r="F115" i="25"/>
  <c r="E115" i="25"/>
  <c r="N114" i="25"/>
  <c r="O114" i="25" s="1"/>
  <c r="L114" i="25"/>
  <c r="K114" i="25"/>
  <c r="I114" i="25"/>
  <c r="H114" i="25"/>
  <c r="F114" i="25"/>
  <c r="E114" i="25"/>
  <c r="N113" i="25"/>
  <c r="O113" i="25" s="1"/>
  <c r="L113" i="25"/>
  <c r="K113" i="25"/>
  <c r="I113" i="25"/>
  <c r="H113" i="25"/>
  <c r="F113" i="25"/>
  <c r="E113" i="25"/>
  <c r="N112" i="25"/>
  <c r="O112" i="25" s="1"/>
  <c r="L112" i="25"/>
  <c r="K112" i="25"/>
  <c r="I112" i="25"/>
  <c r="H112" i="25"/>
  <c r="F112" i="25"/>
  <c r="E112" i="25"/>
  <c r="N111" i="25"/>
  <c r="O111" i="25" s="1"/>
  <c r="L111" i="25"/>
  <c r="K111" i="25"/>
  <c r="I111" i="25"/>
  <c r="H111" i="25"/>
  <c r="F111" i="25"/>
  <c r="E111" i="25"/>
  <c r="N110" i="25"/>
  <c r="O110" i="25" s="1"/>
  <c r="L110" i="25"/>
  <c r="K110" i="25"/>
  <c r="I110" i="25"/>
  <c r="H110" i="25"/>
  <c r="F110" i="25"/>
  <c r="E110" i="25"/>
  <c r="N109" i="25"/>
  <c r="O109" i="25" s="1"/>
  <c r="L109" i="25"/>
  <c r="K109" i="25"/>
  <c r="I109" i="25"/>
  <c r="H109" i="25"/>
  <c r="F109" i="25"/>
  <c r="E109" i="25"/>
  <c r="N108" i="25"/>
  <c r="O108" i="25" s="1"/>
  <c r="L108" i="25"/>
  <c r="K108" i="25"/>
  <c r="I108" i="25"/>
  <c r="H108" i="25"/>
  <c r="F108" i="25"/>
  <c r="E108" i="25"/>
  <c r="N107" i="25"/>
  <c r="O107" i="25" s="1"/>
  <c r="L107" i="25"/>
  <c r="K107" i="25"/>
  <c r="I107" i="25"/>
  <c r="H107" i="25"/>
  <c r="F107" i="25"/>
  <c r="E107" i="25"/>
  <c r="N106" i="25"/>
  <c r="O106" i="25" s="1"/>
  <c r="L106" i="25"/>
  <c r="K106" i="25"/>
  <c r="I106" i="25"/>
  <c r="H106" i="25"/>
  <c r="F106" i="25"/>
  <c r="E106" i="25"/>
  <c r="N105" i="25"/>
  <c r="O105" i="25" s="1"/>
  <c r="L105" i="25"/>
  <c r="K105" i="25"/>
  <c r="I105" i="25"/>
  <c r="H105" i="25"/>
  <c r="F105" i="25"/>
  <c r="E105" i="25"/>
  <c r="N104" i="25"/>
  <c r="O104" i="25" s="1"/>
  <c r="L104" i="25"/>
  <c r="K104" i="25"/>
  <c r="I104" i="25"/>
  <c r="H104" i="25"/>
  <c r="F104" i="25"/>
  <c r="E104" i="25"/>
  <c r="N103" i="25"/>
  <c r="O103" i="25" s="1"/>
  <c r="L103" i="25"/>
  <c r="K103" i="25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L101" i="25"/>
  <c r="K101" i="25"/>
  <c r="I101" i="25"/>
  <c r="H101" i="25"/>
  <c r="E101" i="25"/>
  <c r="F101" i="25" s="1"/>
  <c r="O100" i="25"/>
  <c r="N100" i="25"/>
  <c r="L100" i="25"/>
  <c r="K100" i="25"/>
  <c r="H100" i="25"/>
  <c r="I100" i="25" s="1"/>
  <c r="E100" i="25"/>
  <c r="F100" i="25" s="1"/>
  <c r="O99" i="25"/>
  <c r="N99" i="25"/>
  <c r="K99" i="25"/>
  <c r="L99" i="25" s="1"/>
  <c r="I99" i="25"/>
  <c r="H99" i="25"/>
  <c r="F99" i="25"/>
  <c r="E99" i="25"/>
  <c r="N98" i="25"/>
  <c r="N118" i="25" s="1"/>
  <c r="K98" i="25"/>
  <c r="I98" i="25"/>
  <c r="H98" i="25"/>
  <c r="F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I90" i="25"/>
  <c r="H90" i="25"/>
  <c r="E90" i="25"/>
  <c r="F90" i="25" s="1"/>
  <c r="O89" i="25"/>
  <c r="N89" i="25"/>
  <c r="K89" i="25"/>
  <c r="L89" i="25" s="1"/>
  <c r="H89" i="25"/>
  <c r="I89" i="25" s="1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K87" i="25"/>
  <c r="L87" i="25" s="1"/>
  <c r="I87" i="25"/>
  <c r="H87" i="25"/>
  <c r="E87" i="25"/>
  <c r="F87" i="25" s="1"/>
  <c r="O86" i="25"/>
  <c r="N86" i="25"/>
  <c r="L86" i="25"/>
  <c r="K86" i="25"/>
  <c r="I86" i="25"/>
  <c r="H86" i="25"/>
  <c r="E86" i="25"/>
  <c r="F86" i="25" s="1"/>
  <c r="N85" i="25"/>
  <c r="O85" i="25" s="1"/>
  <c r="K85" i="25"/>
  <c r="L85" i="25" s="1"/>
  <c r="H85" i="25"/>
  <c r="I85" i="25" s="1"/>
  <c r="E85" i="25"/>
  <c r="F85" i="25" s="1"/>
  <c r="O84" i="25"/>
  <c r="N84" i="25"/>
  <c r="K84" i="25"/>
  <c r="L84" i="25" s="1"/>
  <c r="H84" i="25"/>
  <c r="I84" i="25" s="1"/>
  <c r="E84" i="25"/>
  <c r="F84" i="25" s="1"/>
  <c r="N83" i="25"/>
  <c r="O83" i="25" s="1"/>
  <c r="K83" i="25"/>
  <c r="L83" i="25" s="1"/>
  <c r="I83" i="25"/>
  <c r="H83" i="25"/>
  <c r="E83" i="25"/>
  <c r="F83" i="25" s="1"/>
  <c r="N82" i="25"/>
  <c r="O82" i="25" s="1"/>
  <c r="K82" i="25"/>
  <c r="L82" i="25" s="1"/>
  <c r="I82" i="25"/>
  <c r="H82" i="25"/>
  <c r="E82" i="25"/>
  <c r="F82" i="25" s="1"/>
  <c r="N81" i="25"/>
  <c r="O81" i="25" s="1"/>
  <c r="K81" i="25"/>
  <c r="L81" i="25" s="1"/>
  <c r="H81" i="25"/>
  <c r="I81" i="25" s="1"/>
  <c r="E81" i="25"/>
  <c r="F81" i="25" s="1"/>
  <c r="N80" i="25"/>
  <c r="O80" i="25" s="1"/>
  <c r="K80" i="25"/>
  <c r="L80" i="25" s="1"/>
  <c r="H80" i="25"/>
  <c r="I80" i="25" s="1"/>
  <c r="E80" i="25"/>
  <c r="F80" i="25" s="1"/>
  <c r="N79" i="25"/>
  <c r="O79" i="25" s="1"/>
  <c r="K79" i="25"/>
  <c r="L79" i="25" s="1"/>
  <c r="I79" i="25"/>
  <c r="H79" i="25"/>
  <c r="E79" i="25"/>
  <c r="F79" i="25" s="1"/>
  <c r="N78" i="25"/>
  <c r="O78" i="25" s="1"/>
  <c r="L78" i="25"/>
  <c r="K78" i="25"/>
  <c r="I78" i="25"/>
  <c r="H78" i="25"/>
  <c r="E78" i="25"/>
  <c r="F78" i="25" s="1"/>
  <c r="O77" i="25"/>
  <c r="N77" i="25"/>
  <c r="K77" i="25"/>
  <c r="L77" i="25" s="1"/>
  <c r="H77" i="25"/>
  <c r="I77" i="25" s="1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K75" i="25"/>
  <c r="L75" i="25" s="1"/>
  <c r="H75" i="25"/>
  <c r="I75" i="25" s="1"/>
  <c r="E75" i="25"/>
  <c r="F75" i="25" s="1"/>
  <c r="N74" i="25"/>
  <c r="O74" i="25" s="1"/>
  <c r="K74" i="25"/>
  <c r="L74" i="25" s="1"/>
  <c r="I74" i="25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O71" i="25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F56" i="25" s="1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K60" i="25"/>
  <c r="I60" i="25"/>
  <c r="H60" i="25"/>
  <c r="F60" i="25"/>
  <c r="E60" i="25"/>
  <c r="N59" i="25"/>
  <c r="O59" i="25" s="1"/>
  <c r="K59" i="25"/>
  <c r="I59" i="25"/>
  <c r="H59" i="25"/>
  <c r="F59" i="25"/>
  <c r="E59" i="25"/>
  <c r="O58" i="25"/>
  <c r="N58" i="25"/>
  <c r="K58" i="25"/>
  <c r="L58" i="25" s="1"/>
  <c r="H58" i="25"/>
  <c r="E58" i="25"/>
  <c r="O57" i="25"/>
  <c r="N57" i="25"/>
  <c r="K57" i="25"/>
  <c r="L57" i="25" s="1"/>
  <c r="H57" i="25"/>
  <c r="F57" i="25"/>
  <c r="E57" i="25"/>
  <c r="O56" i="25"/>
  <c r="N56" i="25"/>
  <c r="L56" i="25"/>
  <c r="K56" i="25"/>
  <c r="H56" i="25"/>
  <c r="I56" i="25" s="1"/>
  <c r="E56" i="25"/>
  <c r="N55" i="25"/>
  <c r="K55" i="25"/>
  <c r="L55" i="25" s="1"/>
  <c r="H55" i="25"/>
  <c r="F55" i="25"/>
  <c r="E55" i="25"/>
  <c r="N54" i="25"/>
  <c r="O54" i="25" s="1"/>
  <c r="K54" i="25"/>
  <c r="H54" i="25"/>
  <c r="I54" i="25" s="1"/>
  <c r="E54" i="25"/>
  <c r="N53" i="25"/>
  <c r="K53" i="25"/>
  <c r="L53" i="25" s="1"/>
  <c r="H53" i="25"/>
  <c r="F53" i="25"/>
  <c r="E53" i="25"/>
  <c r="N52" i="25"/>
  <c r="O52" i="25" s="1"/>
  <c r="K52" i="25"/>
  <c r="H52" i="25"/>
  <c r="F52" i="25"/>
  <c r="E52" i="25"/>
  <c r="O51" i="25"/>
  <c r="N51" i="25"/>
  <c r="K51" i="25"/>
  <c r="L51" i="25" s="1"/>
  <c r="H51" i="25"/>
  <c r="F51" i="25"/>
  <c r="E51" i="25"/>
  <c r="O50" i="25"/>
  <c r="N50" i="25"/>
  <c r="K50" i="25"/>
  <c r="L50" i="25" s="1"/>
  <c r="H50" i="25"/>
  <c r="F50" i="25"/>
  <c r="E50" i="25"/>
  <c r="O49" i="25"/>
  <c r="N49" i="25"/>
  <c r="K49" i="25"/>
  <c r="L49" i="25" s="1"/>
  <c r="H49" i="25"/>
  <c r="F49" i="25"/>
  <c r="E49" i="25"/>
  <c r="O48" i="25"/>
  <c r="N48" i="25"/>
  <c r="L48" i="25"/>
  <c r="K48" i="25"/>
  <c r="H48" i="25"/>
  <c r="I48" i="25" s="1"/>
  <c r="E48" i="25"/>
  <c r="N47" i="25"/>
  <c r="K47" i="25"/>
  <c r="L47" i="25" s="1"/>
  <c r="H47" i="25"/>
  <c r="F47" i="25"/>
  <c r="E47" i="25"/>
  <c r="N46" i="25"/>
  <c r="O46" i="25" s="1"/>
  <c r="K46" i="25"/>
  <c r="H46" i="25"/>
  <c r="I46" i="25" s="1"/>
  <c r="E46" i="25"/>
  <c r="N45" i="25"/>
  <c r="K45" i="25"/>
  <c r="L45" i="25" s="1"/>
  <c r="H45" i="25"/>
  <c r="I45" i="25" s="1"/>
  <c r="F45" i="25"/>
  <c r="E45" i="25"/>
  <c r="N44" i="25"/>
  <c r="N64" i="25" s="1"/>
  <c r="L44" i="25"/>
  <c r="K44" i="25"/>
  <c r="H44" i="25"/>
  <c r="H64" i="25" s="1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4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F197" i="24"/>
  <c r="E197" i="24"/>
  <c r="O196" i="24"/>
  <c r="N196" i="24"/>
  <c r="K196" i="24"/>
  <c r="L196" i="24" s="1"/>
  <c r="H196" i="24"/>
  <c r="F196" i="24"/>
  <c r="E196" i="24"/>
  <c r="N195" i="24"/>
  <c r="O195" i="24" s="1"/>
  <c r="K195" i="24"/>
  <c r="H195" i="24"/>
  <c r="I195" i="24" s="1"/>
  <c r="F195" i="24"/>
  <c r="E195" i="24"/>
  <c r="N194" i="24"/>
  <c r="L194" i="24"/>
  <c r="K194" i="24"/>
  <c r="H194" i="24"/>
  <c r="F194" i="24"/>
  <c r="E194" i="24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E192" i="24"/>
  <c r="N191" i="24"/>
  <c r="O191" i="24" s="1"/>
  <c r="K191" i="24"/>
  <c r="L191" i="24" s="1"/>
  <c r="H191" i="24"/>
  <c r="F191" i="24"/>
  <c r="E191" i="24"/>
  <c r="O190" i="24"/>
  <c r="N190" i="24"/>
  <c r="L190" i="24"/>
  <c r="K190" i="24"/>
  <c r="H190" i="24"/>
  <c r="I190" i="24" s="1"/>
  <c r="E190" i="24"/>
  <c r="O189" i="24"/>
  <c r="N189" i="24"/>
  <c r="K189" i="24"/>
  <c r="H189" i="24"/>
  <c r="I189" i="24" s="1"/>
  <c r="F189" i="24"/>
  <c r="E189" i="24"/>
  <c r="N188" i="24"/>
  <c r="K188" i="24"/>
  <c r="L188" i="24" s="1"/>
  <c r="H188" i="24"/>
  <c r="I188" i="24" s="1"/>
  <c r="F188" i="24"/>
  <c r="E188" i="24"/>
  <c r="O187" i="24"/>
  <c r="N187" i="24"/>
  <c r="K187" i="24"/>
  <c r="L187" i="24" s="1"/>
  <c r="H187" i="24"/>
  <c r="F187" i="24"/>
  <c r="E187" i="24"/>
  <c r="N186" i="24"/>
  <c r="O186" i="24" s="1"/>
  <c r="K186" i="24"/>
  <c r="H186" i="24"/>
  <c r="I186" i="24" s="1"/>
  <c r="F186" i="24"/>
  <c r="E186" i="24"/>
  <c r="O185" i="24"/>
  <c r="N185" i="24"/>
  <c r="K185" i="24"/>
  <c r="L185" i="24" s="1"/>
  <c r="H185" i="24"/>
  <c r="F185" i="24"/>
  <c r="E185" i="24"/>
  <c r="N184" i="24"/>
  <c r="O184" i="24" s="1"/>
  <c r="K184" i="24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K180" i="24"/>
  <c r="L180" i="24" s="1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L171" i="24"/>
  <c r="K171" i="24"/>
  <c r="H171" i="24"/>
  <c r="E171" i="24"/>
  <c r="N170" i="24"/>
  <c r="O170" i="24" s="1"/>
  <c r="K170" i="24"/>
  <c r="H170" i="24"/>
  <c r="F170" i="24"/>
  <c r="E170" i="24"/>
  <c r="N169" i="24"/>
  <c r="K169" i="24"/>
  <c r="H169" i="24"/>
  <c r="I169" i="24" s="1"/>
  <c r="E169" i="24"/>
  <c r="O168" i="24"/>
  <c r="N168" i="24"/>
  <c r="K168" i="24"/>
  <c r="H168" i="24"/>
  <c r="F168" i="24"/>
  <c r="E168" i="24"/>
  <c r="N167" i="24"/>
  <c r="K167" i="24"/>
  <c r="H167" i="24"/>
  <c r="I167" i="24" s="1"/>
  <c r="E167" i="24"/>
  <c r="O166" i="24"/>
  <c r="N166" i="24"/>
  <c r="K166" i="24"/>
  <c r="H166" i="24"/>
  <c r="F166" i="24"/>
  <c r="E166" i="24"/>
  <c r="N165" i="24"/>
  <c r="K165" i="24"/>
  <c r="H165" i="24"/>
  <c r="I165" i="24" s="1"/>
  <c r="E165" i="24"/>
  <c r="N164" i="24"/>
  <c r="O164" i="24" s="1"/>
  <c r="K164" i="24"/>
  <c r="L164" i="24" s="1"/>
  <c r="H164" i="24"/>
  <c r="F164" i="24"/>
  <c r="E164" i="24"/>
  <c r="O163" i="24"/>
  <c r="N163" i="24"/>
  <c r="L163" i="24"/>
  <c r="K163" i="24"/>
  <c r="H163" i="24"/>
  <c r="I163" i="24" s="1"/>
  <c r="E163" i="24"/>
  <c r="N162" i="24"/>
  <c r="O162" i="24" s="1"/>
  <c r="K162" i="24"/>
  <c r="L162" i="24" s="1"/>
  <c r="H162" i="24"/>
  <c r="F162" i="24"/>
  <c r="E162" i="24"/>
  <c r="O161" i="24"/>
  <c r="N161" i="24"/>
  <c r="L161" i="24"/>
  <c r="K161" i="24"/>
  <c r="H161" i="24"/>
  <c r="I161" i="24" s="1"/>
  <c r="E161" i="24"/>
  <c r="O160" i="24"/>
  <c r="N160" i="24"/>
  <c r="K160" i="24"/>
  <c r="H160" i="24"/>
  <c r="I160" i="24" s="1"/>
  <c r="F160" i="24"/>
  <c r="E160" i="24"/>
  <c r="N159" i="24"/>
  <c r="L159" i="24"/>
  <c r="K159" i="24"/>
  <c r="H159" i="24"/>
  <c r="I159" i="24" s="1"/>
  <c r="E159" i="24"/>
  <c r="O158" i="24"/>
  <c r="N158" i="24"/>
  <c r="K158" i="24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N156" i="24"/>
  <c r="O156" i="24" s="1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O153" i="24"/>
  <c r="N153" i="24"/>
  <c r="L153" i="24"/>
  <c r="K153" i="24"/>
  <c r="H153" i="24"/>
  <c r="I153" i="24" s="1"/>
  <c r="F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0" i="24" s="1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N141" i="24"/>
  <c r="O141" i="24" s="1"/>
  <c r="K141" i="24"/>
  <c r="I141" i="24"/>
  <c r="H141" i="24"/>
  <c r="E141" i="24"/>
  <c r="F141" i="24" s="1"/>
  <c r="N140" i="24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I138" i="24"/>
  <c r="H138" i="24"/>
  <c r="E138" i="24"/>
  <c r="F138" i="24" s="1"/>
  <c r="O137" i="24"/>
  <c r="N137" i="24"/>
  <c r="L137" i="24"/>
  <c r="K137" i="24"/>
  <c r="I137" i="24"/>
  <c r="H137" i="24"/>
  <c r="E137" i="24"/>
  <c r="F137" i="24" s="1"/>
  <c r="O136" i="24"/>
  <c r="N136" i="24"/>
  <c r="K136" i="24"/>
  <c r="L136" i="24" s="1"/>
  <c r="H136" i="24"/>
  <c r="I136" i="24" s="1"/>
  <c r="E136" i="24"/>
  <c r="F136" i="24" s="1"/>
  <c r="O135" i="24"/>
  <c r="N135" i="24"/>
  <c r="K135" i="24"/>
  <c r="L135" i="24" s="1"/>
  <c r="H135" i="24"/>
  <c r="I135" i="24" s="1"/>
  <c r="E135" i="24"/>
  <c r="F135" i="24" s="1"/>
  <c r="N134" i="24"/>
  <c r="O134" i="24" s="1"/>
  <c r="K134" i="24"/>
  <c r="L134" i="24" s="1"/>
  <c r="I134" i="24"/>
  <c r="H134" i="24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I130" i="24"/>
  <c r="H130" i="24"/>
  <c r="E130" i="24"/>
  <c r="F130" i="24" s="1"/>
  <c r="N129" i="24"/>
  <c r="O129" i="24" s="1"/>
  <c r="L129" i="24"/>
  <c r="K129" i="24"/>
  <c r="I129" i="24"/>
  <c r="H129" i="24"/>
  <c r="E129" i="24"/>
  <c r="F129" i="24" s="1"/>
  <c r="O128" i="24"/>
  <c r="N128" i="24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K126" i="24"/>
  <c r="L126" i="24" s="1"/>
  <c r="I126" i="24"/>
  <c r="H126" i="24"/>
  <c r="E126" i="24"/>
  <c r="F126" i="24" s="1"/>
  <c r="O125" i="24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6" i="24" s="1"/>
  <c r="N117" i="24"/>
  <c r="K117" i="24"/>
  <c r="I117" i="24"/>
  <c r="H117" i="24"/>
  <c r="E117" i="24"/>
  <c r="N116" i="24"/>
  <c r="K116" i="24"/>
  <c r="H116" i="24"/>
  <c r="E116" i="24"/>
  <c r="N115" i="24"/>
  <c r="O115" i="24" s="1"/>
  <c r="K115" i="24"/>
  <c r="H115" i="24"/>
  <c r="E115" i="24"/>
  <c r="F115" i="24" s="1"/>
  <c r="N114" i="24"/>
  <c r="K114" i="24"/>
  <c r="H114" i="24"/>
  <c r="I114" i="24" s="1"/>
  <c r="E114" i="24"/>
  <c r="N113" i="24"/>
  <c r="K113" i="24"/>
  <c r="H113" i="24"/>
  <c r="E113" i="24"/>
  <c r="O112" i="24"/>
  <c r="N112" i="24"/>
  <c r="K112" i="24"/>
  <c r="H112" i="24"/>
  <c r="E112" i="24"/>
  <c r="F112" i="24" s="1"/>
  <c r="N111" i="24"/>
  <c r="K111" i="24"/>
  <c r="H111" i="24"/>
  <c r="E111" i="24"/>
  <c r="N110" i="24"/>
  <c r="K110" i="24"/>
  <c r="H110" i="24"/>
  <c r="E110" i="24"/>
  <c r="N109" i="24"/>
  <c r="L109" i="24"/>
  <c r="K109" i="24"/>
  <c r="H109" i="24"/>
  <c r="E109" i="24"/>
  <c r="F109" i="24" s="1"/>
  <c r="N108" i="24"/>
  <c r="K108" i="24"/>
  <c r="L108" i="24" s="1"/>
  <c r="H108" i="24"/>
  <c r="E108" i="24"/>
  <c r="F108" i="24" s="1"/>
  <c r="N107" i="24"/>
  <c r="O107" i="24" s="1"/>
  <c r="K107" i="24"/>
  <c r="L107" i="24" s="1"/>
  <c r="I107" i="24"/>
  <c r="H107" i="24"/>
  <c r="E107" i="24"/>
  <c r="F107" i="24" s="1"/>
  <c r="N106" i="24"/>
  <c r="O106" i="24" s="1"/>
  <c r="L106" i="24"/>
  <c r="K106" i="24"/>
  <c r="H106" i="24"/>
  <c r="I106" i="24" s="1"/>
  <c r="E106" i="24"/>
  <c r="F106" i="24" s="1"/>
  <c r="N105" i="24"/>
  <c r="O105" i="24" s="1"/>
  <c r="L105" i="24"/>
  <c r="K105" i="24"/>
  <c r="I105" i="24"/>
  <c r="H105" i="24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I103" i="24"/>
  <c r="H103" i="24"/>
  <c r="E103" i="24"/>
  <c r="F103" i="24" s="1"/>
  <c r="N102" i="24"/>
  <c r="O102" i="24" s="1"/>
  <c r="L102" i="24"/>
  <c r="K102" i="24"/>
  <c r="H102" i="24"/>
  <c r="I102" i="24" s="1"/>
  <c r="E102" i="24"/>
  <c r="F102" i="24" s="1"/>
  <c r="N101" i="24"/>
  <c r="O101" i="24" s="1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I99" i="24"/>
  <c r="H99" i="24"/>
  <c r="E99" i="24"/>
  <c r="F99" i="24" s="1"/>
  <c r="N98" i="24"/>
  <c r="O98" i="24" s="1"/>
  <c r="L98" i="24"/>
  <c r="K98" i="24"/>
  <c r="H98" i="24"/>
  <c r="E98" i="24"/>
  <c r="F98" i="24" s="1"/>
  <c r="M96" i="24"/>
  <c r="J96" i="24"/>
  <c r="G96" i="24"/>
  <c r="D96" i="24"/>
  <c r="B96" i="24"/>
  <c r="M95" i="24"/>
  <c r="G95" i="24"/>
  <c r="B91" i="24"/>
  <c r="O90" i="24" s="1"/>
  <c r="N90" i="24"/>
  <c r="K90" i="24"/>
  <c r="H90" i="24"/>
  <c r="I90" i="24" s="1"/>
  <c r="E90" i="24"/>
  <c r="N89" i="24"/>
  <c r="L89" i="24"/>
  <c r="K89" i="24"/>
  <c r="H89" i="24"/>
  <c r="E89" i="24"/>
  <c r="N88" i="24"/>
  <c r="K88" i="24"/>
  <c r="H88" i="24"/>
  <c r="F88" i="24"/>
  <c r="E88" i="24"/>
  <c r="N87" i="24"/>
  <c r="K87" i="24"/>
  <c r="H87" i="24"/>
  <c r="I87" i="24" s="1"/>
  <c r="E87" i="24"/>
  <c r="N86" i="24"/>
  <c r="K86" i="24"/>
  <c r="L86" i="24" s="1"/>
  <c r="H86" i="24"/>
  <c r="I86" i="24" s="1"/>
  <c r="F86" i="24"/>
  <c r="E86" i="24"/>
  <c r="N85" i="24"/>
  <c r="O85" i="24" s="1"/>
  <c r="L85" i="24"/>
  <c r="K85" i="24"/>
  <c r="H85" i="24"/>
  <c r="I85" i="24" s="1"/>
  <c r="F85" i="24"/>
  <c r="E85" i="24"/>
  <c r="O84" i="24"/>
  <c r="N84" i="24"/>
  <c r="K84" i="24"/>
  <c r="L84" i="24" s="1"/>
  <c r="H84" i="24"/>
  <c r="I84" i="24" s="1"/>
  <c r="F84" i="24"/>
  <c r="E84" i="24"/>
  <c r="O83" i="24"/>
  <c r="N83" i="24"/>
  <c r="K83" i="24"/>
  <c r="L83" i="24" s="1"/>
  <c r="H83" i="24"/>
  <c r="I83" i="24" s="1"/>
  <c r="F83" i="24"/>
  <c r="E83" i="24"/>
  <c r="O82" i="24"/>
  <c r="N82" i="24"/>
  <c r="K82" i="24"/>
  <c r="L82" i="24" s="1"/>
  <c r="H82" i="24"/>
  <c r="I82" i="24" s="1"/>
  <c r="F82" i="24"/>
  <c r="E82" i="24"/>
  <c r="O81" i="24"/>
  <c r="N81" i="24"/>
  <c r="L81" i="24"/>
  <c r="K81" i="24"/>
  <c r="H81" i="24"/>
  <c r="I81" i="24" s="1"/>
  <c r="F81" i="24"/>
  <c r="E81" i="24"/>
  <c r="N80" i="24"/>
  <c r="O80" i="24" s="1"/>
  <c r="K80" i="24"/>
  <c r="L80" i="24" s="1"/>
  <c r="H80" i="24"/>
  <c r="I80" i="24" s="1"/>
  <c r="F80" i="24"/>
  <c r="E80" i="24"/>
  <c r="N79" i="24"/>
  <c r="O79" i="24" s="1"/>
  <c r="K79" i="24"/>
  <c r="L79" i="24" s="1"/>
  <c r="H79" i="24"/>
  <c r="I79" i="24" s="1"/>
  <c r="F79" i="24"/>
  <c r="E79" i="24"/>
  <c r="N78" i="24"/>
  <c r="O78" i="24" s="1"/>
  <c r="K78" i="24"/>
  <c r="L78" i="24" s="1"/>
  <c r="H78" i="24"/>
  <c r="I78" i="24" s="1"/>
  <c r="F78" i="24"/>
  <c r="E78" i="24"/>
  <c r="N77" i="24"/>
  <c r="O77" i="24" s="1"/>
  <c r="L77" i="24"/>
  <c r="K77" i="24"/>
  <c r="H77" i="24"/>
  <c r="I77" i="24" s="1"/>
  <c r="F77" i="24"/>
  <c r="E77" i="24"/>
  <c r="O76" i="24"/>
  <c r="N76" i="24"/>
  <c r="K76" i="24"/>
  <c r="L76" i="24" s="1"/>
  <c r="H76" i="24"/>
  <c r="I76" i="24" s="1"/>
  <c r="F76" i="24"/>
  <c r="E76" i="24"/>
  <c r="O75" i="24"/>
  <c r="N75" i="24"/>
  <c r="K75" i="24"/>
  <c r="L75" i="24" s="1"/>
  <c r="H75" i="24"/>
  <c r="I75" i="24" s="1"/>
  <c r="F75" i="24"/>
  <c r="E75" i="24"/>
  <c r="O74" i="24"/>
  <c r="N74" i="24"/>
  <c r="K74" i="24"/>
  <c r="L74" i="24" s="1"/>
  <c r="H74" i="24"/>
  <c r="I74" i="24" s="1"/>
  <c r="F74" i="24"/>
  <c r="E74" i="24"/>
  <c r="O73" i="24"/>
  <c r="N73" i="24"/>
  <c r="L73" i="24"/>
  <c r="K73" i="24"/>
  <c r="H73" i="24"/>
  <c r="I73" i="24" s="1"/>
  <c r="F73" i="24"/>
  <c r="E73" i="24"/>
  <c r="N72" i="24"/>
  <c r="O72" i="24" s="1"/>
  <c r="K72" i="24"/>
  <c r="L72" i="24" s="1"/>
  <c r="H72" i="24"/>
  <c r="I72" i="24" s="1"/>
  <c r="F72" i="24"/>
  <c r="E72" i="24"/>
  <c r="N71" i="24"/>
  <c r="N91" i="24" s="1"/>
  <c r="K71" i="24"/>
  <c r="H71" i="24"/>
  <c r="H91" i="24" s="1"/>
  <c r="F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N60" i="24"/>
  <c r="O60" i="24" s="1"/>
  <c r="K60" i="24"/>
  <c r="L60" i="24" s="1"/>
  <c r="H60" i="24"/>
  <c r="I60" i="24" s="1"/>
  <c r="F60" i="24"/>
  <c r="E60" i="24"/>
  <c r="N59" i="24"/>
  <c r="O59" i="24" s="1"/>
  <c r="L59" i="24"/>
  <c r="K59" i="24"/>
  <c r="H59" i="24"/>
  <c r="I59" i="24" s="1"/>
  <c r="F59" i="24"/>
  <c r="E59" i="24"/>
  <c r="O58" i="24"/>
  <c r="N58" i="24"/>
  <c r="K58" i="24"/>
  <c r="L58" i="24" s="1"/>
  <c r="H58" i="24"/>
  <c r="I58" i="24" s="1"/>
  <c r="F58" i="24"/>
  <c r="E58" i="24"/>
  <c r="O57" i="24"/>
  <c r="N57" i="24"/>
  <c r="L57" i="24"/>
  <c r="K57" i="24"/>
  <c r="H57" i="24"/>
  <c r="I57" i="24" s="1"/>
  <c r="F57" i="24"/>
  <c r="E57" i="24"/>
  <c r="N56" i="24"/>
  <c r="O56" i="24" s="1"/>
  <c r="L56" i="24"/>
  <c r="K56" i="24"/>
  <c r="H56" i="24"/>
  <c r="I56" i="24" s="1"/>
  <c r="F56" i="24"/>
  <c r="E56" i="24"/>
  <c r="O55" i="24"/>
  <c r="N55" i="24"/>
  <c r="L55" i="24"/>
  <c r="K55" i="24"/>
  <c r="H55" i="24"/>
  <c r="I55" i="24" s="1"/>
  <c r="F55" i="24"/>
  <c r="E55" i="24"/>
  <c r="O54" i="24"/>
  <c r="N54" i="24"/>
  <c r="K54" i="24"/>
  <c r="L54" i="24" s="1"/>
  <c r="H54" i="24"/>
  <c r="I54" i="24" s="1"/>
  <c r="F54" i="24"/>
  <c r="E54" i="24"/>
  <c r="N53" i="24"/>
  <c r="O53" i="24" s="1"/>
  <c r="L53" i="24"/>
  <c r="K53" i="24"/>
  <c r="H53" i="24"/>
  <c r="I53" i="24" s="1"/>
  <c r="F53" i="24"/>
  <c r="E53" i="24"/>
  <c r="O52" i="24"/>
  <c r="N52" i="24"/>
  <c r="L52" i="24"/>
  <c r="K52" i="24"/>
  <c r="H52" i="24"/>
  <c r="I52" i="24" s="1"/>
  <c r="F52" i="24"/>
  <c r="E52" i="24"/>
  <c r="N51" i="24"/>
  <c r="O51" i="24" s="1"/>
  <c r="L51" i="24"/>
  <c r="K51" i="24"/>
  <c r="H51" i="24"/>
  <c r="I51" i="24" s="1"/>
  <c r="F51" i="24"/>
  <c r="E51" i="24"/>
  <c r="O50" i="24"/>
  <c r="N50" i="24"/>
  <c r="K50" i="24"/>
  <c r="L50" i="24" s="1"/>
  <c r="H50" i="24"/>
  <c r="I50" i="24" s="1"/>
  <c r="F50" i="24"/>
  <c r="E50" i="24"/>
  <c r="O49" i="24"/>
  <c r="N49" i="24"/>
  <c r="L49" i="24"/>
  <c r="K49" i="24"/>
  <c r="H49" i="24"/>
  <c r="I49" i="24" s="1"/>
  <c r="F49" i="24"/>
  <c r="E49" i="24"/>
  <c r="N48" i="24"/>
  <c r="O48" i="24" s="1"/>
  <c r="L48" i="24"/>
  <c r="K48" i="24"/>
  <c r="H48" i="24"/>
  <c r="I48" i="24" s="1"/>
  <c r="F48" i="24"/>
  <c r="E48" i="24"/>
  <c r="O47" i="24"/>
  <c r="N47" i="24"/>
  <c r="L47" i="24"/>
  <c r="K47" i="24"/>
  <c r="H47" i="24"/>
  <c r="I47" i="24" s="1"/>
  <c r="F47" i="24"/>
  <c r="E47" i="24"/>
  <c r="N46" i="24"/>
  <c r="O46" i="24" s="1"/>
  <c r="K46" i="24"/>
  <c r="L46" i="24" s="1"/>
  <c r="H46" i="24"/>
  <c r="I46" i="24" s="1"/>
  <c r="F46" i="24"/>
  <c r="E46" i="24"/>
  <c r="O45" i="24"/>
  <c r="N45" i="24"/>
  <c r="L45" i="24"/>
  <c r="K45" i="24"/>
  <c r="H45" i="24"/>
  <c r="I45" i="24" s="1"/>
  <c r="F45" i="24"/>
  <c r="E45" i="24"/>
  <c r="O44" i="24"/>
  <c r="N44" i="24"/>
  <c r="L44" i="24"/>
  <c r="K44" i="24"/>
  <c r="H44" i="24"/>
  <c r="H64" i="24" s="1"/>
  <c r="F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34" l="1"/>
  <c r="L199" i="34"/>
  <c r="L145" i="34"/>
  <c r="K118" i="34"/>
  <c r="L98" i="34"/>
  <c r="L118" i="34" s="1"/>
  <c r="G3" i="34" s="1"/>
  <c r="L91" i="34"/>
  <c r="K91" i="34"/>
  <c r="K64" i="34"/>
  <c r="L64" i="34"/>
  <c r="I179" i="34"/>
  <c r="I199" i="34" s="1"/>
  <c r="I125" i="34"/>
  <c r="I145" i="34" s="1"/>
  <c r="I98" i="34"/>
  <c r="I118" i="34" s="1"/>
  <c r="I71" i="34"/>
  <c r="I91" i="34" s="1"/>
  <c r="H64" i="34"/>
  <c r="I44" i="34"/>
  <c r="I64" i="34" s="1"/>
  <c r="F125" i="34"/>
  <c r="F145" i="34" s="1"/>
  <c r="F98" i="34"/>
  <c r="F118" i="34" s="1"/>
  <c r="F91" i="34"/>
  <c r="F64" i="34"/>
  <c r="G5" i="34" s="1"/>
  <c r="N199" i="33"/>
  <c r="O179" i="33"/>
  <c r="O199" i="33" s="1"/>
  <c r="N172" i="33"/>
  <c r="O152" i="33"/>
  <c r="O172" i="33" s="1"/>
  <c r="O125" i="33"/>
  <c r="O145" i="33" s="1"/>
  <c r="N118" i="33"/>
  <c r="O98" i="33"/>
  <c r="O118" i="33" s="1"/>
  <c r="O71" i="33"/>
  <c r="O91" i="33" s="1"/>
  <c r="O64" i="33"/>
  <c r="O172" i="34"/>
  <c r="G9" i="34"/>
  <c r="K37" i="34"/>
  <c r="H37" i="34"/>
  <c r="E37" i="34"/>
  <c r="I37" i="34"/>
  <c r="F37" i="34"/>
  <c r="N37" i="34"/>
  <c r="L37" i="34"/>
  <c r="O37" i="34"/>
  <c r="G7" i="34"/>
  <c r="L179" i="33"/>
  <c r="L199" i="33" s="1"/>
  <c r="K172" i="33"/>
  <c r="L152" i="33"/>
  <c r="L172" i="33" s="1"/>
  <c r="K145" i="33"/>
  <c r="L125" i="33"/>
  <c r="L118" i="33"/>
  <c r="K118" i="33"/>
  <c r="L71" i="33"/>
  <c r="L91" i="33" s="1"/>
  <c r="L64" i="33"/>
  <c r="K64" i="33"/>
  <c r="I179" i="33"/>
  <c r="I199" i="33" s="1"/>
  <c r="I152" i="33"/>
  <c r="I172" i="33" s="1"/>
  <c r="I125" i="33"/>
  <c r="I145" i="33" s="1"/>
  <c r="I98" i="33"/>
  <c r="I118" i="33" s="1"/>
  <c r="H91" i="33"/>
  <c r="I71" i="33"/>
  <c r="I91" i="33" s="1"/>
  <c r="I64" i="33"/>
  <c r="F125" i="33"/>
  <c r="F145" i="33" s="1"/>
  <c r="F98" i="33"/>
  <c r="F118" i="33" s="1"/>
  <c r="F91" i="33"/>
  <c r="F64" i="33"/>
  <c r="O179" i="32"/>
  <c r="O199" i="32" s="1"/>
  <c r="N172" i="32"/>
  <c r="O172" i="32"/>
  <c r="N118" i="32"/>
  <c r="O98" i="32"/>
  <c r="O118" i="32" s="1"/>
  <c r="O91" i="32"/>
  <c r="N91" i="32"/>
  <c r="N64" i="32"/>
  <c r="O44" i="32"/>
  <c r="O64" i="32" s="1"/>
  <c r="L145" i="33"/>
  <c r="F37" i="33"/>
  <c r="N37" i="33"/>
  <c r="K37" i="33"/>
  <c r="O37" i="33"/>
  <c r="E37" i="33"/>
  <c r="H37" i="33"/>
  <c r="L37" i="33"/>
  <c r="I37" i="33"/>
  <c r="G7" i="33"/>
  <c r="G9" i="33"/>
  <c r="G5" i="33"/>
  <c r="G3" i="33"/>
  <c r="K172" i="32"/>
  <c r="L152" i="32"/>
  <c r="L172" i="32" s="1"/>
  <c r="L118" i="32"/>
  <c r="K91" i="32"/>
  <c r="L71" i="32"/>
  <c r="L91" i="32" s="1"/>
  <c r="L64" i="32"/>
  <c r="K64" i="32"/>
  <c r="I152" i="32"/>
  <c r="I172" i="32" s="1"/>
  <c r="I118" i="32"/>
  <c r="H118" i="32"/>
  <c r="I91" i="32"/>
  <c r="G7" i="32" s="1"/>
  <c r="H91" i="32"/>
  <c r="I44" i="32"/>
  <c r="I64" i="32" s="1"/>
  <c r="E118" i="32"/>
  <c r="F71" i="32"/>
  <c r="F91" i="32" s="1"/>
  <c r="E64" i="32"/>
  <c r="F98" i="32"/>
  <c r="F118" i="32" s="1"/>
  <c r="G3" i="32" s="1"/>
  <c r="F44" i="32"/>
  <c r="F64" i="32" s="1"/>
  <c r="N199" i="31"/>
  <c r="O199" i="31"/>
  <c r="N172" i="31"/>
  <c r="O145" i="31"/>
  <c r="N145" i="31"/>
  <c r="O118" i="31"/>
  <c r="N118" i="31"/>
  <c r="N91" i="31"/>
  <c r="O71" i="31"/>
  <c r="O91" i="31" s="1"/>
  <c r="O44" i="31"/>
  <c r="O64" i="31" s="1"/>
  <c r="K37" i="32"/>
  <c r="O37" i="32"/>
  <c r="F37" i="32"/>
  <c r="N37" i="32"/>
  <c r="E37" i="32"/>
  <c r="I37" i="32"/>
  <c r="H37" i="32"/>
  <c r="L37" i="32"/>
  <c r="G9" i="32"/>
  <c r="G5" i="32"/>
  <c r="K199" i="31"/>
  <c r="L199" i="31"/>
  <c r="K172" i="31"/>
  <c r="L152" i="31"/>
  <c r="L172" i="31" s="1"/>
  <c r="L125" i="31"/>
  <c r="L145" i="31" s="1"/>
  <c r="L118" i="31"/>
  <c r="K118" i="31"/>
  <c r="K91" i="31"/>
  <c r="L71" i="31"/>
  <c r="L91" i="31" s="1"/>
  <c r="L44" i="31"/>
  <c r="L64" i="31" s="1"/>
  <c r="I179" i="31"/>
  <c r="I199" i="31" s="1"/>
  <c r="I152" i="31"/>
  <c r="I172" i="31" s="1"/>
  <c r="I145" i="31"/>
  <c r="I118" i="31"/>
  <c r="G3" i="31" s="1"/>
  <c r="H118" i="31"/>
  <c r="I91" i="31"/>
  <c r="H91" i="31"/>
  <c r="H64" i="31"/>
  <c r="F98" i="31"/>
  <c r="F118" i="31" s="1"/>
  <c r="F71" i="31"/>
  <c r="F91" i="31" s="1"/>
  <c r="F44" i="31"/>
  <c r="F64" i="31" s="1"/>
  <c r="E37" i="31"/>
  <c r="N199" i="30"/>
  <c r="O179" i="30"/>
  <c r="O199" i="30" s="1"/>
  <c r="O172" i="30"/>
  <c r="N172" i="30"/>
  <c r="O125" i="30"/>
  <c r="O145" i="30" s="1"/>
  <c r="N118" i="30"/>
  <c r="O98" i="30"/>
  <c r="O118" i="30" s="1"/>
  <c r="N91" i="30"/>
  <c r="O71" i="30"/>
  <c r="O91" i="30" s="1"/>
  <c r="N64" i="30"/>
  <c r="O44" i="30"/>
  <c r="O64" i="30" s="1"/>
  <c r="O172" i="31"/>
  <c r="I37" i="31"/>
  <c r="K37" i="31"/>
  <c r="O37" i="31"/>
  <c r="F37" i="31"/>
  <c r="N37" i="31"/>
  <c r="H37" i="31"/>
  <c r="L37" i="31"/>
  <c r="G5" i="31"/>
  <c r="G7" i="31"/>
  <c r="G9" i="31"/>
  <c r="K199" i="30"/>
  <c r="L199" i="30"/>
  <c r="K172" i="30"/>
  <c r="L152" i="30"/>
  <c r="L172" i="30" s="1"/>
  <c r="L125" i="30"/>
  <c r="L145" i="30" s="1"/>
  <c r="K118" i="30"/>
  <c r="L98" i="30"/>
  <c r="L118" i="30" s="1"/>
  <c r="G3" i="30" s="1"/>
  <c r="L71" i="30"/>
  <c r="L91" i="30" s="1"/>
  <c r="K64" i="30"/>
  <c r="L44" i="30"/>
  <c r="L64" i="30" s="1"/>
  <c r="I179" i="30"/>
  <c r="I199" i="30" s="1"/>
  <c r="I152" i="30"/>
  <c r="I172" i="30" s="1"/>
  <c r="H145" i="30"/>
  <c r="I145" i="30"/>
  <c r="I98" i="30"/>
  <c r="I118" i="30" s="1"/>
  <c r="H91" i="30"/>
  <c r="I71" i="30"/>
  <c r="I91" i="30" s="1"/>
  <c r="H64" i="30"/>
  <c r="I44" i="30"/>
  <c r="I64" i="30" s="1"/>
  <c r="G5" i="30" s="1"/>
  <c r="F125" i="30"/>
  <c r="F145" i="30" s="1"/>
  <c r="F71" i="30"/>
  <c r="F91" i="30" s="1"/>
  <c r="F64" i="30"/>
  <c r="N199" i="29"/>
  <c r="O179" i="29"/>
  <c r="O199" i="29" s="1"/>
  <c r="O172" i="29"/>
  <c r="N172" i="29"/>
  <c r="N145" i="29"/>
  <c r="O125" i="29"/>
  <c r="O145" i="29" s="1"/>
  <c r="O98" i="29"/>
  <c r="O118" i="29" s="1"/>
  <c r="N91" i="29"/>
  <c r="O71" i="29"/>
  <c r="O91" i="29" s="1"/>
  <c r="N64" i="29"/>
  <c r="O44" i="29"/>
  <c r="O64" i="29" s="1"/>
  <c r="K37" i="30"/>
  <c r="O37" i="30"/>
  <c r="F37" i="30"/>
  <c r="N37" i="30"/>
  <c r="L37" i="30"/>
  <c r="E37" i="30"/>
  <c r="H37" i="30"/>
  <c r="I37" i="30"/>
  <c r="G7" i="30"/>
  <c r="G9" i="30"/>
  <c r="K199" i="29"/>
  <c r="L179" i="29"/>
  <c r="L199" i="29" s="1"/>
  <c r="G9" i="29" s="1"/>
  <c r="K172" i="29"/>
  <c r="L152" i="29"/>
  <c r="L172" i="29" s="1"/>
  <c r="K145" i="29"/>
  <c r="L125" i="29"/>
  <c r="L145" i="29" s="1"/>
  <c r="K118" i="29"/>
  <c r="L98" i="29"/>
  <c r="L118" i="29" s="1"/>
  <c r="L71" i="29"/>
  <c r="L91" i="29" s="1"/>
  <c r="L44" i="29"/>
  <c r="L64" i="29" s="1"/>
  <c r="H199" i="29"/>
  <c r="I179" i="29"/>
  <c r="I199" i="29" s="1"/>
  <c r="I152" i="29"/>
  <c r="I172" i="29" s="1"/>
  <c r="I125" i="29"/>
  <c r="I145" i="29" s="1"/>
  <c r="I98" i="29"/>
  <c r="I118" i="29" s="1"/>
  <c r="I71" i="29"/>
  <c r="I91" i="29" s="1"/>
  <c r="I44" i="29"/>
  <c r="I64" i="29" s="1"/>
  <c r="F64" i="29"/>
  <c r="E145" i="29"/>
  <c r="E118" i="29"/>
  <c r="E91" i="29"/>
  <c r="F125" i="29"/>
  <c r="F145" i="29" s="1"/>
  <c r="F98" i="29"/>
  <c r="F118" i="29" s="1"/>
  <c r="F91" i="29"/>
  <c r="O179" i="28"/>
  <c r="O199" i="28" s="1"/>
  <c r="G9" i="28" s="1"/>
  <c r="O172" i="28"/>
  <c r="N172" i="28"/>
  <c r="N145" i="28"/>
  <c r="O125" i="28"/>
  <c r="O145" i="28" s="1"/>
  <c r="O98" i="28"/>
  <c r="O118" i="28" s="1"/>
  <c r="O91" i="28"/>
  <c r="N91" i="28"/>
  <c r="O64" i="28"/>
  <c r="N64" i="28"/>
  <c r="F37" i="29"/>
  <c r="N37" i="29"/>
  <c r="E37" i="29"/>
  <c r="I37" i="29"/>
  <c r="K37" i="29"/>
  <c r="O37" i="29"/>
  <c r="H37" i="29"/>
  <c r="L37" i="29"/>
  <c r="G5" i="29"/>
  <c r="G7" i="29"/>
  <c r="K199" i="28"/>
  <c r="L179" i="28"/>
  <c r="L199" i="28" s="1"/>
  <c r="K172" i="28"/>
  <c r="L152" i="28"/>
  <c r="L172" i="28" s="1"/>
  <c r="L125" i="28"/>
  <c r="L145" i="28" s="1"/>
  <c r="K118" i="28"/>
  <c r="K91" i="28"/>
  <c r="L71" i="28"/>
  <c r="L91" i="28" s="1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F64" i="28"/>
  <c r="N199" i="27"/>
  <c r="O179" i="27"/>
  <c r="O199" i="27" s="1"/>
  <c r="O152" i="27"/>
  <c r="O172" i="27" s="1"/>
  <c r="N145" i="27"/>
  <c r="N118" i="27"/>
  <c r="O98" i="27"/>
  <c r="O118" i="27" s="1"/>
  <c r="O71" i="27"/>
  <c r="O44" i="27"/>
  <c r="F145" i="28"/>
  <c r="F37" i="28"/>
  <c r="K37" i="28"/>
  <c r="O37" i="28"/>
  <c r="E37" i="28"/>
  <c r="I37" i="28"/>
  <c r="N37" i="28"/>
  <c r="H37" i="28"/>
  <c r="L37" i="28"/>
  <c r="G7" i="28"/>
  <c r="G3" i="28"/>
  <c r="K199" i="27"/>
  <c r="L179" i="27"/>
  <c r="L199" i="27" s="1"/>
  <c r="K172" i="27"/>
  <c r="L152" i="27"/>
  <c r="L172" i="27" s="1"/>
  <c r="K145" i="27"/>
  <c r="L125" i="27"/>
  <c r="K118" i="27"/>
  <c r="L98" i="27"/>
  <c r="L118" i="27" s="1"/>
  <c r="K91" i="27"/>
  <c r="L71" i="27"/>
  <c r="K64" i="27"/>
  <c r="L44" i="27"/>
  <c r="I179" i="27"/>
  <c r="I199" i="27" s="1"/>
  <c r="I152" i="27"/>
  <c r="I172" i="27" s="1"/>
  <c r="H145" i="27"/>
  <c r="I118" i="27"/>
  <c r="H118" i="27"/>
  <c r="H91" i="27"/>
  <c r="H64" i="27"/>
  <c r="E145" i="27"/>
  <c r="F140" i="27"/>
  <c r="F98" i="27"/>
  <c r="F118" i="27" s="1"/>
  <c r="E91" i="27"/>
  <c r="E64" i="27"/>
  <c r="F126" i="27"/>
  <c r="F127" i="27"/>
  <c r="F128" i="27"/>
  <c r="F129" i="27"/>
  <c r="F130" i="27"/>
  <c r="F131" i="27"/>
  <c r="F132" i="27"/>
  <c r="F133" i="27"/>
  <c r="L64" i="27"/>
  <c r="L91" i="27"/>
  <c r="L145" i="27"/>
  <c r="I64" i="27"/>
  <c r="O64" i="27"/>
  <c r="F46" i="27"/>
  <c r="F50" i="27"/>
  <c r="F54" i="27"/>
  <c r="F58" i="27"/>
  <c r="I91" i="27"/>
  <c r="O91" i="27"/>
  <c r="F73" i="27"/>
  <c r="F77" i="27"/>
  <c r="F81" i="27"/>
  <c r="F85" i="27"/>
  <c r="F89" i="27"/>
  <c r="I145" i="27"/>
  <c r="O145" i="27"/>
  <c r="F134" i="27"/>
  <c r="F135" i="27"/>
  <c r="F136" i="27"/>
  <c r="F137" i="27"/>
  <c r="F138" i="27"/>
  <c r="F139" i="27"/>
  <c r="L71" i="26"/>
  <c r="I72" i="26"/>
  <c r="F73" i="26"/>
  <c r="L74" i="26"/>
  <c r="I75" i="26"/>
  <c r="O79" i="26"/>
  <c r="L80" i="26"/>
  <c r="L81" i="26"/>
  <c r="I82" i="26"/>
  <c r="I86" i="26"/>
  <c r="O86" i="26"/>
  <c r="O89" i="26"/>
  <c r="L117" i="26"/>
  <c r="F117" i="26"/>
  <c r="L116" i="26"/>
  <c r="F116" i="26"/>
  <c r="L115" i="26"/>
  <c r="F115" i="26"/>
  <c r="L114" i="26"/>
  <c r="F114" i="26"/>
  <c r="L113" i="26"/>
  <c r="F113" i="26"/>
  <c r="L112" i="26"/>
  <c r="F112" i="26"/>
  <c r="L111" i="26"/>
  <c r="F111" i="26"/>
  <c r="L110" i="26"/>
  <c r="F110" i="26"/>
  <c r="L109" i="26"/>
  <c r="F109" i="26"/>
  <c r="L108" i="26"/>
  <c r="F108" i="26"/>
  <c r="L107" i="26"/>
  <c r="F107" i="26"/>
  <c r="F118" i="26" s="1"/>
  <c r="L106" i="26"/>
  <c r="L118" i="26" s="1"/>
  <c r="O117" i="26"/>
  <c r="I117" i="26"/>
  <c r="O116" i="26"/>
  <c r="I116" i="26"/>
  <c r="O115" i="26"/>
  <c r="I115" i="26"/>
  <c r="O114" i="26"/>
  <c r="I114" i="26"/>
  <c r="O113" i="26"/>
  <c r="I113" i="26"/>
  <c r="O112" i="26"/>
  <c r="I112" i="26"/>
  <c r="O111" i="26"/>
  <c r="I111" i="26"/>
  <c r="O110" i="26"/>
  <c r="I110" i="26"/>
  <c r="O109" i="26"/>
  <c r="I109" i="26"/>
  <c r="O108" i="26"/>
  <c r="I108" i="26"/>
  <c r="O107" i="26"/>
  <c r="I107" i="26"/>
  <c r="O106" i="26"/>
  <c r="I106" i="26"/>
  <c r="O105" i="26"/>
  <c r="I105" i="26"/>
  <c r="O104" i="26"/>
  <c r="I104" i="26"/>
  <c r="O103" i="26"/>
  <c r="I103" i="26"/>
  <c r="O102" i="26"/>
  <c r="I102" i="26"/>
  <c r="O101" i="26"/>
  <c r="I101" i="26"/>
  <c r="O100" i="26"/>
  <c r="I100" i="26"/>
  <c r="O99" i="26"/>
  <c r="I99" i="26"/>
  <c r="O98" i="26"/>
  <c r="I98" i="26"/>
  <c r="I118" i="26" s="1"/>
  <c r="O90" i="26"/>
  <c r="F86" i="26"/>
  <c r="F83" i="26"/>
  <c r="L82" i="26"/>
  <c r="F81" i="26"/>
  <c r="L79" i="26"/>
  <c r="F76" i="26"/>
  <c r="O74" i="26"/>
  <c r="F71" i="26"/>
  <c r="L72" i="26"/>
  <c r="I73" i="26"/>
  <c r="F74" i="26"/>
  <c r="I76" i="26"/>
  <c r="F77" i="26"/>
  <c r="L78" i="26"/>
  <c r="F79" i="26"/>
  <c r="O80" i="26"/>
  <c r="O81" i="26"/>
  <c r="I83" i="26"/>
  <c r="O84" i="26"/>
  <c r="L85" i="26"/>
  <c r="L87" i="26"/>
  <c r="I88" i="26"/>
  <c r="F89" i="26"/>
  <c r="L90" i="26"/>
  <c r="O72" i="26"/>
  <c r="L73" i="26"/>
  <c r="L91" i="26" s="1"/>
  <c r="L75" i="26"/>
  <c r="L76" i="26"/>
  <c r="I77" i="26"/>
  <c r="F78" i="26"/>
  <c r="I79" i="26"/>
  <c r="F80" i="26"/>
  <c r="F84" i="26"/>
  <c r="O85" i="26"/>
  <c r="L86" i="26"/>
  <c r="F87" i="26"/>
  <c r="O87" i="26"/>
  <c r="L88" i="26"/>
  <c r="I89" i="26"/>
  <c r="F90" i="26"/>
  <c r="I74" i="26"/>
  <c r="O77" i="26"/>
  <c r="I80" i="26"/>
  <c r="O83" i="26"/>
  <c r="L84" i="26"/>
  <c r="I85" i="26"/>
  <c r="I87" i="26"/>
  <c r="O88" i="26"/>
  <c r="L89" i="26"/>
  <c r="I90" i="26"/>
  <c r="L126" i="26"/>
  <c r="L127" i="26"/>
  <c r="I128" i="26"/>
  <c r="F129" i="26"/>
  <c r="I130" i="26"/>
  <c r="I132" i="26"/>
  <c r="L133" i="26"/>
  <c r="I134" i="26"/>
  <c r="O136" i="26"/>
  <c r="I139" i="26"/>
  <c r="L141" i="26"/>
  <c r="L180" i="26"/>
  <c r="I181" i="26"/>
  <c r="F182" i="26"/>
  <c r="I183" i="26"/>
  <c r="I185" i="26"/>
  <c r="L186" i="26"/>
  <c r="I187" i="26"/>
  <c r="F188" i="26"/>
  <c r="O189" i="26"/>
  <c r="I192" i="26"/>
  <c r="I194" i="26"/>
  <c r="O195" i="26"/>
  <c r="L196" i="26"/>
  <c r="I197" i="26"/>
  <c r="F198" i="26"/>
  <c r="F172" i="26"/>
  <c r="F192" i="26"/>
  <c r="O192" i="26"/>
  <c r="L193" i="26"/>
  <c r="F194" i="26"/>
  <c r="O194" i="26"/>
  <c r="L195" i="26"/>
  <c r="I196" i="26"/>
  <c r="F197" i="26"/>
  <c r="O45" i="25"/>
  <c r="L46" i="25"/>
  <c r="I47" i="25"/>
  <c r="F48" i="25"/>
  <c r="I49" i="25"/>
  <c r="I51" i="25"/>
  <c r="L52" i="25"/>
  <c r="I53" i="25"/>
  <c r="F54" i="25"/>
  <c r="O55" i="25"/>
  <c r="I58" i="25"/>
  <c r="L59" i="25"/>
  <c r="L64" i="25" s="1"/>
  <c r="O60" i="25"/>
  <c r="F46" i="25"/>
  <c r="F64" i="25" s="1"/>
  <c r="O47" i="25"/>
  <c r="I50" i="25"/>
  <c r="I52" i="25"/>
  <c r="O53" i="25"/>
  <c r="L54" i="25"/>
  <c r="I55" i="25"/>
  <c r="I57" i="25"/>
  <c r="F58" i="25"/>
  <c r="L60" i="25"/>
  <c r="I109" i="24"/>
  <c r="F110" i="24"/>
  <c r="F118" i="24" s="1"/>
  <c r="O110" i="24"/>
  <c r="L111" i="24"/>
  <c r="L112" i="24"/>
  <c r="L118" i="24" s="1"/>
  <c r="O113" i="24"/>
  <c r="L114" i="24"/>
  <c r="I115" i="24"/>
  <c r="I116" i="24"/>
  <c r="F117" i="24"/>
  <c r="L158" i="24"/>
  <c r="F159" i="24"/>
  <c r="O159" i="24"/>
  <c r="L160" i="24"/>
  <c r="F161" i="24"/>
  <c r="F172" i="24" s="1"/>
  <c r="I162" i="24"/>
  <c r="F163" i="24"/>
  <c r="I164" i="24"/>
  <c r="F165" i="24"/>
  <c r="O165" i="24"/>
  <c r="L166" i="24"/>
  <c r="F167" i="24"/>
  <c r="O167" i="24"/>
  <c r="O172" i="24" s="1"/>
  <c r="L168" i="24"/>
  <c r="F169" i="24"/>
  <c r="O169" i="24"/>
  <c r="L170" i="24"/>
  <c r="I171" i="24"/>
  <c r="O171" i="24"/>
  <c r="L184" i="24"/>
  <c r="I185" i="24"/>
  <c r="L186" i="24"/>
  <c r="I187" i="24"/>
  <c r="O188" i="24"/>
  <c r="L189" i="24"/>
  <c r="F190" i="24"/>
  <c r="I191" i="24"/>
  <c r="F192" i="24"/>
  <c r="O192" i="24"/>
  <c r="L193" i="24"/>
  <c r="I194" i="24"/>
  <c r="L195" i="24"/>
  <c r="I196" i="24"/>
  <c r="O197" i="24"/>
  <c r="O86" i="24"/>
  <c r="L87" i="24"/>
  <c r="I88" i="24"/>
  <c r="F89" i="24"/>
  <c r="O89" i="24"/>
  <c r="L90" i="24"/>
  <c r="O108" i="24"/>
  <c r="O118" i="24" s="1"/>
  <c r="I110" i="24"/>
  <c r="F111" i="24"/>
  <c r="O111" i="24"/>
  <c r="I113" i="24"/>
  <c r="F114" i="24"/>
  <c r="O114" i="24"/>
  <c r="L115" i="24"/>
  <c r="L116" i="24"/>
  <c r="O117" i="24"/>
  <c r="O87" i="24"/>
  <c r="L88" i="24"/>
  <c r="I89" i="24"/>
  <c r="F199" i="24"/>
  <c r="F87" i="24"/>
  <c r="F91" i="24" s="1"/>
  <c r="O88" i="24"/>
  <c r="F90" i="24"/>
  <c r="I108" i="24"/>
  <c r="O109" i="24"/>
  <c r="L110" i="24"/>
  <c r="I111" i="24"/>
  <c r="I112" i="24"/>
  <c r="F113" i="24"/>
  <c r="L113" i="24"/>
  <c r="F116" i="24"/>
  <c r="L117" i="24"/>
  <c r="L141" i="24"/>
  <c r="L165" i="24"/>
  <c r="I166" i="24"/>
  <c r="L167" i="24"/>
  <c r="I168" i="24"/>
  <c r="L169" i="24"/>
  <c r="I170" i="24"/>
  <c r="F125" i="27"/>
  <c r="F71" i="27"/>
  <c r="F44" i="27"/>
  <c r="O179" i="26"/>
  <c r="O199" i="26" s="1"/>
  <c r="G9" i="26" s="1"/>
  <c r="O172" i="26"/>
  <c r="N172" i="26"/>
  <c r="O125" i="26"/>
  <c r="O145" i="26" s="1"/>
  <c r="O71" i="26"/>
  <c r="O91" i="26" s="1"/>
  <c r="G7" i="26" s="1"/>
  <c r="N64" i="26"/>
  <c r="O44" i="26"/>
  <c r="O64" i="26" s="1"/>
  <c r="G5" i="26" s="1"/>
  <c r="K37" i="27"/>
  <c r="O37" i="27"/>
  <c r="F37" i="27"/>
  <c r="N37" i="27"/>
  <c r="H37" i="27"/>
  <c r="L37" i="27"/>
  <c r="E37" i="27"/>
  <c r="I37" i="27"/>
  <c r="G3" i="27"/>
  <c r="G9" i="27"/>
  <c r="K199" i="26"/>
  <c r="L179" i="26"/>
  <c r="K172" i="26"/>
  <c r="L172" i="26"/>
  <c r="L125" i="26"/>
  <c r="K91" i="26"/>
  <c r="L44" i="26"/>
  <c r="L64" i="26" s="1"/>
  <c r="I179" i="26"/>
  <c r="I152" i="26"/>
  <c r="I172" i="26" s="1"/>
  <c r="I125" i="26"/>
  <c r="I71" i="26"/>
  <c r="I44" i="26"/>
  <c r="I64" i="26" s="1"/>
  <c r="F199" i="26"/>
  <c r="F125" i="26"/>
  <c r="F64" i="26"/>
  <c r="N199" i="25"/>
  <c r="O179" i="25"/>
  <c r="O199" i="25" s="1"/>
  <c r="O172" i="25"/>
  <c r="O145" i="25"/>
  <c r="N145" i="25"/>
  <c r="O98" i="25"/>
  <c r="O118" i="25" s="1"/>
  <c r="G3" i="25" s="1"/>
  <c r="O91" i="25"/>
  <c r="N91" i="25"/>
  <c r="O44" i="25"/>
  <c r="I145" i="26"/>
  <c r="K37" i="26"/>
  <c r="O37" i="26"/>
  <c r="F37" i="26"/>
  <c r="N37" i="26"/>
  <c r="L37" i="26"/>
  <c r="E37" i="26"/>
  <c r="I37" i="26"/>
  <c r="H37" i="26"/>
  <c r="K199" i="25"/>
  <c r="L179" i="25"/>
  <c r="L199" i="25" s="1"/>
  <c r="L145" i="25"/>
  <c r="K145" i="25"/>
  <c r="K118" i="25"/>
  <c r="L98" i="25"/>
  <c r="L118" i="25" s="1"/>
  <c r="L91" i="25"/>
  <c r="K91" i="25"/>
  <c r="K64" i="25"/>
  <c r="I179" i="25"/>
  <c r="I199" i="25" s="1"/>
  <c r="H145" i="25"/>
  <c r="I125" i="25"/>
  <c r="I145" i="25" s="1"/>
  <c r="I118" i="25"/>
  <c r="H118" i="25"/>
  <c r="H91" i="25"/>
  <c r="I71" i="25"/>
  <c r="I91" i="25" s="1"/>
  <c r="I44" i="25"/>
  <c r="F125" i="25"/>
  <c r="F145" i="25" s="1"/>
  <c r="F118" i="25"/>
  <c r="F71" i="25"/>
  <c r="F91" i="25" s="1"/>
  <c r="N199" i="24"/>
  <c r="O179" i="24"/>
  <c r="N172" i="24"/>
  <c r="O145" i="24"/>
  <c r="N118" i="24"/>
  <c r="O71" i="24"/>
  <c r="O64" i="24"/>
  <c r="N64" i="24"/>
  <c r="K37" i="25"/>
  <c r="O37" i="25"/>
  <c r="F37" i="25"/>
  <c r="N37" i="25"/>
  <c r="H37" i="25"/>
  <c r="L37" i="25"/>
  <c r="E37" i="25"/>
  <c r="I37" i="25"/>
  <c r="K199" i="24"/>
  <c r="L179" i="24"/>
  <c r="L199" i="24" s="1"/>
  <c r="K172" i="24"/>
  <c r="L152" i="24"/>
  <c r="L125" i="24"/>
  <c r="K118" i="24"/>
  <c r="K91" i="24"/>
  <c r="L71" i="24"/>
  <c r="L91" i="24" s="1"/>
  <c r="K64" i="24"/>
  <c r="L64" i="24"/>
  <c r="I179" i="24"/>
  <c r="I152" i="24"/>
  <c r="I145" i="24"/>
  <c r="H145" i="24"/>
  <c r="H118" i="24"/>
  <c r="I98" i="24"/>
  <c r="I71" i="24"/>
  <c r="I91" i="24" s="1"/>
  <c r="I44" i="24"/>
  <c r="I64" i="24" s="1"/>
  <c r="F125" i="24"/>
  <c r="F145" i="24" s="1"/>
  <c r="E118" i="24"/>
  <c r="F64" i="24"/>
  <c r="K37" i="24"/>
  <c r="O37" i="24"/>
  <c r="H37" i="24"/>
  <c r="L37" i="24"/>
  <c r="E37" i="24"/>
  <c r="I37" i="24"/>
  <c r="F37" i="24"/>
  <c r="N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N179" i="6"/>
  <c r="L179" i="6"/>
  <c r="L199" i="6" s="1"/>
  <c r="K179" i="6"/>
  <c r="I179" i="6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4" l="1"/>
  <c r="G11" i="33"/>
  <c r="G11" i="32"/>
  <c r="G11" i="31"/>
  <c r="G11" i="30"/>
  <c r="G3" i="29"/>
  <c r="G5" i="28"/>
  <c r="G11" i="29"/>
  <c r="G11" i="28"/>
  <c r="F145" i="27"/>
  <c r="O199" i="6"/>
  <c r="I199" i="6"/>
  <c r="G5" i="27"/>
  <c r="F64" i="27"/>
  <c r="F91" i="27"/>
  <c r="G7" i="27" s="1"/>
  <c r="I199" i="26"/>
  <c r="L199" i="26"/>
  <c r="O118" i="26"/>
  <c r="G3" i="26" s="1"/>
  <c r="I91" i="26"/>
  <c r="L145" i="26"/>
  <c r="F145" i="26"/>
  <c r="F91" i="26"/>
  <c r="I64" i="25"/>
  <c r="G9" i="25"/>
  <c r="O64" i="25"/>
  <c r="G5" i="25" s="1"/>
  <c r="I118" i="24"/>
  <c r="G3" i="24" s="1"/>
  <c r="I172" i="24"/>
  <c r="L145" i="24"/>
  <c r="O91" i="24"/>
  <c r="G7" i="24" s="1"/>
  <c r="I199" i="24"/>
  <c r="L172" i="24"/>
  <c r="G5" i="24"/>
  <c r="O199" i="24"/>
  <c r="G9" i="24" s="1"/>
  <c r="G11" i="27"/>
  <c r="G11" i="26"/>
  <c r="G7" i="25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C215" i="9"/>
  <c r="I22" i="9"/>
  <c r="C268" i="9"/>
  <c r="K237" i="9"/>
  <c r="N153" i="9"/>
  <c r="H103" i="9"/>
  <c r="I137" i="9"/>
  <c r="N62" i="9"/>
  <c r="K44" i="3"/>
  <c r="L40" i="9"/>
  <c r="N158" i="9"/>
  <c r="F52" i="9"/>
  <c r="I157" i="9"/>
  <c r="C136" i="9"/>
  <c r="O196" i="9"/>
  <c r="O261" i="9"/>
  <c r="E69" i="9"/>
  <c r="K42" i="3"/>
  <c r="F30" i="9"/>
  <c r="E44" i="9"/>
  <c r="L223" i="9"/>
  <c r="O110" i="9"/>
  <c r="H108" i="9"/>
  <c r="F102" i="9"/>
  <c r="K23" i="5"/>
  <c r="O62" i="9"/>
  <c r="C140" i="9"/>
  <c r="O137" i="9"/>
  <c r="F179" i="9"/>
  <c r="N139" i="9"/>
  <c r="E100" i="9"/>
  <c r="I61" i="9"/>
  <c r="F60" i="9"/>
  <c r="F103" i="9"/>
  <c r="H189" i="9"/>
  <c r="L199" i="9"/>
  <c r="O271" i="9"/>
  <c r="F275" i="9"/>
  <c r="F110" i="9"/>
  <c r="E178" i="9"/>
  <c r="H186" i="9"/>
  <c r="E156" i="9"/>
  <c r="H200" i="9"/>
  <c r="L150" i="9"/>
  <c r="I147" i="9"/>
  <c r="K126" i="9"/>
  <c r="F219" i="9"/>
  <c r="C177" i="9"/>
  <c r="C255" i="9"/>
  <c r="K250" i="9"/>
  <c r="O32" i="9"/>
  <c r="K119" i="9"/>
  <c r="I235" i="9"/>
  <c r="H29" i="9"/>
  <c r="L141" i="9"/>
  <c r="C154" i="9"/>
  <c r="O161" i="9"/>
  <c r="F224" i="9"/>
  <c r="K7" i="3"/>
  <c r="L85" i="9"/>
  <c r="I217" i="9"/>
  <c r="C32" i="9"/>
  <c r="O191" i="9"/>
  <c r="C78" i="9"/>
  <c r="L186" i="9"/>
  <c r="H180" i="9"/>
  <c r="C229" i="9"/>
  <c r="L164" i="9"/>
  <c r="F280" i="9"/>
  <c r="K43" i="9"/>
  <c r="H81" i="9"/>
  <c r="N259" i="9"/>
  <c r="O262" i="9"/>
  <c r="H273" i="9"/>
  <c r="K100" i="9"/>
  <c r="I218" i="9"/>
  <c r="K112" i="9"/>
  <c r="F156" i="9"/>
  <c r="L263" i="9"/>
  <c r="F76" i="9"/>
  <c r="K37" i="3"/>
  <c r="N264" i="9"/>
  <c r="O123" i="9"/>
  <c r="F64" i="9"/>
  <c r="F81" i="9"/>
  <c r="E190" i="9"/>
  <c r="K223" i="9"/>
  <c r="E115" i="9"/>
  <c r="F267" i="9"/>
  <c r="N38" i="9"/>
  <c r="C155" i="9"/>
  <c r="F232" i="9"/>
  <c r="K140" i="9"/>
  <c r="I174" i="9"/>
  <c r="H252" i="9"/>
  <c r="H158" i="9"/>
  <c r="N274" i="9"/>
  <c r="L23" i="9"/>
  <c r="N71" i="9"/>
  <c r="E52" i="9"/>
  <c r="L260" i="9"/>
  <c r="E152" i="9"/>
  <c r="F25" i="9"/>
  <c r="N112" i="9"/>
  <c r="L123" i="9"/>
  <c r="O49" i="3"/>
  <c r="F106" i="9"/>
  <c r="E159" i="9"/>
  <c r="K220" i="9"/>
  <c r="K46" i="9"/>
  <c r="H177" i="9"/>
  <c r="N225" i="9"/>
  <c r="C102" i="9"/>
  <c r="C87" i="9"/>
  <c r="F71" i="9"/>
  <c r="F139" i="9"/>
  <c r="O235" i="9"/>
  <c r="H34" i="9"/>
  <c r="C179" i="9"/>
  <c r="K65" i="3"/>
  <c r="L84" i="9"/>
  <c r="N138" i="9"/>
  <c r="C27" i="9"/>
  <c r="I139" i="9"/>
  <c r="C280" i="9"/>
  <c r="K8" i="5"/>
  <c r="F260" i="9"/>
  <c r="L178" i="9"/>
  <c r="C71" i="9"/>
  <c r="L137" i="9"/>
  <c r="C187" i="9"/>
  <c r="O267" i="9"/>
  <c r="E101" i="9"/>
  <c r="K111" i="9"/>
  <c r="L176" i="9"/>
  <c r="K32" i="3"/>
  <c r="C44" i="9"/>
  <c r="H126" i="9"/>
  <c r="I64" i="9"/>
  <c r="F31" i="9"/>
  <c r="I124" i="9"/>
  <c r="L124" i="9"/>
  <c r="C213" i="9"/>
  <c r="C114" i="9"/>
  <c r="E117" i="9"/>
  <c r="C60" i="9"/>
  <c r="O174" i="9"/>
  <c r="I162" i="9"/>
  <c r="I34" i="9"/>
  <c r="E181" i="9"/>
  <c r="F268" i="9"/>
  <c r="H80" i="9"/>
  <c r="I63" i="9"/>
  <c r="O177" i="9"/>
  <c r="H37" i="9"/>
  <c r="N228" i="9"/>
  <c r="H86" i="9"/>
  <c r="N192" i="9"/>
  <c r="N121" i="9"/>
  <c r="K164" i="9"/>
  <c r="H258" i="9"/>
  <c r="K73" i="9"/>
  <c r="L180" i="9"/>
  <c r="K39" i="3"/>
  <c r="N193" i="9"/>
  <c r="G38" i="3"/>
  <c r="F46" i="9"/>
  <c r="L62" i="9"/>
  <c r="F79" i="9"/>
  <c r="L75" i="9"/>
  <c r="O104" i="9"/>
  <c r="I78" i="9"/>
  <c r="O71" i="9"/>
  <c r="K224" i="9"/>
  <c r="N64" i="9"/>
  <c r="O121" i="9"/>
  <c r="E32" i="9"/>
  <c r="I113" i="9"/>
  <c r="C157" i="9"/>
  <c r="F143" i="9"/>
  <c r="K69" i="9"/>
  <c r="I261" i="9"/>
  <c r="F104" i="9"/>
  <c r="O258" i="9"/>
  <c r="E274" i="9"/>
  <c r="E212" i="9"/>
  <c r="N99" i="9"/>
  <c r="H272" i="9"/>
  <c r="G64" i="3"/>
  <c r="H221" i="9"/>
  <c r="H60" i="9"/>
  <c r="K49" i="3"/>
  <c r="N254" i="9"/>
  <c r="I98" i="9"/>
  <c r="I279" i="9"/>
  <c r="K104" i="9"/>
  <c r="C73" i="9"/>
  <c r="E239" i="9"/>
  <c r="C127" i="9"/>
  <c r="N152" i="9"/>
  <c r="G39" i="3"/>
  <c r="N219" i="9"/>
  <c r="H192" i="9"/>
  <c r="H166" i="9"/>
  <c r="N52" i="9"/>
  <c r="E118" i="9"/>
  <c r="I265" i="9"/>
  <c r="C214" i="9"/>
  <c r="N89" i="9"/>
  <c r="L77" i="9"/>
  <c r="H44" i="9"/>
  <c r="F142" i="9"/>
  <c r="N181" i="9"/>
  <c r="K89" i="9"/>
  <c r="C270" i="9"/>
  <c r="K32" i="9"/>
  <c r="K50" i="9"/>
  <c r="E29" i="9"/>
  <c r="K257" i="9"/>
  <c r="L154" i="9"/>
  <c r="G75" i="3"/>
  <c r="C22" i="9"/>
  <c r="O145" i="9"/>
  <c r="H150" i="9"/>
  <c r="E65" i="9"/>
  <c r="F27" i="9"/>
  <c r="C35" i="9"/>
  <c r="L224" i="9"/>
  <c r="H162" i="9"/>
  <c r="I196" i="9"/>
  <c r="I183" i="9"/>
  <c r="E187" i="9"/>
  <c r="N24" i="9"/>
  <c r="L235" i="9"/>
  <c r="L217" i="9"/>
  <c r="N83" i="9"/>
  <c r="I41" i="9"/>
  <c r="G45" i="3"/>
  <c r="L125" i="9"/>
  <c r="C182" i="9"/>
  <c r="H47" i="9"/>
  <c r="H222" i="9"/>
  <c r="E108" i="9"/>
  <c r="H176" i="9"/>
  <c r="N161" i="9"/>
  <c r="I165" i="9"/>
  <c r="E252" i="9"/>
  <c r="L86" i="9"/>
  <c r="I229" i="9"/>
  <c r="I52" i="9"/>
  <c r="H235" i="9"/>
  <c r="O146" i="9"/>
  <c r="O105" i="9"/>
  <c r="I26" i="9"/>
  <c r="L88" i="9"/>
  <c r="O147" i="9"/>
  <c r="N98" i="9"/>
  <c r="I231" i="9"/>
  <c r="C146" i="9"/>
  <c r="C128" i="9"/>
  <c r="L71" i="9"/>
  <c r="K202" i="9"/>
  <c r="K101" i="9"/>
  <c r="H68" i="9"/>
  <c r="L212" i="9"/>
  <c r="H141" i="9"/>
  <c r="O71" i="3"/>
  <c r="K142" i="9"/>
  <c r="F23" i="9"/>
  <c r="L22" i="9"/>
  <c r="K13" i="3"/>
  <c r="E264" i="9"/>
  <c r="K190" i="9"/>
  <c r="L254" i="9"/>
  <c r="O225" i="9"/>
  <c r="N50" i="9"/>
  <c r="N67" i="9"/>
  <c r="I119" i="9"/>
  <c r="N85" i="9"/>
  <c r="L147" i="9"/>
  <c r="H194" i="9"/>
  <c r="O189" i="9"/>
  <c r="I257" i="9"/>
  <c r="K20" i="3"/>
  <c r="H117" i="9"/>
  <c r="O151" i="9"/>
  <c r="H64" i="9"/>
  <c r="C225" i="9"/>
  <c r="K47" i="9"/>
  <c r="N182" i="9"/>
  <c r="O106" i="9"/>
  <c r="N252" i="9"/>
  <c r="H22" i="9"/>
  <c r="H78" i="9"/>
  <c r="E61" i="9"/>
  <c r="I201" i="9"/>
  <c r="O44" i="3"/>
  <c r="H239" i="9"/>
  <c r="K175" i="9"/>
  <c r="F217" i="9"/>
  <c r="H25" i="9"/>
  <c r="K73" i="3"/>
  <c r="F214" i="9"/>
  <c r="O49" i="9"/>
  <c r="H178" i="9"/>
  <c r="L145" i="9"/>
  <c r="N202" i="9"/>
  <c r="N117" i="9"/>
  <c r="E272" i="9"/>
  <c r="E179" i="9"/>
  <c r="E157" i="9"/>
  <c r="O63" i="9"/>
  <c r="I99" i="9"/>
  <c r="O230" i="9"/>
  <c r="G69" i="3"/>
  <c r="C256" i="9"/>
  <c r="L204" i="9"/>
  <c r="O61" i="9"/>
  <c r="I35" i="9"/>
  <c r="I153" i="9"/>
  <c r="H219" i="9"/>
  <c r="H213" i="9"/>
  <c r="C254" i="9"/>
  <c r="C258" i="9"/>
  <c r="H139" i="9"/>
  <c r="O27" i="9"/>
  <c r="F77" i="9"/>
  <c r="I142" i="9"/>
  <c r="F114" i="9"/>
  <c r="H102" i="9"/>
  <c r="L140" i="9"/>
  <c r="E149" i="9"/>
  <c r="E83" i="9"/>
  <c r="E196" i="9"/>
  <c r="E90" i="9"/>
  <c r="I151" i="9"/>
  <c r="I76" i="9"/>
  <c r="O250" i="9"/>
  <c r="C46" i="9"/>
  <c r="F215" i="9"/>
  <c r="O181" i="9"/>
  <c r="K75" i="3"/>
  <c r="H146" i="9"/>
  <c r="K35" i="3"/>
  <c r="K38" i="3"/>
  <c r="C42" i="9"/>
  <c r="K123" i="9"/>
  <c r="N234" i="9"/>
  <c r="K161" i="9"/>
  <c r="O65" i="3"/>
  <c r="I176" i="9"/>
  <c r="I102" i="9"/>
  <c r="E22" i="9"/>
  <c r="I220" i="9"/>
  <c r="N203" i="9"/>
  <c r="I197" i="9"/>
  <c r="E188" i="9"/>
  <c r="I270" i="9"/>
  <c r="O78" i="9"/>
  <c r="I277" i="9"/>
  <c r="E25" i="9"/>
  <c r="L146" i="9"/>
  <c r="L196" i="9"/>
  <c r="I114" i="9"/>
  <c r="K194" i="9"/>
  <c r="E128" i="9"/>
  <c r="I179" i="9"/>
  <c r="I144" i="9"/>
  <c r="N140" i="9"/>
  <c r="C251" i="9"/>
  <c r="C261" i="9"/>
  <c r="L187" i="9"/>
  <c r="K15" i="5"/>
  <c r="O239" i="9"/>
  <c r="I189" i="9"/>
  <c r="E37" i="9"/>
  <c r="G68" i="3"/>
  <c r="H161" i="9"/>
  <c r="H188" i="9"/>
  <c r="I44" i="9"/>
  <c r="E125" i="9"/>
  <c r="N195" i="9"/>
  <c r="E230" i="9"/>
  <c r="L25" i="9"/>
  <c r="F115" i="9"/>
  <c r="C26" i="9"/>
  <c r="K279" i="9"/>
  <c r="C39" i="9"/>
  <c r="C50" i="9"/>
  <c r="F233" i="9"/>
  <c r="H230" i="9"/>
  <c r="O241" i="9"/>
  <c r="O257" i="9"/>
  <c r="C265" i="9"/>
  <c r="K137" i="9"/>
  <c r="C277" i="9"/>
  <c r="N118" i="9"/>
  <c r="H26" i="9"/>
  <c r="F183" i="9"/>
  <c r="I46" i="9"/>
  <c r="K154" i="9"/>
  <c r="O72" i="9"/>
  <c r="C264" i="9"/>
  <c r="I263" i="9"/>
  <c r="C76" i="9"/>
  <c r="O35" i="3"/>
  <c r="O220" i="9"/>
  <c r="L277" i="9"/>
  <c r="E84" i="9"/>
  <c r="O66" i="3"/>
  <c r="L239" i="9"/>
  <c r="E258" i="9"/>
  <c r="N110" i="9"/>
  <c r="K20" i="5"/>
  <c r="L195" i="9"/>
  <c r="E184" i="9"/>
  <c r="N188" i="9"/>
  <c r="I191" i="9"/>
  <c r="C28" i="9"/>
  <c r="E189" i="9"/>
  <c r="K86" i="9"/>
  <c r="E87" i="9"/>
  <c r="O101" i="9"/>
  <c r="O266" i="9"/>
  <c r="K75" i="9"/>
  <c r="L220" i="9"/>
  <c r="E146" i="9"/>
  <c r="O60" i="9"/>
  <c r="N75" i="9"/>
  <c r="K22" i="5"/>
  <c r="K34" i="9"/>
  <c r="H40" i="9"/>
  <c r="F138" i="9"/>
  <c r="E162" i="9"/>
  <c r="F107" i="9"/>
  <c r="I266" i="9"/>
  <c r="L198" i="9"/>
  <c r="K187" i="9"/>
  <c r="K84" i="9"/>
  <c r="F69" i="9"/>
  <c r="N115" i="9"/>
  <c r="N156" i="9"/>
  <c r="K69" i="3"/>
  <c r="L114" i="9"/>
  <c r="O142" i="9"/>
  <c r="I42" i="9"/>
  <c r="O278" i="9"/>
  <c r="N160" i="9"/>
  <c r="K61" i="9"/>
  <c r="O165" i="9"/>
  <c r="K33" i="9"/>
  <c r="F228" i="9"/>
  <c r="N104" i="9"/>
  <c r="F65" i="9"/>
  <c r="K68" i="9"/>
  <c r="K14" i="3"/>
  <c r="O200" i="9"/>
  <c r="N122" i="9"/>
  <c r="F182" i="9"/>
  <c r="I260" i="9"/>
  <c r="I242" i="9"/>
  <c r="F220" i="9"/>
  <c r="L233" i="9"/>
  <c r="I24" i="9"/>
  <c r="N258" i="9"/>
  <c r="F126" i="9"/>
  <c r="K36" i="9"/>
  <c r="I43" i="9"/>
  <c r="O254" i="9"/>
  <c r="K66" i="3"/>
  <c r="C74" i="9"/>
  <c r="K214" i="9"/>
  <c r="L257" i="9"/>
  <c r="I109" i="9"/>
  <c r="N66" i="9"/>
  <c r="H30" i="9"/>
  <c r="N269" i="9"/>
  <c r="K213" i="9"/>
  <c r="E262" i="9"/>
  <c r="K188" i="9"/>
  <c r="N218" i="9"/>
  <c r="N231" i="9"/>
  <c r="N220" i="9"/>
  <c r="F266" i="9"/>
  <c r="L280" i="9"/>
  <c r="O88" i="9"/>
  <c r="C276" i="9"/>
  <c r="L213" i="9"/>
  <c r="K178" i="9"/>
  <c r="N105" i="9"/>
  <c r="F238" i="9"/>
  <c r="L268" i="9"/>
  <c r="N76" i="9"/>
  <c r="F136" i="9"/>
  <c r="I127" i="9"/>
  <c r="N126" i="9"/>
  <c r="I66" i="9"/>
  <c r="H159" i="9"/>
  <c r="N267" i="9"/>
  <c r="G65" i="3"/>
  <c r="I148" i="9"/>
  <c r="K11" i="3"/>
  <c r="L160" i="9"/>
  <c r="C138" i="9"/>
  <c r="K47" i="3"/>
  <c r="O192" i="9"/>
  <c r="E140" i="9"/>
  <c r="I233" i="9"/>
  <c r="K174" i="9"/>
  <c r="O74" i="3"/>
  <c r="E251" i="9"/>
  <c r="F86" i="9"/>
  <c r="N22" i="9"/>
  <c r="F271" i="9"/>
  <c r="O61" i="3"/>
  <c r="F63" i="9"/>
  <c r="L80" i="9"/>
  <c r="E148" i="9"/>
  <c r="I36" i="9"/>
  <c r="F189" i="9"/>
  <c r="C126" i="9"/>
  <c r="F47" i="9"/>
  <c r="C141" i="9"/>
  <c r="I146" i="9"/>
  <c r="L161" i="9"/>
  <c r="C235" i="9"/>
  <c r="E233" i="9"/>
  <c r="L61" i="9"/>
  <c r="F117" i="9"/>
  <c r="F128" i="9"/>
  <c r="N255" i="9"/>
  <c r="F39" i="9"/>
  <c r="O46" i="9"/>
  <c r="F177" i="9"/>
  <c r="C162" i="9"/>
  <c r="H224" i="9"/>
  <c r="N102" i="9"/>
  <c r="F140" i="9"/>
  <c r="E82" i="9"/>
  <c r="L152" i="9"/>
  <c r="I187" i="9"/>
  <c r="F274" i="9"/>
  <c r="I39" i="9"/>
  <c r="O43" i="3"/>
  <c r="C195" i="9"/>
  <c r="H50" i="9"/>
  <c r="H87" i="9"/>
  <c r="O234" i="9"/>
  <c r="L156" i="9"/>
  <c r="K147" i="9"/>
  <c r="C201" i="9"/>
  <c r="H137" i="9"/>
  <c r="K231" i="9"/>
  <c r="E273" i="9"/>
  <c r="I106" i="9"/>
  <c r="C43" i="9"/>
  <c r="L189" i="9"/>
  <c r="O76" i="9"/>
  <c r="O89" i="9"/>
  <c r="C152" i="9"/>
  <c r="I204" i="9"/>
  <c r="O107" i="9"/>
  <c r="L256" i="9"/>
  <c r="E127" i="9"/>
  <c r="H88" i="9"/>
  <c r="C83" i="9"/>
  <c r="E104" i="9"/>
  <c r="K81" i="9"/>
  <c r="H110" i="9"/>
  <c r="H191" i="9"/>
  <c r="O119" i="9"/>
  <c r="O64" i="9"/>
  <c r="K38" i="9"/>
  <c r="E192" i="9"/>
  <c r="E275" i="9"/>
  <c r="K25" i="5"/>
  <c r="E88" i="9"/>
  <c r="L51" i="9"/>
  <c r="N119" i="9"/>
  <c r="K269" i="9"/>
  <c r="I212" i="9"/>
  <c r="I87" i="9"/>
  <c r="F226" i="9"/>
  <c r="O255" i="9"/>
  <c r="N108" i="9"/>
  <c r="E36" i="9"/>
  <c r="I89" i="9"/>
  <c r="F227" i="9"/>
  <c r="O280" i="9"/>
  <c r="C150" i="9"/>
  <c r="K266" i="9"/>
  <c r="K9" i="3"/>
  <c r="L72" i="9"/>
  <c r="I77" i="9"/>
  <c r="H71" i="9"/>
  <c r="K163" i="9"/>
  <c r="L203" i="9"/>
  <c r="N146" i="9"/>
  <c r="L33" i="9"/>
  <c r="C86" i="9"/>
  <c r="N23" i="9"/>
  <c r="K77" i="9"/>
  <c r="I198" i="9"/>
  <c r="O203" i="9"/>
  <c r="I145" i="9"/>
  <c r="O237" i="9"/>
  <c r="I31" i="9"/>
  <c r="N142" i="9"/>
  <c r="G62" i="3"/>
  <c r="H270" i="9"/>
  <c r="L179" i="9"/>
  <c r="N164" i="9"/>
  <c r="E198" i="9"/>
  <c r="H79" i="9"/>
  <c r="F37" i="9"/>
  <c r="C72" i="9"/>
  <c r="K79" i="9"/>
  <c r="K151" i="9"/>
  <c r="C104" i="9"/>
  <c r="L108" i="9"/>
  <c r="I264" i="9"/>
  <c r="N151" i="9"/>
  <c r="N29" i="9"/>
  <c r="N272" i="9"/>
  <c r="F62" i="9"/>
  <c r="C278" i="9"/>
  <c r="K114" i="9"/>
  <c r="F251" i="9"/>
  <c r="L253" i="9"/>
  <c r="K238" i="9"/>
  <c r="N257" i="9"/>
  <c r="I188" i="9"/>
  <c r="O229" i="9"/>
  <c r="C193" i="9"/>
  <c r="F78" i="9"/>
  <c r="O74" i="9"/>
  <c r="O149" i="9"/>
  <c r="N183" i="9"/>
  <c r="K128" i="9"/>
  <c r="O194" i="9"/>
  <c r="K267" i="9"/>
  <c r="O45" i="9"/>
  <c r="C111" i="9"/>
  <c r="F198" i="9"/>
  <c r="I111" i="9"/>
  <c r="N213" i="9"/>
  <c r="I241" i="9"/>
  <c r="N73" i="9"/>
  <c r="N197" i="9"/>
  <c r="N123" i="9"/>
  <c r="C45" i="9"/>
  <c r="K10" i="3"/>
  <c r="K138" i="9"/>
  <c r="F149" i="9"/>
  <c r="N221" i="9"/>
  <c r="L74" i="9"/>
  <c r="K197" i="9"/>
  <c r="E174" i="9"/>
  <c r="G34" i="3"/>
  <c r="K78" i="9"/>
  <c r="I28" i="9"/>
  <c r="E268" i="9"/>
  <c r="G37" i="3"/>
  <c r="I224" i="9"/>
  <c r="L237" i="9"/>
  <c r="C124" i="9"/>
  <c r="F256" i="9"/>
  <c r="C164" i="9"/>
  <c r="L255" i="9"/>
  <c r="L221" i="9"/>
  <c r="O25" i="9"/>
  <c r="N194" i="9"/>
  <c r="L105" i="9"/>
  <c r="G58" i="3"/>
  <c r="N253" i="9"/>
  <c r="C145" i="9"/>
  <c r="N37" i="9"/>
  <c r="F277" i="9"/>
  <c r="N196" i="9"/>
  <c r="K189" i="9"/>
  <c r="L159" i="9"/>
  <c r="I272" i="9"/>
  <c r="N36" i="9"/>
  <c r="O199" i="9"/>
  <c r="E166" i="9"/>
  <c r="N35" i="9"/>
  <c r="I262" i="9"/>
  <c r="L81" i="9"/>
  <c r="E107" i="9"/>
  <c r="H100" i="9"/>
  <c r="L157" i="9"/>
  <c r="C175" i="9"/>
  <c r="N190" i="9"/>
  <c r="E194" i="9"/>
  <c r="N250" i="9"/>
  <c r="C216" i="9"/>
  <c r="O127" i="9"/>
  <c r="F273" i="9"/>
  <c r="L128" i="9"/>
  <c r="E102" i="9"/>
  <c r="C257" i="9"/>
  <c r="N80" i="9"/>
  <c r="O184" i="9"/>
  <c r="K181" i="9"/>
  <c r="O226" i="9"/>
  <c r="E47" i="9"/>
  <c r="F162" i="9"/>
  <c r="I190" i="9"/>
  <c r="E277" i="9"/>
  <c r="L104" i="9"/>
  <c r="L107" i="9"/>
  <c r="F193" i="9"/>
  <c r="K113" i="9"/>
  <c r="K236" i="9"/>
  <c r="H236" i="9"/>
  <c r="E151" i="9"/>
  <c r="K216" i="9"/>
  <c r="C52" i="9"/>
  <c r="F257" i="9"/>
  <c r="N114" i="9"/>
  <c r="F235" i="9"/>
  <c r="F74" i="9"/>
  <c r="O260" i="9"/>
  <c r="I71" i="9"/>
  <c r="L148" i="9"/>
  <c r="N42" i="9"/>
  <c r="C62" i="9"/>
  <c r="C263" i="9"/>
  <c r="C160" i="9"/>
  <c r="F24" i="9"/>
  <c r="C77" i="9"/>
  <c r="G66" i="3"/>
  <c r="C123" i="9"/>
  <c r="H227" i="9"/>
  <c r="H190" i="9"/>
  <c r="H220" i="9"/>
  <c r="L222" i="9"/>
  <c r="E141" i="9"/>
  <c r="K120" i="9"/>
  <c r="N70" i="9"/>
  <c r="K199" i="9"/>
  <c r="L65" i="9"/>
  <c r="E42" i="9"/>
  <c r="F66" i="9"/>
  <c r="O204" i="9"/>
  <c r="I115" i="9"/>
  <c r="E111" i="9"/>
  <c r="L225" i="9"/>
  <c r="C151" i="9"/>
  <c r="I238" i="9"/>
  <c r="O98" i="9"/>
  <c r="I155" i="9"/>
  <c r="I116" i="9"/>
  <c r="N159" i="9"/>
  <c r="L162" i="9"/>
  <c r="O28" i="9"/>
  <c r="L79" i="9"/>
  <c r="O272" i="9"/>
  <c r="O219" i="9"/>
  <c r="G49" i="3"/>
  <c r="L276" i="9"/>
  <c r="H121" i="9"/>
  <c r="L115" i="9"/>
  <c r="H233" i="9"/>
  <c r="F153" i="9"/>
  <c r="K62" i="9"/>
  <c r="I40" i="9"/>
  <c r="K203" i="9"/>
  <c r="N82" i="9"/>
  <c r="O36" i="3"/>
  <c r="H156" i="9"/>
  <c r="F109" i="9"/>
  <c r="L99" i="9"/>
  <c r="F174" i="9"/>
  <c r="I60" i="9"/>
  <c r="L274" i="9"/>
  <c r="F159" i="9"/>
  <c r="I152" i="9"/>
  <c r="C33" i="9"/>
  <c r="I200" i="9"/>
  <c r="F50" i="9"/>
  <c r="F212" i="9"/>
  <c r="K103" i="9"/>
  <c r="L24" i="9"/>
  <c r="G73" i="3"/>
  <c r="I33" i="9"/>
  <c r="N81" i="9"/>
  <c r="L112" i="9"/>
  <c r="E199" i="9"/>
  <c r="C84" i="9"/>
  <c r="L158" i="9"/>
  <c r="H140" i="9"/>
  <c r="K52" i="9"/>
  <c r="N147" i="9"/>
  <c r="K219" i="9"/>
  <c r="L119" i="9"/>
  <c r="E103" i="9"/>
  <c r="N262" i="9"/>
  <c r="E30" i="9"/>
  <c r="E237" i="9"/>
  <c r="K26" i="9"/>
  <c r="N256" i="9"/>
  <c r="F101" i="9"/>
  <c r="H202" i="9"/>
  <c r="O38" i="9"/>
  <c r="C64" i="9"/>
  <c r="N212" i="9"/>
  <c r="C115" i="9"/>
  <c r="N186" i="9"/>
  <c r="O34" i="9"/>
  <c r="F242" i="9"/>
  <c r="E72" i="9"/>
  <c r="C196" i="9"/>
  <c r="H112" i="9"/>
  <c r="L68" i="9"/>
  <c r="C117" i="9"/>
  <c r="L200" i="9"/>
  <c r="F270" i="9"/>
  <c r="N154" i="9"/>
  <c r="E266" i="9"/>
  <c r="F75" i="9"/>
  <c r="I239" i="9"/>
  <c r="N101" i="9"/>
  <c r="C184" i="9"/>
  <c r="K180" i="9"/>
  <c r="O116" i="9"/>
  <c r="K21" i="5"/>
  <c r="F43" i="9"/>
  <c r="O274" i="9"/>
  <c r="I88" i="9"/>
  <c r="E35" i="9"/>
  <c r="E234" i="9"/>
  <c r="L89" i="9"/>
  <c r="N145" i="9"/>
  <c r="F199" i="9"/>
  <c r="H66" i="9"/>
  <c r="F28" i="9"/>
  <c r="O217" i="9"/>
  <c r="H28" i="9"/>
  <c r="H122" i="9"/>
  <c r="O112" i="9"/>
  <c r="E175" i="9"/>
  <c r="E191" i="9"/>
  <c r="L229" i="9"/>
  <c r="O128" i="9"/>
  <c r="K21" i="3"/>
  <c r="N143" i="9"/>
  <c r="O162" i="9"/>
  <c r="C113" i="9"/>
  <c r="K25" i="9"/>
  <c r="N63" i="9"/>
  <c r="E238" i="9"/>
  <c r="K239" i="9"/>
  <c r="K268" i="9"/>
  <c r="E236" i="9"/>
  <c r="G47" i="3"/>
  <c r="C23" i="9"/>
  <c r="F201" i="9"/>
  <c r="K70" i="3"/>
  <c r="H218" i="9"/>
  <c r="O164" i="9"/>
  <c r="F144" i="9"/>
  <c r="L37" i="9"/>
  <c r="C198" i="9"/>
  <c r="F184" i="9"/>
  <c r="L136" i="9"/>
  <c r="L90" i="9"/>
  <c r="N162" i="9"/>
  <c r="E80" i="9"/>
  <c r="K157" i="9"/>
  <c r="K39" i="9"/>
  <c r="K6" i="5"/>
  <c r="F259" i="9"/>
  <c r="E86" i="9"/>
  <c r="H265" i="9"/>
  <c r="E119" i="9"/>
  <c r="H215" i="9"/>
  <c r="K110" i="9"/>
  <c r="N175" i="9"/>
  <c r="E66" i="9"/>
  <c r="I120" i="9"/>
  <c r="K71" i="9"/>
  <c r="K200" i="9"/>
  <c r="F252" i="9"/>
  <c r="C253" i="9"/>
  <c r="L242" i="9"/>
  <c r="L262" i="9"/>
  <c r="I258" i="9"/>
  <c r="C143" i="9"/>
  <c r="H74" i="9"/>
  <c r="L50" i="9"/>
  <c r="K106" i="9"/>
  <c r="K58" i="3"/>
  <c r="H83" i="9"/>
  <c r="O73" i="9"/>
  <c r="C267" i="9"/>
  <c r="E137" i="9"/>
  <c r="K272" i="9"/>
  <c r="L234" i="9"/>
  <c r="H197" i="9"/>
  <c r="H148" i="9"/>
  <c r="E164" i="9"/>
  <c r="L175" i="9"/>
  <c r="N227" i="9"/>
  <c r="O87" i="9"/>
  <c r="N273" i="9"/>
  <c r="I268" i="9"/>
  <c r="H259" i="9"/>
  <c r="N263" i="9"/>
  <c r="N191" i="9"/>
  <c r="I252" i="9"/>
  <c r="I154" i="9"/>
  <c r="K105" i="9"/>
  <c r="N65" i="9"/>
  <c r="I186" i="9"/>
  <c r="C30" i="9"/>
  <c r="K116" i="9"/>
  <c r="O186" i="9"/>
  <c r="O198" i="9"/>
  <c r="O39" i="9"/>
  <c r="L278" i="9"/>
  <c r="I193" i="9"/>
  <c r="I49" i="9"/>
  <c r="O232" i="9"/>
  <c r="N260" i="9"/>
  <c r="H99" i="9"/>
  <c r="K65" i="9"/>
  <c r="H263" i="9"/>
  <c r="H120" i="9"/>
  <c r="H90" i="9"/>
  <c r="C221" i="9"/>
  <c r="K35" i="9"/>
  <c r="N109" i="9"/>
  <c r="L69" i="9"/>
  <c r="O42" i="9"/>
  <c r="F255" i="9"/>
  <c r="K177" i="9"/>
  <c r="G41" i="3"/>
  <c r="N189" i="9"/>
  <c r="L110" i="9"/>
  <c r="O86" i="9"/>
  <c r="I215" i="9"/>
  <c r="K31" i="3"/>
  <c r="C67" i="9"/>
  <c r="F160" i="9"/>
  <c r="C227" i="9"/>
  <c r="E232" i="9"/>
  <c r="E43" i="9"/>
  <c r="N266" i="9"/>
  <c r="F119" i="9"/>
  <c r="H45" i="9"/>
  <c r="F197" i="9"/>
  <c r="I251" i="9"/>
  <c r="H278" i="9"/>
  <c r="K7" i="5"/>
  <c r="N47" i="9"/>
  <c r="I180" i="9"/>
  <c r="E217" i="9"/>
  <c r="F265" i="9"/>
  <c r="K185" i="9"/>
  <c r="G74" i="3"/>
  <c r="K25" i="3"/>
  <c r="K195" i="9"/>
  <c r="N229" i="9"/>
  <c r="C125" i="9"/>
  <c r="O69" i="3"/>
  <c r="F34" i="9"/>
  <c r="E219" i="9"/>
  <c r="E31" i="9"/>
  <c r="H260" i="9"/>
  <c r="K9" i="5"/>
  <c r="F124" i="9"/>
  <c r="I48" i="9"/>
  <c r="C234" i="9"/>
  <c r="K8" i="3"/>
  <c r="N136" i="9"/>
  <c r="O276" i="9"/>
  <c r="E81" i="9"/>
  <c r="I194" i="9"/>
  <c r="O79" i="9"/>
  <c r="I83" i="9"/>
  <c r="K280" i="9"/>
  <c r="F254" i="9"/>
  <c r="C99" i="9"/>
  <c r="H42" i="9"/>
  <c r="O44" i="9"/>
  <c r="G42" i="3"/>
  <c r="F45" i="9"/>
  <c r="E74" i="9"/>
  <c r="K228" i="9"/>
  <c r="I104" i="9"/>
  <c r="I149" i="9"/>
  <c r="L227" i="9"/>
  <c r="F35" i="9"/>
  <c r="O33" i="3"/>
  <c r="I74" i="9"/>
  <c r="E51" i="9"/>
  <c r="K24" i="3"/>
  <c r="I250" i="9"/>
  <c r="E145" i="9"/>
  <c r="N199" i="9"/>
  <c r="N116" i="9"/>
  <c r="F192" i="9"/>
  <c r="H279" i="9"/>
  <c r="N166" i="9"/>
  <c r="K15" i="3"/>
  <c r="F145" i="9"/>
  <c r="K60" i="3"/>
  <c r="H82" i="9"/>
  <c r="O178" i="9"/>
  <c r="C34" i="9"/>
  <c r="N216" i="9"/>
  <c r="C269" i="9"/>
  <c r="H46" i="9"/>
  <c r="E161" i="9"/>
  <c r="C166" i="9"/>
  <c r="O152" i="9"/>
  <c r="K260" i="9"/>
  <c r="L165" i="9"/>
  <c r="F148" i="9"/>
  <c r="H275" i="9"/>
  <c r="H124" i="9"/>
  <c r="I65" i="9"/>
  <c r="L270" i="9"/>
  <c r="K74" i="3"/>
  <c r="E154" i="9"/>
  <c r="F51" i="9"/>
  <c r="E226" i="9"/>
  <c r="C101" i="9"/>
  <c r="C185" i="9"/>
  <c r="K263" i="9"/>
  <c r="L216" i="9"/>
  <c r="K70" i="9"/>
  <c r="L194" i="9"/>
  <c r="E280" i="9"/>
  <c r="C40" i="9"/>
  <c r="I195" i="9"/>
  <c r="C266" i="9"/>
  <c r="I105" i="9"/>
  <c r="C241" i="9"/>
  <c r="L117" i="9"/>
  <c r="O24" i="9"/>
  <c r="K275" i="9"/>
  <c r="K41" i="9"/>
  <c r="C228" i="9"/>
  <c r="I100" i="9"/>
  <c r="H237" i="9"/>
  <c r="O81" i="9"/>
  <c r="O263" i="9"/>
  <c r="O60" i="3"/>
  <c r="E165" i="9"/>
  <c r="L174" i="9"/>
  <c r="L138" i="9"/>
  <c r="L45" i="9"/>
  <c r="E139" i="9"/>
  <c r="N275" i="9"/>
  <c r="K62" i="3"/>
  <c r="H38" i="9"/>
  <c r="H31" i="9"/>
  <c r="O84" i="9"/>
  <c r="C242" i="9"/>
  <c r="L258" i="9"/>
  <c r="K262" i="9"/>
  <c r="F176" i="9"/>
  <c r="K242" i="9"/>
  <c r="I38" i="9"/>
  <c r="O36" i="9"/>
  <c r="L39" i="9"/>
  <c r="I47" i="9"/>
  <c r="N200" i="9"/>
  <c r="K218" i="9"/>
  <c r="H262" i="9"/>
  <c r="N237" i="9"/>
  <c r="E153" i="9"/>
  <c r="K166" i="9"/>
  <c r="N25" i="9"/>
  <c r="K253" i="9"/>
  <c r="L163" i="9"/>
  <c r="I156" i="9"/>
  <c r="K60" i="9"/>
  <c r="O77" i="9"/>
  <c r="O47" i="3"/>
  <c r="N33" i="9"/>
  <c r="E221" i="9"/>
  <c r="O242" i="9"/>
  <c r="H228" i="9"/>
  <c r="L214" i="9"/>
  <c r="N270" i="9"/>
  <c r="N125" i="9"/>
  <c r="H182" i="9"/>
  <c r="K41" i="3"/>
  <c r="H145" i="9"/>
  <c r="K176" i="9"/>
  <c r="C29" i="9"/>
  <c r="E254" i="9"/>
  <c r="L267" i="9"/>
  <c r="H32" i="9"/>
  <c r="I68" i="9"/>
  <c r="F202" i="9"/>
  <c r="K108" i="9"/>
  <c r="E28" i="9"/>
  <c r="O223" i="9"/>
  <c r="E278" i="9"/>
  <c r="N60" i="9"/>
  <c r="K229" i="9"/>
  <c r="C31" i="9"/>
  <c r="O264" i="9"/>
  <c r="L155" i="9"/>
  <c r="L259" i="9"/>
  <c r="K196" i="9"/>
  <c r="E33" i="9"/>
  <c r="O158" i="9"/>
  <c r="F67" i="9"/>
  <c r="O83" i="9"/>
  <c r="F125" i="9"/>
  <c r="I121" i="9"/>
  <c r="F112" i="9"/>
  <c r="G44" i="3"/>
  <c r="N69" i="9"/>
  <c r="F187" i="9"/>
  <c r="E48" i="9"/>
  <c r="L241" i="9"/>
  <c r="E85" i="9"/>
  <c r="F166" i="9"/>
  <c r="E121" i="9"/>
  <c r="F223" i="9"/>
  <c r="K82" i="9"/>
  <c r="N84" i="9"/>
  <c r="I276" i="9"/>
  <c r="O51" i="9"/>
  <c r="I136" i="9"/>
  <c r="I274" i="9"/>
  <c r="L275" i="9"/>
  <c r="L139" i="9"/>
  <c r="N235" i="9"/>
  <c r="F84" i="9"/>
  <c r="H43" i="9"/>
  <c r="L182" i="9"/>
  <c r="K255" i="9"/>
  <c r="H67" i="9"/>
  <c r="H268" i="9"/>
  <c r="O155" i="9"/>
  <c r="F113" i="9"/>
  <c r="G56" i="3"/>
  <c r="O42" i="3"/>
  <c r="C120" i="9"/>
  <c r="N268" i="9"/>
  <c r="O50" i="3"/>
  <c r="H115" i="9"/>
  <c r="O37" i="9"/>
  <c r="O224" i="9"/>
  <c r="O58" i="3"/>
  <c r="C79" i="9"/>
  <c r="O32" i="3"/>
  <c r="O62" i="3"/>
  <c r="O256" i="9"/>
  <c r="L144" i="9"/>
  <c r="N90" i="9"/>
  <c r="L35" i="9"/>
  <c r="N77" i="9"/>
  <c r="O64" i="3"/>
  <c r="H195" i="9"/>
  <c r="C161" i="9"/>
  <c r="O215" i="9"/>
  <c r="O216" i="9"/>
  <c r="E50" i="9"/>
  <c r="L236" i="9"/>
  <c r="E122" i="9"/>
  <c r="E202" i="9"/>
  <c r="N261" i="9"/>
  <c r="C260" i="9"/>
  <c r="I101" i="9"/>
  <c r="K276" i="9"/>
  <c r="I213" i="9"/>
  <c r="O153" i="9"/>
  <c r="L60" i="9"/>
  <c r="I69" i="9"/>
  <c r="C61" i="9"/>
  <c r="G35" i="3"/>
  <c r="E215" i="9"/>
  <c r="K125" i="9"/>
  <c r="I202" i="9"/>
  <c r="K179" i="9"/>
  <c r="E142" i="9"/>
  <c r="L43" i="9"/>
  <c r="I192" i="9"/>
  <c r="G36" i="3"/>
  <c r="N179" i="9"/>
  <c r="F264" i="9"/>
  <c r="C69" i="9"/>
  <c r="I45" i="9"/>
  <c r="H144" i="9"/>
  <c r="F150" i="9"/>
  <c r="L70" i="9"/>
  <c r="I138" i="9"/>
  <c r="L271" i="9"/>
  <c r="C75" i="9"/>
  <c r="L219" i="9"/>
  <c r="E79" i="9"/>
  <c r="F99" i="9"/>
  <c r="F68" i="9"/>
  <c r="N34" i="9"/>
  <c r="O40" i="3"/>
  <c r="O50" i="9"/>
  <c r="E225" i="9"/>
  <c r="O48" i="9"/>
  <c r="L251" i="9"/>
  <c r="N150" i="9"/>
  <c r="F236" i="9"/>
  <c r="K67" i="3"/>
  <c r="O265" i="9"/>
  <c r="H128" i="9"/>
  <c r="F163" i="9"/>
  <c r="E40" i="9"/>
  <c r="O182" i="9"/>
  <c r="C108" i="9"/>
  <c r="L142" i="9"/>
  <c r="O275" i="9"/>
  <c r="L126" i="9"/>
  <c r="N40" i="9"/>
  <c r="O214" i="9"/>
  <c r="H105" i="9"/>
  <c r="L101" i="9"/>
  <c r="L109" i="9"/>
  <c r="L29" i="9"/>
  <c r="L46" i="9"/>
  <c r="E227" i="9"/>
  <c r="F120" i="9"/>
  <c r="C110" i="9"/>
  <c r="O253" i="9"/>
  <c r="O156" i="9"/>
  <c r="E185" i="9"/>
  <c r="F83" i="9"/>
  <c r="N226" i="9"/>
  <c r="E99" i="9"/>
  <c r="O279" i="9"/>
  <c r="K56" i="3"/>
  <c r="N124" i="9"/>
  <c r="I280" i="9"/>
  <c r="H136" i="9"/>
  <c r="E89" i="9"/>
  <c r="H234" i="9"/>
  <c r="L106" i="9"/>
  <c r="N137" i="9"/>
  <c r="O30" i="9"/>
  <c r="O183" i="9"/>
  <c r="C226" i="9"/>
  <c r="E158" i="9"/>
  <c r="G46" i="3"/>
  <c r="E123" i="9"/>
  <c r="H48" i="9"/>
  <c r="K27" i="9"/>
  <c r="K99" i="9"/>
  <c r="O70" i="9"/>
  <c r="O39" i="3"/>
  <c r="E160" i="9"/>
  <c r="O73" i="3"/>
  <c r="O34" i="3"/>
  <c r="O159" i="9"/>
  <c r="K264" i="9"/>
  <c r="O109" i="9"/>
  <c r="K234" i="9"/>
  <c r="H76" i="9"/>
  <c r="H106" i="9"/>
  <c r="C36" i="9"/>
  <c r="O67" i="3"/>
  <c r="H123" i="9"/>
  <c r="H250" i="9"/>
  <c r="K152" i="9"/>
  <c r="K36" i="3"/>
  <c r="O31" i="3"/>
  <c r="K227" i="9"/>
  <c r="F222" i="9"/>
  <c r="F32" i="9"/>
  <c r="K270" i="9"/>
  <c r="H119" i="9"/>
  <c r="C190" i="9"/>
  <c r="I143" i="9"/>
  <c r="N230" i="9"/>
  <c r="F240" i="9"/>
  <c r="L265" i="9"/>
  <c r="O175" i="9"/>
  <c r="E155" i="9"/>
  <c r="K121" i="9"/>
  <c r="K148" i="9"/>
  <c r="F89" i="9"/>
  <c r="H251" i="9"/>
  <c r="H49" i="9"/>
  <c r="E255" i="9"/>
  <c r="L73" i="9"/>
  <c r="F194" i="9"/>
  <c r="C142" i="9"/>
  <c r="K204" i="9"/>
  <c r="F49" i="9"/>
  <c r="E267" i="9"/>
  <c r="E229" i="9"/>
  <c r="H51" i="9"/>
  <c r="H214" i="9"/>
  <c r="F262" i="9"/>
  <c r="E265" i="9"/>
  <c r="N111" i="9"/>
  <c r="F178" i="9"/>
  <c r="I254" i="9"/>
  <c r="I90" i="9"/>
  <c r="C236" i="9"/>
  <c r="H238" i="9"/>
  <c r="F33" i="9"/>
  <c r="L32" i="9"/>
  <c r="E124" i="9"/>
  <c r="F48" i="9"/>
  <c r="N128" i="9"/>
  <c r="E216" i="9"/>
  <c r="C183" i="9"/>
  <c r="L202" i="9"/>
  <c r="O218" i="9"/>
  <c r="H36" i="9"/>
  <c r="I82" i="9"/>
  <c r="H196" i="9"/>
  <c r="C194" i="9"/>
  <c r="K23" i="3"/>
  <c r="K102" i="9"/>
  <c r="N148" i="9"/>
  <c r="K107" i="9"/>
  <c r="I240" i="9"/>
  <c r="I110" i="9"/>
  <c r="L151" i="9"/>
  <c r="K273" i="9"/>
  <c r="N157" i="9"/>
  <c r="E163" i="9"/>
  <c r="H98" i="9"/>
  <c r="L201" i="9"/>
  <c r="I216" i="9"/>
  <c r="O65" i="9"/>
  <c r="N32" i="9"/>
  <c r="O48" i="3"/>
  <c r="C158" i="9"/>
  <c r="K10" i="5"/>
  <c r="H77" i="9"/>
  <c r="L87" i="9"/>
  <c r="L264" i="9"/>
  <c r="H217" i="9"/>
  <c r="L100" i="9"/>
  <c r="F218" i="9"/>
  <c r="C186" i="9"/>
  <c r="K274" i="9"/>
  <c r="O125" i="9"/>
  <c r="F213" i="9"/>
  <c r="O176" i="9"/>
  <c r="C63" i="9"/>
  <c r="O46" i="3"/>
  <c r="F279" i="9"/>
  <c r="C47" i="9"/>
  <c r="O193" i="9"/>
  <c r="O233" i="9"/>
  <c r="E259" i="9"/>
  <c r="L232" i="9"/>
  <c r="C275" i="9"/>
  <c r="N180" i="9"/>
  <c r="E120" i="9"/>
  <c r="C105" i="9"/>
  <c r="O75" i="9"/>
  <c r="I177" i="9"/>
  <c r="E177" i="9"/>
  <c r="O222" i="9"/>
  <c r="O69" i="9"/>
  <c r="H147" i="9"/>
  <c r="E98" i="9"/>
  <c r="C192" i="9"/>
  <c r="H241" i="9"/>
  <c r="N163" i="9"/>
  <c r="C191" i="9"/>
  <c r="C237" i="9"/>
  <c r="E176" i="9"/>
  <c r="I164" i="9"/>
  <c r="F180" i="9"/>
  <c r="I86" i="9"/>
  <c r="K233" i="9"/>
  <c r="N127" i="9"/>
  <c r="O124" i="9"/>
  <c r="O35" i="9"/>
  <c r="O108" i="9"/>
  <c r="G31" i="3"/>
  <c r="H164" i="9"/>
  <c r="E39" i="9"/>
  <c r="I255" i="9"/>
  <c r="K13" i="5"/>
  <c r="L42" i="9"/>
  <c r="O43" i="9"/>
  <c r="K16" i="3"/>
  <c r="H52" i="9"/>
  <c r="I199" i="9"/>
  <c r="E183" i="9"/>
  <c r="N215" i="9"/>
  <c r="I107" i="9"/>
  <c r="O66" i="9"/>
  <c r="N280" i="9"/>
  <c r="G70" i="3"/>
  <c r="C273" i="9"/>
  <c r="I228" i="9"/>
  <c r="N177" i="9"/>
  <c r="I67" i="9"/>
  <c r="F26" i="9"/>
  <c r="O114" i="9"/>
  <c r="L215" i="9"/>
  <c r="H151" i="9"/>
  <c r="C66" i="9"/>
  <c r="C68" i="9"/>
  <c r="C217" i="9"/>
  <c r="L183" i="9"/>
  <c r="C222" i="9"/>
  <c r="N224" i="9"/>
  <c r="H225" i="9"/>
  <c r="O202" i="9"/>
  <c r="L116" i="9"/>
  <c r="N233" i="9"/>
  <c r="G67" i="3"/>
  <c r="F146" i="9"/>
  <c r="H280" i="9"/>
  <c r="E204" i="9"/>
  <c r="O38" i="3"/>
  <c r="E186" i="9"/>
  <c r="E263" i="9"/>
  <c r="K46" i="3"/>
  <c r="K61" i="3"/>
  <c r="F216" i="9"/>
  <c r="H256" i="9"/>
  <c r="H116" i="9"/>
  <c r="C262" i="9"/>
  <c r="K252" i="9"/>
  <c r="O228" i="9"/>
  <c r="E257" i="9"/>
  <c r="F263" i="9"/>
  <c r="E49" i="9"/>
  <c r="L26" i="9"/>
  <c r="H203" i="9"/>
  <c r="F157" i="9"/>
  <c r="K17" i="5"/>
  <c r="I234" i="9"/>
  <c r="I214" i="9"/>
  <c r="K48" i="9"/>
  <c r="K63" i="3"/>
  <c r="H198" i="9"/>
  <c r="L269" i="9"/>
  <c r="K226" i="9"/>
  <c r="E271" i="9"/>
  <c r="K51" i="9"/>
  <c r="I221" i="9"/>
  <c r="H264" i="9"/>
  <c r="H271" i="9"/>
  <c r="N155" i="9"/>
  <c r="L184" i="9"/>
  <c r="K14" i="5"/>
  <c r="L27" i="9"/>
  <c r="G33" i="3"/>
  <c r="L82" i="9"/>
  <c r="E68" i="9"/>
  <c r="K40" i="9"/>
  <c r="O221" i="9"/>
  <c r="N185" i="9"/>
  <c r="I182" i="9"/>
  <c r="N232" i="9"/>
  <c r="E218" i="9"/>
  <c r="L191" i="9"/>
  <c r="K143" i="9"/>
  <c r="L113" i="9"/>
  <c r="K117" i="9"/>
  <c r="H199" i="9"/>
  <c r="H165" i="9"/>
  <c r="H33" i="9"/>
  <c r="K29" i="9"/>
  <c r="C41" i="9"/>
  <c r="E144" i="9"/>
  <c r="H154" i="9"/>
  <c r="O68" i="9"/>
  <c r="H104" i="9"/>
  <c r="K67" i="9"/>
  <c r="O140" i="9"/>
  <c r="N30" i="9"/>
  <c r="O80" i="9"/>
  <c r="O236" i="9"/>
  <c r="K22" i="9"/>
  <c r="K24" i="5"/>
  <c r="H143" i="9"/>
  <c r="K90" i="9"/>
  <c r="O57" i="3"/>
  <c r="N41" i="9"/>
  <c r="L103" i="9"/>
  <c r="H125" i="9"/>
  <c r="C197" i="9"/>
  <c r="K17" i="3"/>
  <c r="K24" i="9"/>
  <c r="K22" i="3"/>
  <c r="K66" i="9"/>
  <c r="O72" i="3"/>
  <c r="I128" i="9"/>
  <c r="O45" i="3"/>
  <c r="H255" i="9"/>
  <c r="H101" i="9"/>
  <c r="N198" i="9"/>
  <c r="I269" i="9"/>
  <c r="C204" i="9"/>
  <c r="O90" i="9"/>
  <c r="C98" i="9"/>
  <c r="O75" i="3"/>
  <c r="L83" i="9"/>
  <c r="H174" i="9"/>
  <c r="N31" i="9"/>
  <c r="E23" i="9"/>
  <c r="C118" i="9"/>
  <c r="O115" i="9"/>
  <c r="C212" i="9"/>
  <c r="E64" i="9"/>
  <c r="C231" i="9"/>
  <c r="E222" i="9"/>
  <c r="K45" i="3"/>
  <c r="H229" i="9"/>
  <c r="O197" i="9"/>
  <c r="K64" i="3"/>
  <c r="C240" i="9"/>
  <c r="C203" i="9"/>
  <c r="I166" i="9"/>
  <c r="H114" i="9"/>
  <c r="I230" i="9"/>
  <c r="K256" i="9"/>
  <c r="H185" i="9"/>
  <c r="H187" i="9"/>
  <c r="K34" i="3"/>
  <c r="E62" i="9"/>
  <c r="C238" i="9"/>
  <c r="O231" i="9"/>
  <c r="C174" i="9"/>
  <c r="C24" i="9"/>
  <c r="K146" i="9"/>
  <c r="N271" i="9"/>
  <c r="N28" i="9"/>
  <c r="L261" i="9"/>
  <c r="K16" i="5"/>
  <c r="G57" i="3"/>
  <c r="C81" i="9"/>
  <c r="L177" i="9"/>
  <c r="F164" i="9"/>
  <c r="K225" i="9"/>
  <c r="K33" i="3"/>
  <c r="K45" i="9"/>
  <c r="L30" i="9"/>
  <c r="F42" i="9"/>
  <c r="K74" i="9"/>
  <c r="E38" i="9"/>
  <c r="N72" i="9"/>
  <c r="E235" i="9"/>
  <c r="C103" i="9"/>
  <c r="F44" i="9"/>
  <c r="K193" i="9"/>
  <c r="F152" i="9"/>
  <c r="K149" i="9"/>
  <c r="E138" i="9"/>
  <c r="E220" i="9"/>
  <c r="H269" i="9"/>
  <c r="N86" i="9"/>
  <c r="I72" i="9"/>
  <c r="F234" i="9"/>
  <c r="I112" i="9"/>
  <c r="C121" i="9"/>
  <c r="N178" i="9"/>
  <c r="F181" i="9"/>
  <c r="F122" i="9"/>
  <c r="F231" i="9"/>
  <c r="O68" i="3"/>
  <c r="F186" i="9"/>
  <c r="L38" i="9"/>
  <c r="K153" i="9"/>
  <c r="K11" i="5"/>
  <c r="C116" i="9"/>
  <c r="N201" i="9"/>
  <c r="E195" i="9"/>
  <c r="L273" i="9"/>
  <c r="E67" i="9"/>
  <c r="N184" i="9"/>
  <c r="N277" i="9"/>
  <c r="E126" i="9"/>
  <c r="H257" i="9"/>
  <c r="E214" i="9"/>
  <c r="O103" i="9"/>
  <c r="L181" i="9"/>
  <c r="N279" i="9"/>
  <c r="O85" i="9"/>
  <c r="F225" i="9"/>
  <c r="N214" i="9"/>
  <c r="E279" i="9"/>
  <c r="E147" i="9"/>
  <c r="I108" i="9"/>
  <c r="N79" i="9"/>
  <c r="H84" i="9"/>
  <c r="E197" i="9"/>
  <c r="K12" i="5"/>
  <c r="H232" i="9"/>
  <c r="L78" i="9"/>
  <c r="C149" i="9"/>
  <c r="N39" i="9"/>
  <c r="F61" i="9"/>
  <c r="I79" i="9"/>
  <c r="N100" i="9"/>
  <c r="I80" i="9"/>
  <c r="E182" i="9"/>
  <c r="K240" i="9"/>
  <c r="E114" i="9"/>
  <c r="O29" i="9"/>
  <c r="H72" i="9"/>
  <c r="L102" i="9"/>
  <c r="C38" i="9"/>
  <c r="H267" i="9"/>
  <c r="N217" i="9"/>
  <c r="N223" i="9"/>
  <c r="C100" i="9"/>
  <c r="I175" i="9"/>
  <c r="F269" i="9"/>
  <c r="H24" i="9"/>
  <c r="C239" i="9"/>
  <c r="K160" i="9"/>
  <c r="C147" i="9"/>
  <c r="N26" i="9"/>
  <c r="E228" i="9"/>
  <c r="N120" i="9"/>
  <c r="F195" i="9"/>
  <c r="I141" i="9"/>
  <c r="O22" i="9"/>
  <c r="I256" i="9"/>
  <c r="G71" i="3"/>
  <c r="H111" i="9"/>
  <c r="O190" i="9"/>
  <c r="I51" i="9"/>
  <c r="O33" i="9"/>
  <c r="O111" i="9"/>
  <c r="F241" i="9"/>
  <c r="H63" i="9"/>
  <c r="N106" i="9"/>
  <c r="K258" i="9"/>
  <c r="N165" i="9"/>
  <c r="H73" i="9"/>
  <c r="L193" i="9"/>
  <c r="L272" i="9"/>
  <c r="F200" i="9"/>
  <c r="O102" i="9"/>
  <c r="E260" i="9"/>
  <c r="K49" i="9"/>
  <c r="E27" i="9"/>
  <c r="F229" i="9"/>
  <c r="K50" i="3"/>
  <c r="F204" i="9"/>
  <c r="H160" i="9"/>
  <c r="H157" i="9"/>
  <c r="G40" i="3"/>
  <c r="F29" i="9"/>
  <c r="K144" i="9"/>
  <c r="I37" i="9"/>
  <c r="F276" i="9"/>
  <c r="F127" i="9"/>
  <c r="H240" i="9"/>
  <c r="H65" i="9"/>
  <c r="G61" i="3"/>
  <c r="L228" i="9"/>
  <c r="C223" i="9"/>
  <c r="K6" i="3"/>
  <c r="I32" i="9"/>
  <c r="C279" i="9"/>
  <c r="G60" i="3"/>
  <c r="N51" i="9"/>
  <c r="I122" i="9"/>
  <c r="N176" i="9"/>
  <c r="C153" i="9"/>
  <c r="K158" i="9"/>
  <c r="K40" i="3"/>
  <c r="H274" i="9"/>
  <c r="K122" i="9"/>
  <c r="E110" i="9"/>
  <c r="H155" i="9"/>
  <c r="H149" i="9"/>
  <c r="O63" i="3"/>
  <c r="F190" i="9"/>
  <c r="K145" i="9"/>
  <c r="F250" i="9"/>
  <c r="N187" i="9"/>
  <c r="L153" i="9"/>
  <c r="H138" i="9"/>
  <c r="E270" i="9"/>
  <c r="O157" i="9"/>
  <c r="K37" i="9"/>
  <c r="N204" i="9"/>
  <c r="L98" i="9"/>
  <c r="K150" i="9"/>
  <c r="O52" i="9"/>
  <c r="F165" i="9"/>
  <c r="K261" i="9"/>
  <c r="H62" i="9"/>
  <c r="H253" i="9"/>
  <c r="O59" i="3"/>
  <c r="H193" i="9"/>
  <c r="O180" i="9"/>
  <c r="K232" i="9"/>
  <c r="I84" i="9"/>
  <c r="L190" i="9"/>
  <c r="E73" i="9"/>
  <c r="F175" i="9"/>
  <c r="L185" i="9"/>
  <c r="L188" i="9"/>
  <c r="O37" i="3"/>
  <c r="O41" i="3"/>
  <c r="H231" i="9"/>
  <c r="K265" i="9"/>
  <c r="C122" i="9"/>
  <c r="F118" i="9"/>
  <c r="N238" i="9"/>
  <c r="C112" i="9"/>
  <c r="H35" i="9"/>
  <c r="K241" i="9"/>
  <c r="I232" i="9"/>
  <c r="I275" i="9"/>
  <c r="H69" i="9"/>
  <c r="I25" i="9"/>
  <c r="F111" i="9"/>
  <c r="K59" i="3"/>
  <c r="H27" i="9"/>
  <c r="H266" i="9"/>
  <c r="K191" i="9"/>
  <c r="K198" i="9"/>
  <c r="L63" i="9"/>
  <c r="H276" i="9"/>
  <c r="O240" i="9"/>
  <c r="O185" i="9"/>
  <c r="F196" i="9"/>
  <c r="F87" i="9"/>
  <c r="I70" i="9"/>
  <c r="I223" i="9"/>
  <c r="F108" i="9"/>
  <c r="K83" i="9"/>
  <c r="K278" i="9"/>
  <c r="C159" i="9"/>
  <c r="H226" i="9"/>
  <c r="F154" i="9"/>
  <c r="O143" i="9"/>
  <c r="I140" i="9"/>
  <c r="O118" i="9"/>
  <c r="H163" i="9"/>
  <c r="L67" i="9"/>
  <c r="G32" i="3"/>
  <c r="H107" i="9"/>
  <c r="E250" i="9"/>
  <c r="H109" i="9"/>
  <c r="F253" i="9"/>
  <c r="I227" i="9"/>
  <c r="H113" i="9"/>
  <c r="O41" i="9"/>
  <c r="O122" i="9"/>
  <c r="G48" i="3"/>
  <c r="C202" i="9"/>
  <c r="N43" i="9"/>
  <c r="C199" i="9"/>
  <c r="E240" i="9"/>
  <c r="N239" i="9"/>
  <c r="I273" i="9"/>
  <c r="L266" i="9"/>
  <c r="I178" i="9"/>
  <c r="I236" i="9"/>
  <c r="C48" i="9"/>
  <c r="K109" i="9"/>
  <c r="F278" i="9"/>
  <c r="I103" i="9"/>
  <c r="N241" i="9"/>
  <c r="O141" i="9"/>
  <c r="L238" i="9"/>
  <c r="O154" i="9"/>
  <c r="L240" i="9"/>
  <c r="K159" i="9"/>
  <c r="K136" i="9"/>
  <c r="F41" i="9"/>
  <c r="N27" i="9"/>
  <c r="K162" i="9"/>
  <c r="F72" i="9"/>
  <c r="C70" i="9"/>
  <c r="I118" i="9"/>
  <c r="K156" i="9"/>
  <c r="N236" i="9"/>
  <c r="L44" i="9"/>
  <c r="K201" i="9"/>
  <c r="K19" i="3"/>
  <c r="C230" i="9"/>
  <c r="K127" i="9"/>
  <c r="E180" i="9"/>
  <c r="N276" i="9"/>
  <c r="K88" i="9"/>
  <c r="E276" i="9"/>
  <c r="O120" i="9"/>
  <c r="E201" i="9"/>
  <c r="O270" i="9"/>
  <c r="K192" i="9"/>
  <c r="N240" i="9"/>
  <c r="H261" i="9"/>
  <c r="C200" i="9"/>
  <c r="L66" i="9"/>
  <c r="C259" i="9"/>
  <c r="K12" i="3"/>
  <c r="C119" i="9"/>
  <c r="N251" i="9"/>
  <c r="F237" i="9"/>
  <c r="I117" i="9"/>
  <c r="E143" i="9"/>
  <c r="N107" i="9"/>
  <c r="O70" i="3"/>
  <c r="E224" i="9"/>
  <c r="O227" i="9"/>
  <c r="I259" i="9"/>
  <c r="C139" i="9"/>
  <c r="O259" i="9"/>
  <c r="K72" i="9"/>
  <c r="C224" i="9"/>
  <c r="H254" i="9"/>
  <c r="O273" i="9"/>
  <c r="F121" i="9"/>
  <c r="O277" i="9"/>
  <c r="K28" i="9"/>
  <c r="I163" i="9"/>
  <c r="O100" i="9"/>
  <c r="O47" i="9"/>
  <c r="C49" i="9"/>
  <c r="E253" i="9"/>
  <c r="C109" i="9"/>
  <c r="F98" i="9"/>
  <c r="H142" i="9"/>
  <c r="K217" i="9"/>
  <c r="H183" i="9"/>
  <c r="L34" i="9"/>
  <c r="F88" i="9"/>
  <c r="K182" i="9"/>
  <c r="C233" i="9"/>
  <c r="H153" i="9"/>
  <c r="F90" i="9"/>
  <c r="F105" i="9"/>
  <c r="H212" i="9"/>
  <c r="L252" i="9"/>
  <c r="E136" i="9"/>
  <c r="C181" i="9"/>
  <c r="K141" i="9"/>
  <c r="E203" i="9"/>
  <c r="L28" i="9"/>
  <c r="O148" i="9"/>
  <c r="E231" i="9"/>
  <c r="G43" i="3"/>
  <c r="H127" i="9"/>
  <c r="F185" i="9"/>
  <c r="E105" i="9"/>
  <c r="C107" i="9"/>
  <c r="H23" i="9"/>
  <c r="E269" i="9"/>
  <c r="O188" i="9"/>
  <c r="C232" i="9"/>
  <c r="C189" i="9"/>
  <c r="E71" i="9"/>
  <c r="L279" i="9"/>
  <c r="L64" i="9"/>
  <c r="C82" i="9"/>
  <c r="N103" i="9"/>
  <c r="O56" i="3"/>
  <c r="I278" i="9"/>
  <c r="E45" i="9"/>
  <c r="K44" i="9"/>
  <c r="I158" i="9"/>
  <c r="F116" i="9"/>
  <c r="E116" i="9"/>
  <c r="E46" i="9"/>
  <c r="C25" i="9"/>
  <c r="N265" i="9"/>
  <c r="F221" i="9"/>
  <c r="L111" i="9"/>
  <c r="H181" i="9"/>
  <c r="K215" i="9"/>
  <c r="L197" i="9"/>
  <c r="K68" i="3"/>
  <c r="I185" i="9"/>
  <c r="O113" i="9"/>
  <c r="F36" i="9"/>
  <c r="K259" i="9"/>
  <c r="K85" i="9"/>
  <c r="E34" i="9"/>
  <c r="H70" i="9"/>
  <c r="K57" i="3"/>
  <c r="F188" i="9"/>
  <c r="C137" i="9"/>
  <c r="E26" i="9"/>
  <c r="N78" i="9"/>
  <c r="F22" i="9"/>
  <c r="N68" i="9"/>
  <c r="G72" i="3"/>
  <c r="F155" i="9"/>
  <c r="O213" i="9"/>
  <c r="L47" i="9"/>
  <c r="I85" i="9"/>
  <c r="I75" i="9"/>
  <c r="I271" i="9"/>
  <c r="C274" i="9"/>
  <c r="F239" i="9"/>
  <c r="C163" i="9"/>
  <c r="C106" i="9"/>
  <c r="E76" i="9"/>
  <c r="L250" i="9"/>
  <c r="H242" i="9"/>
  <c r="C219" i="9"/>
  <c r="L218" i="9"/>
  <c r="K64" i="9"/>
  <c r="O268" i="9"/>
  <c r="L118" i="9"/>
  <c r="O40" i="9"/>
  <c r="K251" i="9"/>
  <c r="O67" i="9"/>
  <c r="N87" i="9"/>
  <c r="K230" i="9"/>
  <c r="E193" i="9"/>
  <c r="H277" i="9"/>
  <c r="C51" i="9"/>
  <c r="I27" i="9"/>
  <c r="O238" i="9"/>
  <c r="G59" i="3"/>
  <c r="E41" i="9"/>
  <c r="K80" i="9"/>
  <c r="E60" i="9"/>
  <c r="F82" i="9"/>
  <c r="G63" i="3"/>
  <c r="C188" i="9"/>
  <c r="H118" i="9"/>
  <c r="H152" i="9"/>
  <c r="K118" i="9"/>
  <c r="E63" i="9"/>
  <c r="N46" i="9"/>
  <c r="O252" i="9"/>
  <c r="N45" i="9"/>
  <c r="I126" i="9"/>
  <c r="K42" i="9"/>
  <c r="O138" i="9"/>
  <c r="N141" i="9"/>
  <c r="H204" i="9"/>
  <c r="E213" i="9"/>
  <c r="C89" i="9"/>
  <c r="O195" i="9"/>
  <c r="L143" i="9"/>
  <c r="C88" i="9"/>
  <c r="F258" i="9"/>
  <c r="O179" i="9"/>
  <c r="O23" i="9"/>
  <c r="I225" i="9"/>
  <c r="H39" i="9"/>
  <c r="K18" i="5"/>
  <c r="C156" i="9"/>
  <c r="L122" i="9"/>
  <c r="C144" i="9"/>
  <c r="O166" i="9"/>
  <c r="F161" i="9"/>
  <c r="C178" i="9"/>
  <c r="C250" i="9"/>
  <c r="C148" i="9"/>
  <c r="L48" i="9"/>
  <c r="E77" i="9"/>
  <c r="H61" i="9"/>
  <c r="G50" i="3"/>
  <c r="E200" i="9"/>
  <c r="K48" i="3"/>
  <c r="F158" i="9"/>
  <c r="I50" i="9"/>
  <c r="I123" i="9"/>
  <c r="O139" i="9"/>
  <c r="E75" i="9"/>
  <c r="N44" i="9"/>
  <c r="L121" i="9"/>
  <c r="F141" i="9"/>
  <c r="O201" i="9"/>
  <c r="C85" i="9"/>
  <c r="F38" i="9"/>
  <c r="L31" i="9"/>
  <c r="O150" i="9"/>
  <c r="O99" i="9"/>
  <c r="O144" i="9"/>
  <c r="E106" i="9"/>
  <c r="L166" i="9"/>
  <c r="F80" i="9"/>
  <c r="H89" i="9"/>
  <c r="L192" i="9"/>
  <c r="I125" i="9"/>
  <c r="I181" i="9"/>
  <c r="K76" i="9"/>
  <c r="F151" i="9"/>
  <c r="O269" i="9"/>
  <c r="E150" i="9"/>
  <c r="L231" i="9"/>
  <c r="K221" i="9"/>
  <c r="N149" i="9"/>
  <c r="O31" i="9"/>
  <c r="F100" i="9"/>
  <c r="C176" i="9"/>
  <c r="I184" i="9"/>
  <c r="K72" i="3"/>
  <c r="K186" i="9"/>
  <c r="F261" i="9"/>
  <c r="E78" i="9"/>
  <c r="O160" i="9"/>
  <c r="L49" i="9"/>
  <c r="F137" i="9"/>
  <c r="H223" i="9"/>
  <c r="H85" i="9"/>
  <c r="I160" i="9"/>
  <c r="K98" i="9"/>
  <c r="O136" i="9"/>
  <c r="O26" i="9"/>
  <c r="N88" i="9"/>
  <c r="K139" i="9"/>
  <c r="F272" i="9"/>
  <c r="I237" i="9"/>
  <c r="E109" i="9"/>
  <c r="K254" i="9"/>
  <c r="I226" i="9"/>
  <c r="F85" i="9"/>
  <c r="I222" i="9"/>
  <c r="C272" i="9"/>
  <c r="K222" i="9"/>
  <c r="C180" i="9"/>
  <c r="I159" i="9"/>
  <c r="O82" i="9"/>
  <c r="K30" i="9"/>
  <c r="O163" i="9"/>
  <c r="C218" i="9"/>
  <c r="O126" i="9"/>
  <c r="H75" i="9"/>
  <c r="N278" i="9"/>
  <c r="K235" i="9"/>
  <c r="F147" i="9"/>
  <c r="L41" i="9"/>
  <c r="K115" i="9"/>
  <c r="E223" i="9"/>
  <c r="K165" i="9"/>
  <c r="K212" i="9"/>
  <c r="K184" i="9"/>
  <c r="K183" i="9"/>
  <c r="O212" i="9"/>
  <c r="N49" i="9"/>
  <c r="C165" i="9"/>
  <c r="F73" i="9"/>
  <c r="L76" i="9"/>
  <c r="K31" i="9"/>
  <c r="L226" i="9"/>
  <c r="I30" i="9"/>
  <c r="N113" i="9"/>
  <c r="L149" i="9"/>
  <c r="N222" i="9"/>
  <c r="N242" i="9"/>
  <c r="I81" i="9"/>
  <c r="E242" i="9"/>
  <c r="E24" i="9"/>
  <c r="K71" i="3"/>
  <c r="E113" i="9"/>
  <c r="F123" i="9"/>
  <c r="C80" i="9"/>
  <c r="I150" i="9"/>
  <c r="L127" i="9"/>
  <c r="H175" i="9"/>
  <c r="N48" i="9"/>
  <c r="H201" i="9"/>
  <c r="C220" i="9"/>
  <c r="L52" i="9"/>
  <c r="N144" i="9"/>
  <c r="H41" i="9"/>
  <c r="K43" i="3"/>
  <c r="O251" i="9"/>
  <c r="N74" i="9"/>
  <c r="K63" i="9"/>
  <c r="I62" i="9"/>
  <c r="F230" i="9"/>
  <c r="I267" i="9"/>
  <c r="I161" i="9"/>
  <c r="H179" i="9"/>
  <c r="E241" i="9"/>
  <c r="E261" i="9"/>
  <c r="F203" i="9"/>
  <c r="E112" i="9"/>
  <c r="I203" i="9"/>
  <c r="C90" i="9"/>
  <c r="F191" i="9"/>
  <c r="I29" i="9"/>
  <c r="K23" i="9"/>
  <c r="K155" i="9"/>
  <c r="I219" i="9"/>
  <c r="K124" i="9"/>
  <c r="H184" i="9"/>
  <c r="E70" i="9"/>
  <c r="C65" i="9"/>
  <c r="O187" i="9"/>
  <c r="C37" i="9"/>
  <c r="H216" i="9"/>
  <c r="C252" i="9"/>
  <c r="K87" i="9"/>
  <c r="I73" i="9"/>
  <c r="K18" i="3"/>
  <c r="I253" i="9"/>
  <c r="N174" i="9"/>
  <c r="L120" i="9"/>
  <c r="F70" i="9"/>
  <c r="K19" i="5"/>
  <c r="I23" i="9"/>
  <c r="O117" i="9"/>
  <c r="L230" i="9"/>
  <c r="F40" i="9"/>
  <c r="K277" i="9"/>
  <c r="K271" i="9"/>
  <c r="N61" i="9"/>
  <c r="L36" i="9"/>
  <c r="C271" i="9"/>
  <c r="E256" i="9"/>
  <c r="J271" i="9" l="1"/>
  <c r="M271" i="9"/>
  <c r="D271" i="9"/>
  <c r="G271" i="9"/>
  <c r="M19" i="5"/>
  <c r="L19" i="5"/>
  <c r="N19" i="5"/>
  <c r="M18" i="3"/>
  <c r="N18" i="3"/>
  <c r="L18" i="3"/>
  <c r="G252" i="9"/>
  <c r="M252" i="9"/>
  <c r="J252" i="9"/>
  <c r="D252" i="9"/>
  <c r="J37" i="9"/>
  <c r="G37" i="9"/>
  <c r="M37" i="9"/>
  <c r="D37" i="9"/>
  <c r="J65" i="9"/>
  <c r="M65" i="9"/>
  <c r="D65" i="9"/>
  <c r="G65" i="9"/>
  <c r="J90" i="9"/>
  <c r="G90" i="9"/>
  <c r="D90" i="9"/>
  <c r="M90" i="9"/>
  <c r="L43" i="3"/>
  <c r="N43" i="3"/>
  <c r="M43" i="3"/>
  <c r="D220" i="9"/>
  <c r="J220" i="9"/>
  <c r="G220" i="9"/>
  <c r="M220" i="9"/>
  <c r="M80" i="9"/>
  <c r="D80" i="9"/>
  <c r="G80" i="9"/>
  <c r="J80" i="9"/>
  <c r="M71" i="3"/>
  <c r="N71" i="3"/>
  <c r="L71" i="3"/>
  <c r="G165" i="9"/>
  <c r="J165" i="9"/>
  <c r="M165" i="9"/>
  <c r="D165" i="9"/>
  <c r="O244" i="9"/>
  <c r="N244" i="9" s="1"/>
  <c r="M10" i="9" s="1"/>
  <c r="J218" i="9"/>
  <c r="M218" i="9"/>
  <c r="G218" i="9"/>
  <c r="D218" i="9"/>
  <c r="G180" i="9"/>
  <c r="J180" i="9"/>
  <c r="D180" i="9"/>
  <c r="M180" i="9"/>
  <c r="D272" i="9"/>
  <c r="M272" i="9"/>
  <c r="G272" i="9"/>
  <c r="J272" i="9"/>
  <c r="O168" i="9"/>
  <c r="N168" i="9" s="1"/>
  <c r="M12" i="9" s="1"/>
  <c r="L72" i="3"/>
  <c r="M72" i="3"/>
  <c r="N72" i="3"/>
  <c r="G176" i="9"/>
  <c r="M176" i="9"/>
  <c r="J176" i="9"/>
  <c r="D176" i="9"/>
  <c r="G85" i="9"/>
  <c r="J85" i="9"/>
  <c r="D85" i="9"/>
  <c r="M85" i="9"/>
  <c r="M48" i="3"/>
  <c r="L48" i="3"/>
  <c r="N48" i="3"/>
  <c r="I50" i="3"/>
  <c r="H50" i="3"/>
  <c r="J50" i="3"/>
  <c r="J148" i="9"/>
  <c r="G148" i="9"/>
  <c r="M148" i="9"/>
  <c r="D148" i="9"/>
  <c r="C282" i="9"/>
  <c r="M250" i="9"/>
  <c r="D250" i="9"/>
  <c r="J250" i="9"/>
  <c r="G250" i="9"/>
  <c r="J178" i="9"/>
  <c r="G178" i="9"/>
  <c r="D178" i="9"/>
  <c r="M178" i="9"/>
  <c r="D144" i="9"/>
  <c r="M144" i="9"/>
  <c r="G144" i="9"/>
  <c r="J144" i="9"/>
  <c r="D156" i="9"/>
  <c r="M156" i="9"/>
  <c r="J156" i="9"/>
  <c r="G156" i="9"/>
  <c r="N18" i="5"/>
  <c r="M18" i="5"/>
  <c r="L18" i="5"/>
  <c r="D88" i="9"/>
  <c r="G88" i="9"/>
  <c r="J88" i="9"/>
  <c r="M88" i="9"/>
  <c r="J89" i="9"/>
  <c r="G89" i="9"/>
  <c r="M89" i="9"/>
  <c r="D89" i="9"/>
  <c r="J188" i="9"/>
  <c r="G188" i="9"/>
  <c r="M188" i="9"/>
  <c r="D188" i="9"/>
  <c r="H63" i="3"/>
  <c r="J63" i="3"/>
  <c r="I63" i="3"/>
  <c r="I59" i="3"/>
  <c r="J59" i="3"/>
  <c r="H59" i="3"/>
  <c r="G51" i="9"/>
  <c r="D51" i="9"/>
  <c r="J51" i="9"/>
  <c r="M51" i="9"/>
  <c r="M219" i="9"/>
  <c r="D219" i="9"/>
  <c r="G219" i="9"/>
  <c r="J219" i="9"/>
  <c r="L282" i="9"/>
  <c r="K282" i="9" s="1"/>
  <c r="J14" i="9" s="1"/>
  <c r="J106" i="9"/>
  <c r="D106" i="9"/>
  <c r="M106" i="9"/>
  <c r="G106" i="9"/>
  <c r="M163" i="9"/>
  <c r="J163" i="9"/>
  <c r="D163" i="9"/>
  <c r="G163" i="9"/>
  <c r="D274" i="9"/>
  <c r="J274" i="9"/>
  <c r="G274" i="9"/>
  <c r="M274" i="9"/>
  <c r="J72" i="3"/>
  <c r="I72" i="3"/>
  <c r="H72" i="3"/>
  <c r="F54" i="9"/>
  <c r="G137" i="9"/>
  <c r="M137" i="9"/>
  <c r="D137" i="9"/>
  <c r="J137" i="9"/>
  <c r="M57" i="3"/>
  <c r="N57" i="3"/>
  <c r="L57" i="3"/>
  <c r="L68" i="3"/>
  <c r="N68" i="3"/>
  <c r="M68" i="3"/>
  <c r="G25" i="9"/>
  <c r="J25" i="9"/>
  <c r="D25" i="9"/>
  <c r="M25" i="9"/>
  <c r="P56" i="3"/>
  <c r="Q56" i="3"/>
  <c r="R56" i="3"/>
  <c r="M82" i="9"/>
  <c r="G82" i="9"/>
  <c r="D82" i="9"/>
  <c r="J82" i="9"/>
  <c r="J189" i="9"/>
  <c r="D189" i="9"/>
  <c r="M189" i="9"/>
  <c r="G189" i="9"/>
  <c r="G232" i="9"/>
  <c r="D232" i="9"/>
  <c r="M232" i="9"/>
  <c r="J232" i="9"/>
  <c r="D107" i="9"/>
  <c r="J107" i="9"/>
  <c r="G107" i="9"/>
  <c r="M107" i="9"/>
  <c r="J43" i="3"/>
  <c r="I43" i="3"/>
  <c r="H43" i="3"/>
  <c r="D181" i="9"/>
  <c r="G181" i="9"/>
  <c r="M181" i="9"/>
  <c r="J181" i="9"/>
  <c r="M233" i="9"/>
  <c r="G233" i="9"/>
  <c r="J233" i="9"/>
  <c r="D233" i="9"/>
  <c r="F130" i="9"/>
  <c r="E130" i="9" s="1"/>
  <c r="D6" i="9" s="1"/>
  <c r="D109" i="9"/>
  <c r="J109" i="9"/>
  <c r="M109" i="9"/>
  <c r="G109" i="9"/>
  <c r="J49" i="9"/>
  <c r="D49" i="9"/>
  <c r="G49" i="9"/>
  <c r="M49" i="9"/>
  <c r="J224" i="9"/>
  <c r="M224" i="9"/>
  <c r="G224" i="9"/>
  <c r="D224" i="9"/>
  <c r="J139" i="9"/>
  <c r="G139" i="9"/>
  <c r="M139" i="9"/>
  <c r="D139" i="9"/>
  <c r="Q70" i="3"/>
  <c r="R70" i="3"/>
  <c r="P70" i="3"/>
  <c r="M119" i="9"/>
  <c r="G119" i="9"/>
  <c r="D119" i="9"/>
  <c r="J119" i="9"/>
  <c r="M12" i="3"/>
  <c r="L12" i="3"/>
  <c r="N12" i="3"/>
  <c r="J259" i="9"/>
  <c r="D259" i="9"/>
  <c r="M259" i="9"/>
  <c r="G259" i="9"/>
  <c r="G200" i="9"/>
  <c r="M200" i="9"/>
  <c r="J200" i="9"/>
  <c r="D200" i="9"/>
  <c r="G230" i="9"/>
  <c r="J230" i="9"/>
  <c r="M230" i="9"/>
  <c r="D230" i="9"/>
  <c r="M19" i="3"/>
  <c r="N19" i="3"/>
  <c r="L19" i="3"/>
  <c r="G70" i="9"/>
  <c r="J70" i="9"/>
  <c r="D70" i="9"/>
  <c r="M70" i="9"/>
  <c r="D48" i="9"/>
  <c r="G48" i="9"/>
  <c r="J48" i="9"/>
  <c r="M48" i="9"/>
  <c r="M199" i="9"/>
  <c r="J199" i="9"/>
  <c r="D199" i="9"/>
  <c r="G199" i="9"/>
  <c r="M202" i="9"/>
  <c r="D202" i="9"/>
  <c r="J202" i="9"/>
  <c r="G202" i="9"/>
  <c r="J48" i="3"/>
  <c r="I48" i="3"/>
  <c r="H48" i="3"/>
  <c r="H32" i="3"/>
  <c r="I32" i="3"/>
  <c r="J32" i="3"/>
  <c r="G159" i="9"/>
  <c r="D159" i="9"/>
  <c r="M159" i="9"/>
  <c r="J159" i="9"/>
  <c r="L59" i="3"/>
  <c r="N59" i="3"/>
  <c r="M59" i="3"/>
  <c r="D112" i="9"/>
  <c r="J112" i="9"/>
  <c r="M112" i="9"/>
  <c r="G112" i="9"/>
  <c r="J122" i="9"/>
  <c r="G122" i="9"/>
  <c r="M122" i="9"/>
  <c r="D122" i="9"/>
  <c r="R41" i="3"/>
  <c r="P41" i="3"/>
  <c r="Q41" i="3"/>
  <c r="P37" i="3"/>
  <c r="Q37" i="3"/>
  <c r="R37" i="3"/>
  <c r="P59" i="3"/>
  <c r="Q59" i="3"/>
  <c r="R59" i="3"/>
  <c r="L130" i="9"/>
  <c r="K130" i="9" s="1"/>
  <c r="J6" i="9" s="1"/>
  <c r="F282" i="9"/>
  <c r="E282" i="9" s="1"/>
  <c r="D14" i="9" s="1"/>
  <c r="P63" i="3"/>
  <c r="R63" i="3"/>
  <c r="Q63" i="3"/>
  <c r="M40" i="3"/>
  <c r="L40" i="3"/>
  <c r="N40" i="3"/>
  <c r="G153" i="9"/>
  <c r="J153" i="9"/>
  <c r="M153" i="9"/>
  <c r="D153" i="9"/>
  <c r="J60" i="3"/>
  <c r="I60" i="3"/>
  <c r="H60" i="3"/>
  <c r="G279" i="9"/>
  <c r="D279" i="9"/>
  <c r="J279" i="9"/>
  <c r="M279" i="9"/>
  <c r="L6" i="3"/>
  <c r="M6" i="3"/>
  <c r="N6" i="3"/>
  <c r="D223" i="9"/>
  <c r="G223" i="9"/>
  <c r="J223" i="9"/>
  <c r="M223" i="9"/>
  <c r="J61" i="3"/>
  <c r="I61" i="3"/>
  <c r="H61" i="3"/>
  <c r="I40" i="3"/>
  <c r="J40" i="3"/>
  <c r="H40" i="3"/>
  <c r="L50" i="3"/>
  <c r="M50" i="3"/>
  <c r="N50" i="3"/>
  <c r="I71" i="3"/>
  <c r="J71" i="3"/>
  <c r="H71" i="3"/>
  <c r="O54" i="9"/>
  <c r="N54" i="9" s="1"/>
  <c r="M16" i="9" s="1"/>
  <c r="J147" i="9"/>
  <c r="M147" i="9"/>
  <c r="D147" i="9"/>
  <c r="G147" i="9"/>
  <c r="D239" i="9"/>
  <c r="J239" i="9"/>
  <c r="G239" i="9"/>
  <c r="M239" i="9"/>
  <c r="G100" i="9"/>
  <c r="D100" i="9"/>
  <c r="J100" i="9"/>
  <c r="M100" i="9"/>
  <c r="J38" i="9"/>
  <c r="G38" i="9"/>
  <c r="M38" i="9"/>
  <c r="D38" i="9"/>
  <c r="D149" i="9"/>
  <c r="M149" i="9"/>
  <c r="J149" i="9"/>
  <c r="G149" i="9"/>
  <c r="M12" i="5"/>
  <c r="N12" i="5"/>
  <c r="L12" i="5"/>
  <c r="D116" i="9"/>
  <c r="M116" i="9"/>
  <c r="J116" i="9"/>
  <c r="G116" i="9"/>
  <c r="M11" i="5"/>
  <c r="N11" i="5"/>
  <c r="L11" i="5"/>
  <c r="Q68" i="3"/>
  <c r="R68" i="3"/>
  <c r="P68" i="3"/>
  <c r="D121" i="9"/>
  <c r="J121" i="9"/>
  <c r="G121" i="9"/>
  <c r="M121" i="9"/>
  <c r="J103" i="9"/>
  <c r="G103" i="9"/>
  <c r="M103" i="9"/>
  <c r="D103" i="9"/>
  <c r="M33" i="3"/>
  <c r="L33" i="3"/>
  <c r="N33" i="3"/>
  <c r="D81" i="9"/>
  <c r="M81" i="9"/>
  <c r="G81" i="9"/>
  <c r="J81" i="9"/>
  <c r="J57" i="3"/>
  <c r="I57" i="3"/>
  <c r="H57" i="3"/>
  <c r="M16" i="5"/>
  <c r="N16" i="5"/>
  <c r="L16" i="5"/>
  <c r="J24" i="9"/>
  <c r="G24" i="9"/>
  <c r="M24" i="9"/>
  <c r="D24" i="9"/>
  <c r="C206" i="9"/>
  <c r="M174" i="9"/>
  <c r="D174" i="9"/>
  <c r="G174" i="9"/>
  <c r="J174" i="9"/>
  <c r="G238" i="9"/>
  <c r="M238" i="9"/>
  <c r="D238" i="9"/>
  <c r="J238" i="9"/>
  <c r="L34" i="3"/>
  <c r="N34" i="3"/>
  <c r="M34" i="3"/>
  <c r="D203" i="9"/>
  <c r="G203" i="9"/>
  <c r="J203" i="9"/>
  <c r="M203" i="9"/>
  <c r="D240" i="9"/>
  <c r="J240" i="9"/>
  <c r="G240" i="9"/>
  <c r="M240" i="9"/>
  <c r="N64" i="3"/>
  <c r="L64" i="3"/>
  <c r="M64" i="3"/>
  <c r="L45" i="3"/>
  <c r="N45" i="3"/>
  <c r="M45" i="3"/>
  <c r="D231" i="9"/>
  <c r="M231" i="9"/>
  <c r="G231" i="9"/>
  <c r="J231" i="9"/>
  <c r="G212" i="9"/>
  <c r="D212" i="9"/>
  <c r="M212" i="9"/>
  <c r="J212" i="9"/>
  <c r="C244" i="9"/>
  <c r="M118" i="9"/>
  <c r="D118" i="9"/>
  <c r="G118" i="9"/>
  <c r="J118" i="9"/>
  <c r="R75" i="3"/>
  <c r="P75" i="3"/>
  <c r="Q75" i="3"/>
  <c r="G98" i="9"/>
  <c r="C130" i="9"/>
  <c r="D98" i="9"/>
  <c r="J98" i="9"/>
  <c r="M98" i="9"/>
  <c r="M204" i="9"/>
  <c r="J204" i="9"/>
  <c r="G204" i="9"/>
  <c r="D204" i="9"/>
  <c r="R45" i="3"/>
  <c r="Q45" i="3"/>
  <c r="P45" i="3"/>
  <c r="R72" i="3"/>
  <c r="P72" i="3"/>
  <c r="Q72" i="3"/>
  <c r="L22" i="3"/>
  <c r="M22" i="3"/>
  <c r="N22" i="3"/>
  <c r="M17" i="3"/>
  <c r="N17" i="3"/>
  <c r="L17" i="3"/>
  <c r="M197" i="9"/>
  <c r="J197" i="9"/>
  <c r="D197" i="9"/>
  <c r="G197" i="9"/>
  <c r="P57" i="3"/>
  <c r="Q57" i="3"/>
  <c r="R57" i="3"/>
  <c r="N24" i="5"/>
  <c r="L24" i="5"/>
  <c r="M24" i="5"/>
  <c r="D41" i="9"/>
  <c r="M41" i="9"/>
  <c r="G41" i="9"/>
  <c r="J41" i="9"/>
  <c r="J33" i="3"/>
  <c r="I33" i="3"/>
  <c r="H33" i="3"/>
  <c r="L14" i="5"/>
  <c r="M14" i="5"/>
  <c r="N14" i="5"/>
  <c r="L63" i="3"/>
  <c r="M63" i="3"/>
  <c r="N63" i="3"/>
  <c r="N17" i="5"/>
  <c r="L17" i="5"/>
  <c r="M17" i="5"/>
  <c r="J262" i="9"/>
  <c r="D262" i="9"/>
  <c r="M262" i="9"/>
  <c r="G262" i="9"/>
  <c r="L61" i="3"/>
  <c r="N61" i="3"/>
  <c r="M61" i="3"/>
  <c r="M46" i="3"/>
  <c r="N46" i="3"/>
  <c r="L46" i="3"/>
  <c r="P38" i="3"/>
  <c r="R38" i="3"/>
  <c r="Q38" i="3"/>
  <c r="J67" i="3"/>
  <c r="H67" i="3"/>
  <c r="I67" i="3"/>
  <c r="M222" i="9"/>
  <c r="J222" i="9"/>
  <c r="D222" i="9"/>
  <c r="G222" i="9"/>
  <c r="G217" i="9"/>
  <c r="D217" i="9"/>
  <c r="J217" i="9"/>
  <c r="M217" i="9"/>
  <c r="J68" i="9"/>
  <c r="G68" i="9"/>
  <c r="M68" i="9"/>
  <c r="D68" i="9"/>
  <c r="J66" i="9"/>
  <c r="M66" i="9"/>
  <c r="D66" i="9"/>
  <c r="G66" i="9"/>
  <c r="M273" i="9"/>
  <c r="J273" i="9"/>
  <c r="D273" i="9"/>
  <c r="G273" i="9"/>
  <c r="I70" i="3"/>
  <c r="J70" i="3"/>
  <c r="H70" i="3"/>
  <c r="M16" i="3"/>
  <c r="N16" i="3"/>
  <c r="L16" i="3"/>
  <c r="N13" i="5"/>
  <c r="M13" i="5"/>
  <c r="L13" i="5"/>
  <c r="J31" i="3"/>
  <c r="I31" i="3"/>
  <c r="H31" i="3"/>
  <c r="M237" i="9"/>
  <c r="D237" i="9"/>
  <c r="J237" i="9"/>
  <c r="G237" i="9"/>
  <c r="J191" i="9"/>
  <c r="D191" i="9"/>
  <c r="G191" i="9"/>
  <c r="M191" i="9"/>
  <c r="G192" i="9"/>
  <c r="M192" i="9"/>
  <c r="D192" i="9"/>
  <c r="J192" i="9"/>
  <c r="D105" i="9"/>
  <c r="M105" i="9"/>
  <c r="G105" i="9"/>
  <c r="J105" i="9"/>
  <c r="M275" i="9"/>
  <c r="G275" i="9"/>
  <c r="J275" i="9"/>
  <c r="D275" i="9"/>
  <c r="J47" i="9"/>
  <c r="G47" i="9"/>
  <c r="M47" i="9"/>
  <c r="D47" i="9"/>
  <c r="R46" i="3"/>
  <c r="Q46" i="3"/>
  <c r="P46" i="3"/>
  <c r="D63" i="9"/>
  <c r="M63" i="9"/>
  <c r="J63" i="9"/>
  <c r="G63" i="9"/>
  <c r="G186" i="9"/>
  <c r="D186" i="9"/>
  <c r="J186" i="9"/>
  <c r="M186" i="9"/>
  <c r="L10" i="5"/>
  <c r="M10" i="5"/>
  <c r="N10" i="5"/>
  <c r="J158" i="9"/>
  <c r="D158" i="9"/>
  <c r="G158" i="9"/>
  <c r="M158" i="9"/>
  <c r="R48" i="3"/>
  <c r="P48" i="3"/>
  <c r="Q48" i="3"/>
  <c r="M23" i="3"/>
  <c r="N23" i="3"/>
  <c r="L23" i="3"/>
  <c r="D194" i="9"/>
  <c r="G194" i="9"/>
  <c r="J194" i="9"/>
  <c r="M194" i="9"/>
  <c r="D183" i="9"/>
  <c r="G183" i="9"/>
  <c r="M183" i="9"/>
  <c r="J183" i="9"/>
  <c r="J236" i="9"/>
  <c r="M236" i="9"/>
  <c r="D236" i="9"/>
  <c r="G236" i="9"/>
  <c r="J142" i="9"/>
  <c r="G142" i="9"/>
  <c r="D142" i="9"/>
  <c r="M142" i="9"/>
  <c r="J190" i="9"/>
  <c r="M190" i="9"/>
  <c r="D190" i="9"/>
  <c r="G190" i="9"/>
  <c r="R31" i="3"/>
  <c r="P31" i="3"/>
  <c r="Q31" i="3"/>
  <c r="M36" i="3"/>
  <c r="N36" i="3"/>
  <c r="L36" i="3"/>
  <c r="P67" i="3"/>
  <c r="R67" i="3"/>
  <c r="Q67" i="3"/>
  <c r="D36" i="9"/>
  <c r="G36" i="9"/>
  <c r="M36" i="9"/>
  <c r="J36" i="9"/>
  <c r="R34" i="3"/>
  <c r="P34" i="3"/>
  <c r="Q34" i="3"/>
  <c r="P73" i="3"/>
  <c r="Q73" i="3"/>
  <c r="R73" i="3"/>
  <c r="P39" i="3"/>
  <c r="R39" i="3"/>
  <c r="Q39" i="3"/>
  <c r="I46" i="3"/>
  <c r="J46" i="3"/>
  <c r="H46" i="3"/>
  <c r="D226" i="9"/>
  <c r="G226" i="9"/>
  <c r="J226" i="9"/>
  <c r="M226" i="9"/>
  <c r="N56" i="3"/>
  <c r="L56" i="3"/>
  <c r="M56" i="3"/>
  <c r="J110" i="9"/>
  <c r="G110" i="9"/>
  <c r="D110" i="9"/>
  <c r="M110" i="9"/>
  <c r="D108" i="9"/>
  <c r="J108" i="9"/>
  <c r="M108" i="9"/>
  <c r="G108" i="9"/>
  <c r="M67" i="3"/>
  <c r="N67" i="3"/>
  <c r="L67" i="3"/>
  <c r="P40" i="3"/>
  <c r="R40" i="3"/>
  <c r="Q40" i="3"/>
  <c r="D75" i="9"/>
  <c r="J75" i="9"/>
  <c r="M75" i="9"/>
  <c r="G75" i="9"/>
  <c r="G69" i="9"/>
  <c r="M69" i="9"/>
  <c r="D69" i="9"/>
  <c r="J69" i="9"/>
  <c r="H36" i="3"/>
  <c r="I36" i="3"/>
  <c r="J36" i="3"/>
  <c r="I35" i="3"/>
  <c r="H35" i="3"/>
  <c r="J35" i="3"/>
  <c r="J61" i="9"/>
  <c r="G61" i="9"/>
  <c r="D61" i="9"/>
  <c r="M61" i="9"/>
  <c r="L92" i="9"/>
  <c r="K92" i="9" s="1"/>
  <c r="J4" i="9" s="1"/>
  <c r="M260" i="9"/>
  <c r="D260" i="9"/>
  <c r="J260" i="9"/>
  <c r="G260" i="9"/>
  <c r="D161" i="9"/>
  <c r="J161" i="9"/>
  <c r="G161" i="9"/>
  <c r="M161" i="9"/>
  <c r="Q64" i="3"/>
  <c r="P64" i="3"/>
  <c r="R64" i="3"/>
  <c r="R62" i="3"/>
  <c r="Q62" i="3"/>
  <c r="P62" i="3"/>
  <c r="Q32" i="3"/>
  <c r="R32" i="3"/>
  <c r="P32" i="3"/>
  <c r="D79" i="9"/>
  <c r="J79" i="9"/>
  <c r="G79" i="9"/>
  <c r="M79" i="9"/>
  <c r="R58" i="3"/>
  <c r="Q58" i="3"/>
  <c r="P58" i="3"/>
  <c r="P50" i="3"/>
  <c r="R50" i="3"/>
  <c r="Q50" i="3"/>
  <c r="G120" i="9"/>
  <c r="M120" i="9"/>
  <c r="J120" i="9"/>
  <c r="D120" i="9"/>
  <c r="Q42" i="3"/>
  <c r="P42" i="3"/>
  <c r="R42" i="3"/>
  <c r="J56" i="3"/>
  <c r="I56" i="3"/>
  <c r="H56" i="3"/>
  <c r="I168" i="9"/>
  <c r="H168" i="9" s="1"/>
  <c r="G12" i="9" s="1"/>
  <c r="I44" i="3"/>
  <c r="H44" i="3"/>
  <c r="J44" i="3"/>
  <c r="D31" i="9"/>
  <c r="M31" i="9"/>
  <c r="G31" i="9"/>
  <c r="J31" i="9"/>
  <c r="J29" i="9"/>
  <c r="G29" i="9"/>
  <c r="D29" i="9"/>
  <c r="M29" i="9"/>
  <c r="L41" i="3"/>
  <c r="N41" i="3"/>
  <c r="M41" i="3"/>
  <c r="P47" i="3"/>
  <c r="R47" i="3"/>
  <c r="Q47" i="3"/>
  <c r="J242" i="9"/>
  <c r="D242" i="9"/>
  <c r="G242" i="9"/>
  <c r="M242" i="9"/>
  <c r="L62" i="3"/>
  <c r="M62" i="3"/>
  <c r="N62" i="3"/>
  <c r="L206" i="9"/>
  <c r="K206" i="9" s="1"/>
  <c r="J8" i="9" s="1"/>
  <c r="P60" i="3"/>
  <c r="R60" i="3"/>
  <c r="Q60" i="3"/>
  <c r="D228" i="9"/>
  <c r="M228" i="9"/>
  <c r="G228" i="9"/>
  <c r="J228" i="9"/>
  <c r="D241" i="9"/>
  <c r="M241" i="9"/>
  <c r="G241" i="9"/>
  <c r="J241" i="9"/>
  <c r="G266" i="9"/>
  <c r="M266" i="9"/>
  <c r="J266" i="9"/>
  <c r="D266" i="9"/>
  <c r="D40" i="9"/>
  <c r="J40" i="9"/>
  <c r="M40" i="9"/>
  <c r="G40" i="9"/>
  <c r="G185" i="9"/>
  <c r="D185" i="9"/>
  <c r="M185" i="9"/>
  <c r="J185" i="9"/>
  <c r="G101" i="9"/>
  <c r="M101" i="9"/>
  <c r="J101" i="9"/>
  <c r="D101" i="9"/>
  <c r="L74" i="3"/>
  <c r="N74" i="3"/>
  <c r="M74" i="3"/>
  <c r="D166" i="9"/>
  <c r="J166" i="9"/>
  <c r="G166" i="9"/>
  <c r="M166" i="9"/>
  <c r="D269" i="9"/>
  <c r="M269" i="9"/>
  <c r="G269" i="9"/>
  <c r="J269" i="9"/>
  <c r="J34" i="9"/>
  <c r="M34" i="9"/>
  <c r="G34" i="9"/>
  <c r="D34" i="9"/>
  <c r="N60" i="3"/>
  <c r="L60" i="3"/>
  <c r="M60" i="3"/>
  <c r="L15" i="3"/>
  <c r="M15" i="3"/>
  <c r="N15" i="3"/>
  <c r="I282" i="9"/>
  <c r="H282" i="9" s="1"/>
  <c r="G14" i="9" s="1"/>
  <c r="M24" i="3"/>
  <c r="L24" i="3"/>
  <c r="N24" i="3"/>
  <c r="R33" i="3"/>
  <c r="Q33" i="3"/>
  <c r="P33" i="3"/>
  <c r="I42" i="3"/>
  <c r="H42" i="3"/>
  <c r="J42" i="3"/>
  <c r="J99" i="9"/>
  <c r="D99" i="9"/>
  <c r="G99" i="9"/>
  <c r="M99" i="9"/>
  <c r="N8" i="3"/>
  <c r="M8" i="3"/>
  <c r="L8" i="3"/>
  <c r="J234" i="9"/>
  <c r="G234" i="9"/>
  <c r="D234" i="9"/>
  <c r="M234" i="9"/>
  <c r="L9" i="5"/>
  <c r="M9" i="5"/>
  <c r="N9" i="5"/>
  <c r="P69" i="3"/>
  <c r="R69" i="3"/>
  <c r="Q69" i="3"/>
  <c r="G125" i="9"/>
  <c r="M125" i="9"/>
  <c r="J125" i="9"/>
  <c r="D125" i="9"/>
  <c r="L25" i="3"/>
  <c r="N25" i="3"/>
  <c r="M25" i="3"/>
  <c r="J74" i="3"/>
  <c r="I74" i="3"/>
  <c r="H74" i="3"/>
  <c r="L7" i="5"/>
  <c r="N7" i="5"/>
  <c r="M7" i="5"/>
  <c r="J227" i="9"/>
  <c r="G227" i="9"/>
  <c r="D227" i="9"/>
  <c r="M227" i="9"/>
  <c r="J67" i="9"/>
  <c r="D67" i="9"/>
  <c r="M67" i="9"/>
  <c r="G67" i="9"/>
  <c r="L31" i="3"/>
  <c r="M31" i="3"/>
  <c r="N31" i="3"/>
  <c r="H41" i="3"/>
  <c r="J41" i="3"/>
  <c r="I41" i="3"/>
  <c r="M221" i="9"/>
  <c r="G221" i="9"/>
  <c r="J221" i="9"/>
  <c r="D221" i="9"/>
  <c r="G30" i="9"/>
  <c r="D30" i="9"/>
  <c r="M30" i="9"/>
  <c r="J30" i="9"/>
  <c r="D267" i="9"/>
  <c r="M267" i="9"/>
  <c r="G267" i="9"/>
  <c r="J267" i="9"/>
  <c r="L58" i="3"/>
  <c r="M58" i="3"/>
  <c r="N58" i="3"/>
  <c r="M143" i="9"/>
  <c r="J143" i="9"/>
  <c r="G143" i="9"/>
  <c r="D143" i="9"/>
  <c r="D253" i="9"/>
  <c r="J253" i="9"/>
  <c r="M253" i="9"/>
  <c r="G253" i="9"/>
  <c r="L6" i="5"/>
  <c r="N6" i="5"/>
  <c r="M6" i="5"/>
  <c r="L168" i="9"/>
  <c r="K168" i="9" s="1"/>
  <c r="J12" i="9" s="1"/>
  <c r="D198" i="9"/>
  <c r="J198" i="9"/>
  <c r="G198" i="9"/>
  <c r="M198" i="9"/>
  <c r="M70" i="3"/>
  <c r="N70" i="3"/>
  <c r="L70" i="3"/>
  <c r="M23" i="9"/>
  <c r="G23" i="9"/>
  <c r="D23" i="9"/>
  <c r="J23" i="9"/>
  <c r="I47" i="3"/>
  <c r="H47" i="3"/>
  <c r="J47" i="3"/>
  <c r="D113" i="9"/>
  <c r="G113" i="9"/>
  <c r="J113" i="9"/>
  <c r="M113" i="9"/>
  <c r="N21" i="3"/>
  <c r="L21" i="3"/>
  <c r="M21" i="3"/>
  <c r="M21" i="5"/>
  <c r="L21" i="5"/>
  <c r="N21" i="5"/>
  <c r="D184" i="9"/>
  <c r="J184" i="9"/>
  <c r="M184" i="9"/>
  <c r="G184" i="9"/>
  <c r="G117" i="9"/>
  <c r="M117" i="9"/>
  <c r="J117" i="9"/>
  <c r="D117" i="9"/>
  <c r="D196" i="9"/>
  <c r="G196" i="9"/>
  <c r="M196" i="9"/>
  <c r="J196" i="9"/>
  <c r="J115" i="9"/>
  <c r="M115" i="9"/>
  <c r="D115" i="9"/>
  <c r="G115" i="9"/>
  <c r="J64" i="9"/>
  <c r="D64" i="9"/>
  <c r="M64" i="9"/>
  <c r="G64" i="9"/>
  <c r="M84" i="9"/>
  <c r="D84" i="9"/>
  <c r="J84" i="9"/>
  <c r="G84" i="9"/>
  <c r="I73" i="3"/>
  <c r="H73" i="3"/>
  <c r="J73" i="3"/>
  <c r="F244" i="9"/>
  <c r="E244" i="9" s="1"/>
  <c r="D10" i="9" s="1"/>
  <c r="J33" i="9"/>
  <c r="D33" i="9"/>
  <c r="M33" i="9"/>
  <c r="G33" i="9"/>
  <c r="I92" i="9"/>
  <c r="H92" i="9" s="1"/>
  <c r="G4" i="9" s="1"/>
  <c r="F206" i="9"/>
  <c r="E206" i="9" s="1"/>
  <c r="D8" i="9" s="1"/>
  <c r="R36" i="3"/>
  <c r="P36" i="3"/>
  <c r="Q36" i="3"/>
  <c r="H49" i="3"/>
  <c r="J49" i="3"/>
  <c r="I49" i="3"/>
  <c r="O130" i="9"/>
  <c r="N130" i="9" s="1"/>
  <c r="M6" i="9" s="1"/>
  <c r="J151" i="9"/>
  <c r="G151" i="9"/>
  <c r="M151" i="9"/>
  <c r="D151" i="9"/>
  <c r="M123" i="9"/>
  <c r="J123" i="9"/>
  <c r="D123" i="9"/>
  <c r="G123" i="9"/>
  <c r="J66" i="3"/>
  <c r="I66" i="3"/>
  <c r="H66" i="3"/>
  <c r="G77" i="9"/>
  <c r="J77" i="9"/>
  <c r="D77" i="9"/>
  <c r="M77" i="9"/>
  <c r="D160" i="9"/>
  <c r="M160" i="9"/>
  <c r="J160" i="9"/>
  <c r="G160" i="9"/>
  <c r="D263" i="9"/>
  <c r="G263" i="9"/>
  <c r="J263" i="9"/>
  <c r="M263" i="9"/>
  <c r="D62" i="9"/>
  <c r="M62" i="9"/>
  <c r="J62" i="9"/>
  <c r="G62" i="9"/>
  <c r="M52" i="9"/>
  <c r="G52" i="9"/>
  <c r="J52" i="9"/>
  <c r="D52" i="9"/>
  <c r="J257" i="9"/>
  <c r="M257" i="9"/>
  <c r="D257" i="9"/>
  <c r="G257" i="9"/>
  <c r="M216" i="9"/>
  <c r="G216" i="9"/>
  <c r="D216" i="9"/>
  <c r="J216" i="9"/>
  <c r="M175" i="9"/>
  <c r="D175" i="9"/>
  <c r="G175" i="9"/>
  <c r="J175" i="9"/>
  <c r="G145" i="9"/>
  <c r="J145" i="9"/>
  <c r="D145" i="9"/>
  <c r="M145" i="9"/>
  <c r="H58" i="3"/>
  <c r="J58" i="3"/>
  <c r="I58" i="3"/>
  <c r="M164" i="9"/>
  <c r="D164" i="9"/>
  <c r="G164" i="9"/>
  <c r="J164" i="9"/>
  <c r="M124" i="9"/>
  <c r="G124" i="9"/>
  <c r="J124" i="9"/>
  <c r="D124" i="9"/>
  <c r="I37" i="3"/>
  <c r="J37" i="3"/>
  <c r="H37" i="3"/>
  <c r="J34" i="3"/>
  <c r="I34" i="3"/>
  <c r="H34" i="3"/>
  <c r="N10" i="3"/>
  <c r="M10" i="3"/>
  <c r="L10" i="3"/>
  <c r="M45" i="9"/>
  <c r="J45" i="9"/>
  <c r="D45" i="9"/>
  <c r="G45" i="9"/>
  <c r="J111" i="9"/>
  <c r="D111" i="9"/>
  <c r="M111" i="9"/>
  <c r="G111" i="9"/>
  <c r="D193" i="9"/>
  <c r="J193" i="9"/>
  <c r="G193" i="9"/>
  <c r="M193" i="9"/>
  <c r="D278" i="9"/>
  <c r="J278" i="9"/>
  <c r="M278" i="9"/>
  <c r="G278" i="9"/>
  <c r="M104" i="9"/>
  <c r="J104" i="9"/>
  <c r="D104" i="9"/>
  <c r="G104" i="9"/>
  <c r="J72" i="9"/>
  <c r="D72" i="9"/>
  <c r="G72" i="9"/>
  <c r="M72" i="9"/>
  <c r="I62" i="3"/>
  <c r="J62" i="3"/>
  <c r="H62" i="3"/>
  <c r="G86" i="9"/>
  <c r="J86" i="9"/>
  <c r="D86" i="9"/>
  <c r="M86" i="9"/>
  <c r="L9" i="3"/>
  <c r="N9" i="3"/>
  <c r="M9" i="3"/>
  <c r="M150" i="9"/>
  <c r="D150" i="9"/>
  <c r="J150" i="9"/>
  <c r="G150" i="9"/>
  <c r="I244" i="9"/>
  <c r="H244" i="9" s="1"/>
  <c r="G10" i="9" s="1"/>
  <c r="N25" i="5"/>
  <c r="L25" i="5"/>
  <c r="M25" i="5"/>
  <c r="D83" i="9"/>
  <c r="M83" i="9"/>
  <c r="J83" i="9"/>
  <c r="G83" i="9"/>
  <c r="G152" i="9"/>
  <c r="J152" i="9"/>
  <c r="D152" i="9"/>
  <c r="M152" i="9"/>
  <c r="D43" i="9"/>
  <c r="G43" i="9"/>
  <c r="J43" i="9"/>
  <c r="M43" i="9"/>
  <c r="D201" i="9"/>
  <c r="M201" i="9"/>
  <c r="G201" i="9"/>
  <c r="J201" i="9"/>
  <c r="D195" i="9"/>
  <c r="J195" i="9"/>
  <c r="M195" i="9"/>
  <c r="G195" i="9"/>
  <c r="Q43" i="3"/>
  <c r="P43" i="3"/>
  <c r="R43" i="3"/>
  <c r="M162" i="9"/>
  <c r="D162" i="9"/>
  <c r="J162" i="9"/>
  <c r="G162" i="9"/>
  <c r="D235" i="9"/>
  <c r="M235" i="9"/>
  <c r="G235" i="9"/>
  <c r="J235" i="9"/>
  <c r="J141" i="9"/>
  <c r="D141" i="9"/>
  <c r="M141" i="9"/>
  <c r="G141" i="9"/>
  <c r="D126" i="9"/>
  <c r="G126" i="9"/>
  <c r="J126" i="9"/>
  <c r="M126" i="9"/>
  <c r="R61" i="3"/>
  <c r="P61" i="3"/>
  <c r="Q61" i="3"/>
  <c r="R74" i="3"/>
  <c r="Q74" i="3"/>
  <c r="P74" i="3"/>
  <c r="M47" i="3"/>
  <c r="N47" i="3"/>
  <c r="L47" i="3"/>
  <c r="D138" i="9"/>
  <c r="M138" i="9"/>
  <c r="G138" i="9"/>
  <c r="J138" i="9"/>
  <c r="N11" i="3"/>
  <c r="L11" i="3"/>
  <c r="M11" i="3"/>
  <c r="J65" i="3"/>
  <c r="I65" i="3"/>
  <c r="H65" i="3"/>
  <c r="F168" i="9"/>
  <c r="E168" i="9" s="1"/>
  <c r="D12" i="9" s="1"/>
  <c r="J276" i="9"/>
  <c r="D276" i="9"/>
  <c r="G276" i="9"/>
  <c r="M276" i="9"/>
  <c r="D74" i="9"/>
  <c r="M74" i="9"/>
  <c r="J74" i="9"/>
  <c r="G74" i="9"/>
  <c r="M66" i="3"/>
  <c r="L66" i="3"/>
  <c r="N66" i="3"/>
  <c r="L14" i="3"/>
  <c r="N14" i="3"/>
  <c r="M14" i="3"/>
  <c r="N69" i="3"/>
  <c r="M69" i="3"/>
  <c r="L69" i="3"/>
  <c r="M22" i="5"/>
  <c r="L22" i="5"/>
  <c r="N22" i="5"/>
  <c r="O92" i="9"/>
  <c r="N92" i="9" s="1"/>
  <c r="M4" i="9" s="1"/>
  <c r="D28" i="9"/>
  <c r="M28" i="9"/>
  <c r="G28" i="9"/>
  <c r="J28" i="9"/>
  <c r="N20" i="5"/>
  <c r="L20" i="5"/>
  <c r="M20" i="5"/>
  <c r="P66" i="3"/>
  <c r="R66" i="3"/>
  <c r="Q66" i="3"/>
  <c r="R35" i="3"/>
  <c r="Q35" i="3"/>
  <c r="P35" i="3"/>
  <c r="D76" i="9"/>
  <c r="G76" i="9"/>
  <c r="M76" i="9"/>
  <c r="J76" i="9"/>
  <c r="M264" i="9"/>
  <c r="G264" i="9"/>
  <c r="D264" i="9"/>
  <c r="J264" i="9"/>
  <c r="J277" i="9"/>
  <c r="M277" i="9"/>
  <c r="D277" i="9"/>
  <c r="G277" i="9"/>
  <c r="M265" i="9"/>
  <c r="J265" i="9"/>
  <c r="G265" i="9"/>
  <c r="D265" i="9"/>
  <c r="G50" i="9"/>
  <c r="D50" i="9"/>
  <c r="M50" i="9"/>
  <c r="J50" i="9"/>
  <c r="M39" i="9"/>
  <c r="G39" i="9"/>
  <c r="J39" i="9"/>
  <c r="D39" i="9"/>
  <c r="M26" i="9"/>
  <c r="D26" i="9"/>
  <c r="G26" i="9"/>
  <c r="J26" i="9"/>
  <c r="J68" i="3"/>
  <c r="H68" i="3"/>
  <c r="I68" i="3"/>
  <c r="L15" i="5"/>
  <c r="M15" i="5"/>
  <c r="N15" i="5"/>
  <c r="G261" i="9"/>
  <c r="M261" i="9"/>
  <c r="J261" i="9"/>
  <c r="D261" i="9"/>
  <c r="G251" i="9"/>
  <c r="M251" i="9"/>
  <c r="J251" i="9"/>
  <c r="D251" i="9"/>
  <c r="Q65" i="3"/>
  <c r="P65" i="3"/>
  <c r="R65" i="3"/>
  <c r="J42" i="9"/>
  <c r="G42" i="9"/>
  <c r="D42" i="9"/>
  <c r="M42" i="9"/>
  <c r="N38" i="3"/>
  <c r="M38" i="3"/>
  <c r="L38" i="3"/>
  <c r="L35" i="3"/>
  <c r="M35" i="3"/>
  <c r="N35" i="3"/>
  <c r="N75" i="3"/>
  <c r="L75" i="3"/>
  <c r="M75" i="3"/>
  <c r="G46" i="9"/>
  <c r="M46" i="9"/>
  <c r="J46" i="9"/>
  <c r="D46" i="9"/>
  <c r="O282" i="9"/>
  <c r="N282" i="9" s="1"/>
  <c r="M14" i="9" s="1"/>
  <c r="J258" i="9"/>
  <c r="D258" i="9"/>
  <c r="M258" i="9"/>
  <c r="G258" i="9"/>
  <c r="M254" i="9"/>
  <c r="J254" i="9"/>
  <c r="D254" i="9"/>
  <c r="G254" i="9"/>
  <c r="J256" i="9"/>
  <c r="M256" i="9"/>
  <c r="G256" i="9"/>
  <c r="D256" i="9"/>
  <c r="I69" i="3"/>
  <c r="H69" i="3"/>
  <c r="J69" i="3"/>
  <c r="L73" i="3"/>
  <c r="N73" i="3"/>
  <c r="M73" i="3"/>
  <c r="Q44" i="3"/>
  <c r="R44" i="3"/>
  <c r="P44" i="3"/>
  <c r="J225" i="9"/>
  <c r="M225" i="9"/>
  <c r="D225" i="9"/>
  <c r="G225" i="9"/>
  <c r="L20" i="3"/>
  <c r="N20" i="3"/>
  <c r="M20" i="3"/>
  <c r="L13" i="3"/>
  <c r="N13" i="3"/>
  <c r="M13" i="3"/>
  <c r="L54" i="9"/>
  <c r="K54" i="9" s="1"/>
  <c r="J16" i="9" s="1"/>
  <c r="P71" i="3"/>
  <c r="R71" i="3"/>
  <c r="Q71" i="3"/>
  <c r="L244" i="9"/>
  <c r="K244" i="9" s="1"/>
  <c r="J10" i="9" s="1"/>
  <c r="M128" i="9"/>
  <c r="D128" i="9"/>
  <c r="G128" i="9"/>
  <c r="J128" i="9"/>
  <c r="D146" i="9"/>
  <c r="M146" i="9"/>
  <c r="G146" i="9"/>
  <c r="J146" i="9"/>
  <c r="J182" i="9"/>
  <c r="G182" i="9"/>
  <c r="M182" i="9"/>
  <c r="D182" i="9"/>
  <c r="J45" i="3"/>
  <c r="I45" i="3"/>
  <c r="H45" i="3"/>
  <c r="D35" i="9"/>
  <c r="M35" i="9"/>
  <c r="G35" i="9"/>
  <c r="J35" i="9"/>
  <c r="J22" i="9"/>
  <c r="G22" i="9"/>
  <c r="M22" i="9"/>
  <c r="D22" i="9"/>
  <c r="C54" i="9"/>
  <c r="I75" i="3"/>
  <c r="J75" i="3"/>
  <c r="H75" i="3"/>
  <c r="J270" i="9"/>
  <c r="G270" i="9"/>
  <c r="D270" i="9"/>
  <c r="M270" i="9"/>
  <c r="G214" i="9"/>
  <c r="D214" i="9"/>
  <c r="M214" i="9"/>
  <c r="J214" i="9"/>
  <c r="I39" i="3"/>
  <c r="J39" i="3"/>
  <c r="H39" i="3"/>
  <c r="G127" i="9"/>
  <c r="M127" i="9"/>
  <c r="D127" i="9"/>
  <c r="J127" i="9"/>
  <c r="D73" i="9"/>
  <c r="G73" i="9"/>
  <c r="M73" i="9"/>
  <c r="J73" i="9"/>
  <c r="I130" i="9"/>
  <c r="H130" i="9" s="1"/>
  <c r="G6" i="9" s="1"/>
  <c r="M49" i="3"/>
  <c r="L49" i="3"/>
  <c r="N49" i="3"/>
  <c r="J64" i="3"/>
  <c r="I64" i="3"/>
  <c r="H64" i="3"/>
  <c r="J157" i="9"/>
  <c r="D157" i="9"/>
  <c r="G157" i="9"/>
  <c r="M157" i="9"/>
  <c r="I38" i="3"/>
  <c r="J38" i="3"/>
  <c r="H38" i="3"/>
  <c r="L39" i="3"/>
  <c r="M39" i="3"/>
  <c r="N39" i="3"/>
  <c r="O206" i="9"/>
  <c r="N206" i="9" s="1"/>
  <c r="M8" i="9" s="1"/>
  <c r="J60" i="9"/>
  <c r="G60" i="9"/>
  <c r="M60" i="9"/>
  <c r="C92" i="9"/>
  <c r="D60" i="9"/>
  <c r="J114" i="9"/>
  <c r="D114" i="9"/>
  <c r="M114" i="9"/>
  <c r="G114" i="9"/>
  <c r="D213" i="9"/>
  <c r="J213" i="9"/>
  <c r="G213" i="9"/>
  <c r="M213" i="9"/>
  <c r="J44" i="9"/>
  <c r="D44" i="9"/>
  <c r="G44" i="9"/>
  <c r="M44" i="9"/>
  <c r="M32" i="3"/>
  <c r="L32" i="3"/>
  <c r="N32" i="3"/>
  <c r="M187" i="9"/>
  <c r="J187" i="9"/>
  <c r="G187" i="9"/>
  <c r="D187" i="9"/>
  <c r="G71" i="9"/>
  <c r="M71" i="9"/>
  <c r="J71" i="9"/>
  <c r="D71" i="9"/>
  <c r="L8" i="5"/>
  <c r="N8" i="5"/>
  <c r="M8" i="5"/>
  <c r="J280" i="9"/>
  <c r="M280" i="9"/>
  <c r="G280" i="9"/>
  <c r="D280" i="9"/>
  <c r="D27" i="9"/>
  <c r="M27" i="9"/>
  <c r="G27" i="9"/>
  <c r="J27" i="9"/>
  <c r="N65" i="3"/>
  <c r="L65" i="3"/>
  <c r="M65" i="3"/>
  <c r="G179" i="9"/>
  <c r="M179" i="9"/>
  <c r="J179" i="9"/>
  <c r="D179" i="9"/>
  <c r="M87" i="9"/>
  <c r="D87" i="9"/>
  <c r="J87" i="9"/>
  <c r="G87" i="9"/>
  <c r="G102" i="9"/>
  <c r="M102" i="9"/>
  <c r="J102" i="9"/>
  <c r="D102" i="9"/>
  <c r="Q49" i="3"/>
  <c r="P49" i="3"/>
  <c r="R49" i="3"/>
  <c r="I206" i="9"/>
  <c r="H206" i="9" s="1"/>
  <c r="G8" i="9" s="1"/>
  <c r="G155" i="9"/>
  <c r="M155" i="9"/>
  <c r="D155" i="9"/>
  <c r="J155" i="9"/>
  <c r="N37" i="3"/>
  <c r="L37" i="3"/>
  <c r="M37" i="3"/>
  <c r="M229" i="9"/>
  <c r="D229" i="9"/>
  <c r="G229" i="9"/>
  <c r="J229" i="9"/>
  <c r="D78" i="9"/>
  <c r="G78" i="9"/>
  <c r="J78" i="9"/>
  <c r="M78" i="9"/>
  <c r="J32" i="9"/>
  <c r="D32" i="9"/>
  <c r="G32" i="9"/>
  <c r="M32" i="9"/>
  <c r="N7" i="3"/>
  <c r="M7" i="3"/>
  <c r="L7" i="3"/>
  <c r="M154" i="9"/>
  <c r="D154" i="9"/>
  <c r="J154" i="9"/>
  <c r="G154" i="9"/>
  <c r="D255" i="9"/>
  <c r="M255" i="9"/>
  <c r="G255" i="9"/>
  <c r="J255" i="9"/>
  <c r="G177" i="9"/>
  <c r="M177" i="9"/>
  <c r="D177" i="9"/>
  <c r="J177" i="9"/>
  <c r="F92" i="9"/>
  <c r="E92" i="9" s="1"/>
  <c r="D4" i="9" s="1"/>
  <c r="D140" i="9"/>
  <c r="M140" i="9"/>
  <c r="G140" i="9"/>
  <c r="J140" i="9"/>
  <c r="L23" i="5"/>
  <c r="N23" i="5"/>
  <c r="M23" i="5"/>
  <c r="N42" i="3"/>
  <c r="L42" i="3"/>
  <c r="M42" i="3"/>
  <c r="G136" i="9"/>
  <c r="J136" i="9"/>
  <c r="C168" i="9"/>
  <c r="M136" i="9"/>
  <c r="D136" i="9"/>
  <c r="M44" i="3"/>
  <c r="L44" i="3"/>
  <c r="N44" i="3"/>
  <c r="J268" i="9"/>
  <c r="D268" i="9"/>
  <c r="G268" i="9"/>
  <c r="M268" i="9"/>
  <c r="I54" i="9"/>
  <c r="H54" i="9" s="1"/>
  <c r="G16" i="9" s="1"/>
  <c r="M215" i="9"/>
  <c r="G215" i="9"/>
  <c r="D215" i="9"/>
  <c r="J215" i="9"/>
  <c r="M168" i="9" l="1"/>
  <c r="J168" i="9"/>
  <c r="D92" i="9"/>
  <c r="J92" i="9"/>
  <c r="G54" i="9"/>
  <c r="D130" i="9"/>
  <c r="M244" i="9"/>
  <c r="J206" i="9"/>
  <c r="G282" i="9"/>
  <c r="M92" i="9"/>
  <c r="D168" i="9"/>
  <c r="G168" i="9"/>
  <c r="J54" i="9"/>
  <c r="D244" i="9"/>
  <c r="G206" i="9"/>
  <c r="J282" i="9"/>
  <c r="D54" i="9"/>
  <c r="M130" i="9"/>
  <c r="G130" i="9"/>
  <c r="G244" i="9"/>
  <c r="D206" i="9"/>
  <c r="E54" i="9"/>
  <c r="D16" i="9" s="1"/>
  <c r="B12" i="9" s="1"/>
  <c r="B4" i="9"/>
  <c r="B3" i="9"/>
  <c r="B10" i="9"/>
  <c r="B11" i="9"/>
  <c r="B15" i="9"/>
  <c r="B7" i="9"/>
  <c r="B9" i="9"/>
  <c r="D282" i="9"/>
  <c r="G92" i="9"/>
  <c r="M54" i="9"/>
  <c r="J130" i="9"/>
  <c r="J244" i="9"/>
  <c r="M206" i="9"/>
  <c r="M282" i="9"/>
  <c r="B8" i="9" l="1"/>
  <c r="B16" i="9"/>
  <c r="B13" i="9"/>
  <c r="B14" i="9"/>
  <c r="B5" i="9"/>
  <c r="B6" i="9"/>
</calcChain>
</file>

<file path=xl/sharedStrings.xml><?xml version="1.0" encoding="utf-8"?>
<sst xmlns="http://schemas.openxmlformats.org/spreadsheetml/2006/main" count="5404" uniqueCount="331">
  <si>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</si>
  <si>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</si>
  <si>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</si>
  <si>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</si>
  <si>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</si>
  <si>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</si>
  <si>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</si>
  <si>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</si>
  <si>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</si>
  <si>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</si>
  <si>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</si>
  <si>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</si>
  <si>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</si>
  <si>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</si>
  <si>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</si>
  <si>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</si>
  <si>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</si>
  <si>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</si>
  <si>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</si>
  <si>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</si>
  <si>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</si>
  <si>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</si>
  <si>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</si>
  <si>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</si>
  <si>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</si>
  <si>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</si>
  <si>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</si>
  <si>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</si>
  <si>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</si>
  <si>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</si>
  <si>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</si>
  <si>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</si>
  <si>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</si>
  <si>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</si>
  <si>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</si>
  <si>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</si>
  <si>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</si>
  <si>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</si>
  <si>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</si>
  <si>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</si>
  <si>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</si>
  <si>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</si>
  <si>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</si>
  <si>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</si>
  <si>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</si>
  <si>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</si>
  <si>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</si>
  <si>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</si>
  <si>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</si>
  <si>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</si>
  <si>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</si>
  <si>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</si>
  <si>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</si>
  <si>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</si>
  <si>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</si>
  <si>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</si>
  <si>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</si>
  <si>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</si>
  <si>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</si>
  <si>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</si>
  <si>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</si>
  <si>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</si>
  <si>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</si>
  <si>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</si>
  <si>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</si>
  <si>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</si>
  <si>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</si>
  <si>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</si>
  <si>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</si>
  <si>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</si>
  <si>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</si>
  <si>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</si>
  <si>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</si>
  <si>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</si>
  <si>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</si>
  <si>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</si>
  <si>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</si>
  <si>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</si>
  <si>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</si>
  <si>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</si>
  <si>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</si>
  <si>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</si>
  <si>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</si>
  <si>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</si>
  <si>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</si>
  <si>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</si>
  <si>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</si>
  <si>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</si>
  <si>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</si>
  <si>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</si>
  <si>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</si>
  <si>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</si>
  <si>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</si>
  <si>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</si>
  <si>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</si>
  <si>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</si>
  <si>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</si>
  <si>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</si>
  <si>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</si>
  <si>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</si>
  <si>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</si>
  <si>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</si>
  <si>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</si>
  <si>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</si>
  <si>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</si>
  <si>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</si>
  <si>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</si>
  <si>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</si>
  <si>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</si>
  <si>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</si>
  <si>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</si>
  <si>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</si>
  <si>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</si>
  <si>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</si>
  <si>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</si>
  <si>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</si>
  <si>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</si>
  <si>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</si>
  <si>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</si>
  <si>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</si>
  <si>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</si>
  <si>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</si>
  <si>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</si>
  <si>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</si>
  <si>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</si>
  <si>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</si>
  <si>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</si>
  <si>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</si>
  <si>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</si>
  <si>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</si>
  <si>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</si>
  <si>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</si>
  <si>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</si>
  <si>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</si>
  <si>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</si>
  <si>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</si>
  <si>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</si>
  <si>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</si>
  <si>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</si>
  <si>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</si>
  <si>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</si>
  <si>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</si>
  <si>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</si>
  <si>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</si>
  <si>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</si>
  <si>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</si>
  <si>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</si>
  <si>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</si>
  <si>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</si>
  <si>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</si>
  <si>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</si>
  <si>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</si>
  <si>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</si>
  <si>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</si>
  <si>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</si>
  <si>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</si>
  <si>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</si>
  <si>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</si>
  <si>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</si>
  <si>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</si>
  <si>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</si>
  <si>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</si>
  <si>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</si>
  <si>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</si>
  <si>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</si>
  <si>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</si>
  <si>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</si>
  <si>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</si>
  <si>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</si>
  <si>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</si>
  <si>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</si>
  <si>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</si>
  <si>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</si>
  <si>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</si>
  <si>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</si>
  <si>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</si>
  <si>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</si>
  <si>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</si>
  <si>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</si>
  <si>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</si>
  <si>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</si>
  <si>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</si>
  <si>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</si>
  <si>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</si>
  <si>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</si>
  <si>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</si>
  <si>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</si>
  <si>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</si>
  <si>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</si>
  <si>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</si>
  <si>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</si>
  <si>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</si>
  <si>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</si>
  <si>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</si>
  <si>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</si>
  <si>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</si>
  <si>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</si>
  <si>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</si>
  <si>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</si>
  <si>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</si>
  <si>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</si>
  <si>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</si>
  <si>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</si>
  <si>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</si>
  <si>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</si>
  <si>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</si>
  <si>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</si>
  <si>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</si>
  <si>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</si>
  <si>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</si>
  <si>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</si>
  <si>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</si>
  <si>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</si>
  <si>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</si>
  <si>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</si>
  <si>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</si>
  <si>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</si>
  <si>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</si>
  <si>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</si>
  <si>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</si>
  <si>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</si>
  <si>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</si>
  <si>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</si>
  <si>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</si>
  <si>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</si>
  <si>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</si>
  <si>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</si>
  <si>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</si>
  <si>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</si>
  <si>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</si>
  <si>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</si>
  <si>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</si>
  <si>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</si>
  <si>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</si>
  <si>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</si>
  <si>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</si>
  <si>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</si>
  <si>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</si>
  <si>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</si>
  <si>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</si>
  <si>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</si>
  <si>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</si>
  <si>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</si>
  <si>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</si>
  <si>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</si>
  <si>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</si>
  <si>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</si>
  <si>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</si>
  <si>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</si>
  <si>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</si>
  <si>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</si>
  <si>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</si>
  <si>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</si>
  <si>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</si>
  <si>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</si>
  <si>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</si>
  <si>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</si>
  <si>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</si>
  <si>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</si>
  <si>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</si>
  <si>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</si>
  <si>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</si>
  <si>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</si>
  <si>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</si>
  <si>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</si>
  <si>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</si>
  <si>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</si>
  <si>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</si>
  <si>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</si>
  <si>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</si>
  <si>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</si>
  <si>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</si>
  <si>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</si>
  <si>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</si>
  <si>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</si>
  <si>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</si>
  <si>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</si>
  <si>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</si>
  <si>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</si>
  <si>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</si>
  <si>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</si>
  <si>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</si>
  <si>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</si>
  <si>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</si>
  <si>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</si>
  <si>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</si>
  <si>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</si>
  <si>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</si>
  <si>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</si>
  <si>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</si>
  <si>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</si>
  <si>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</si>
  <si>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</si>
  <si>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</si>
  <si>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</si>
  <si>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</si>
  <si>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</si>
  <si>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</si>
  <si>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</si>
  <si>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</si>
  <si>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</si>
  <si>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</si>
  <si>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</si>
  <si>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</si>
  <si>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</si>
  <si>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</si>
  <si>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</si>
  <si>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</si>
  <si>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</si>
  <si>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</si>
  <si>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</si>
  <si>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</si>
  <si>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</si>
  <si>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</si>
  <si>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</si>
  <si>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</si>
  <si>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</si>
  <si>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</si>
  <si>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</si>
  <si>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</si>
  <si>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</si>
  <si>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</si>
  <si>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</si>
  <si>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</si>
  <si>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</si>
  <si>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</si>
  <si>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</si>
  <si>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</si>
  <si>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</si>
  <si>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</si>
  <si>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2021.09.11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</si>
</sst>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8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56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44287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" t="s">
        <v>3</v>
      </c>
      <c r="B2" s="207" t="s">
        <v>4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5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4" t="s">
        <v>7</v>
      </c>
      <c r="B3" s="213" t="s">
        <v>8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7"/>
      <c r="I3" s="218"/>
      <c r="J3" s="4" t="s">
        <v>7</v>
      </c>
      <c r="K3" s="213" t="s">
        <v>9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3" t="s">
        <v>12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13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3" t="s">
        <v>16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7"/>
      <c r="I5" s="218"/>
      <c r="J5" s="4" t="s">
        <v>15</v>
      </c>
      <c r="K5" s="213" t="s">
        <v>17</v>
      </c>
      <c r="L5" s="214"/>
      <c r="M5" s="214"/>
      <c r="N5" s="214"/>
      <c r="O5" s="215"/>
    </row>
    <row r="6" spans="1:19">
      <c r="A6" s="4" t="s">
        <v>18</v>
      </c>
      <c r="B6" s="213" t="s">
        <v>19</v>
      </c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20</v>
      </c>
      <c r="L6" s="214"/>
      <c r="M6" s="214"/>
      <c r="N6" s="214"/>
      <c r="O6" s="215"/>
    </row>
    <row r="7" spans="1:19" ht="17.25" thickBot="1">
      <c r="A7" s="4" t="s">
        <v>21</v>
      </c>
      <c r="B7" s="213" t="s">
        <v>22</v>
      </c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7"/>
      <c r="I7" s="218"/>
      <c r="J7" s="4" t="s">
        <v>21</v>
      </c>
      <c r="K7" s="213" t="s">
        <v>23</v>
      </c>
      <c r="L7" s="214"/>
      <c r="M7" s="214"/>
      <c r="N7" s="214"/>
      <c r="O7" s="215"/>
    </row>
    <row r="8" spans="1:19" ht="17.25" thickBot="1">
      <c r="A8" s="4" t="s">
        <v>24</v>
      </c>
      <c r="B8" s="213" t="s">
        <v>25</v>
      </c>
      <c r="C8" s="214"/>
      <c r="D8" s="214"/>
      <c r="E8" s="214"/>
      <c r="F8" s="215"/>
      <c r="G8" s="210" t="s">
        <v>255</v>
      </c>
      <c r="H8" s="211"/>
      <c r="I8" s="212"/>
      <c r="J8" s="4" t="s">
        <v>24</v>
      </c>
      <c r="K8" s="213" t="s">
        <v>26</v>
      </c>
      <c r="L8" s="214"/>
      <c r="M8" s="214"/>
      <c r="N8" s="214"/>
      <c r="O8" s="215"/>
      <c r="Q8" s="201" t="s">
        <v>27</v>
      </c>
      <c r="R8" s="203"/>
    </row>
    <row r="9" spans="1:19" ht="17.25" thickBot="1">
      <c r="A9" s="4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7"/>
      <c r="I9" s="218"/>
      <c r="J9" s="4" t="s">
        <v>28</v>
      </c>
      <c r="K9" s="213" t="s">
        <v>263</v>
      </c>
      <c r="L9" s="214"/>
      <c r="M9" s="214"/>
      <c r="N9" s="214"/>
      <c r="O9" s="215"/>
      <c r="Q9" s="2" t="s">
        <v>29</v>
      </c>
      <c r="R9" s="6">
        <v>10</v>
      </c>
    </row>
    <row r="10" spans="1:19">
      <c r="A10" s="4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/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7" t="s">
        <v>32</v>
      </c>
      <c r="B11" s="219"/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/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11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55149000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2.1442459999999998E-3</v>
      </c>
      <c r="N14" s="232"/>
      <c r="O14" s="233"/>
      <c r="Q14" s="222"/>
      <c r="R14" s="222"/>
      <c r="S14" s="222"/>
    </row>
    <row r="15" spans="1:19" ht="17.25" customHeight="1" thickBot="1">
      <c r="A15" s="223" t="s">
        <v>39</v>
      </c>
      <c r="B15" s="234" t="str">
        <f>TEXT($G$1, "[$-ko-KR]yyyy-mm-dd(ddd) ") &amp; "오전 00:00"</f>
        <v>2021-04-01(목) 오전 00:00</v>
      </c>
      <c r="C15" s="235"/>
      <c r="D15" s="224" t="str">
        <f>TEXT($G$1, "[$-ko-KR]yyyy-mm-dd(ddd) ") &amp; "오후 14:00"</f>
        <v>2021-04-01(목) 오후 14:00</v>
      </c>
      <c r="E15" s="225"/>
      <c r="F15" s="226"/>
      <c r="G15" s="224" t="str">
        <f>TEXT($G$1, "[$-ko-KR]yyyy-mm-dd(ddd) ") &amp; "오후 19:00"</f>
        <v>2021-04-01(목) 오후 19:00</v>
      </c>
      <c r="H15" s="225"/>
      <c r="I15" s="226"/>
      <c r="J15" s="224" t="str">
        <f>TEXT($G$1, "[$-ko-KR]yyyy-mm-dd(ddd) ") &amp; "오후 21:00"</f>
        <v>2021-04-01(목) 오후 21:00</v>
      </c>
      <c r="K15" s="225"/>
      <c r="L15" s="226"/>
      <c r="M15" s="224" t="str">
        <f>TEXT($G$1+1, "[$-ko-KR]yyyy-mm-dd(ddd) ") &amp; "오전 00:00"</f>
        <v>2021-04-02(금) 오전 00:00</v>
      </c>
      <c r="N15" s="225"/>
      <c r="O15" s="226"/>
      <c r="Q15" s="222"/>
      <c r="R15" s="222"/>
      <c r="S15" s="222"/>
    </row>
    <row r="16" spans="1:19" ht="17.25" customHeight="1" thickBot="1">
      <c r="A16" s="22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26" t="s">
        <v>42</v>
      </c>
      <c r="B37" s="258">
        <v>300000</v>
      </c>
      <c r="C37" s="25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11" t="s">
        <v>267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55149000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2.1442459999999998E-3</v>
      </c>
      <c r="N41" s="232"/>
      <c r="O41" s="233"/>
      <c r="Q41" s="222"/>
      <c r="R41" s="222"/>
      <c r="S41" s="222"/>
    </row>
    <row r="42" spans="1:19" ht="17.25" customHeight="1" thickBot="1">
      <c r="A42" s="245" t="s">
        <v>55</v>
      </c>
      <c r="B42" s="247" t="str">
        <f>TEXT($G$1, "[$-ko-KR]yyyy-mm-dd(ddd) ") &amp; "오전 00:00"</f>
        <v>2021-04-01(목) 오전 00:00</v>
      </c>
      <c r="C42" s="248"/>
      <c r="D42" s="224" t="str">
        <f>TEXT($G$1, "[$-ko-KR]yyyy-mm-dd(ddd) ") &amp; "오후 14:00"</f>
        <v>2021-04-01(목) 오후 14:00</v>
      </c>
      <c r="E42" s="225"/>
      <c r="F42" s="226"/>
      <c r="G42" s="224" t="str">
        <f>TEXT($G$1, "[$-ko-KR]yyyy-mm-dd(ddd) ") &amp; "오후 19:00"</f>
        <v>2021-04-01(목) 오후 19:00</v>
      </c>
      <c r="H42" s="225"/>
      <c r="I42" s="226"/>
      <c r="J42" s="224" t="str">
        <f>TEXT($G$1, "[$-ko-KR]yyyy-mm-dd(ddd) ") &amp; "오후 21:00"</f>
        <v>2021-04-01(목) 오후 21:00</v>
      </c>
      <c r="K42" s="225"/>
      <c r="L42" s="226"/>
      <c r="M42" s="224" t="str">
        <f>TEXT($G$1+1, "[$-ko-KR]yyyy-mm-dd(ddd) ") &amp; "오전 00:00"</f>
        <v>2021-04-02(금) 오전 00:00</v>
      </c>
      <c r="N42" s="225"/>
      <c r="O42" s="226"/>
      <c r="Q42" s="222"/>
      <c r="R42" s="222"/>
      <c r="S42" s="222"/>
    </row>
    <row r="43" spans="1:19" ht="17.25" customHeight="1" thickBot="1">
      <c r="A43" s="246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7"/>
      <c r="R43" s="227"/>
      <c r="S43" s="227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2"/>
      <c r="R44" s="222"/>
      <c r="S44" s="22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2"/>
      <c r="R45" s="222"/>
      <c r="S45" s="22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7"/>
      <c r="R46" s="227"/>
      <c r="S46" s="227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7"/>
      <c r="R47" s="227"/>
      <c r="S47" s="227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7"/>
      <c r="R48" s="227"/>
      <c r="S48" s="227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7"/>
      <c r="R49" s="227"/>
      <c r="S49" s="227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7"/>
      <c r="R50" s="227"/>
      <c r="S50" s="227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7"/>
      <c r="R51" s="227"/>
      <c r="S51" s="227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6"/>
      <c r="R53" s="237"/>
      <c r="S53" s="238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9"/>
      <c r="R54" s="240"/>
      <c r="S54" s="241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2"/>
      <c r="R55" s="243"/>
      <c r="S55" s="244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7"/>
      <c r="R56" s="227"/>
      <c r="S56" s="227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2"/>
      <c r="R57" s="222"/>
      <c r="S57" s="22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2"/>
      <c r="R58" s="222"/>
      <c r="S58" s="22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7"/>
      <c r="R59" s="227"/>
      <c r="S59" s="227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7"/>
      <c r="R60" s="227"/>
      <c r="S60" s="227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26" t="s">
        <v>270</v>
      </c>
      <c r="B64" s="258">
        <f>$B$37</f>
        <v>300000</v>
      </c>
      <c r="C64" s="259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11" t="s">
        <v>267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55149000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2.1442459999999998E-3</v>
      </c>
      <c r="N68" s="232"/>
      <c r="O68" s="233"/>
      <c r="Q68" s="222"/>
      <c r="R68" s="222"/>
      <c r="S68" s="222"/>
    </row>
    <row r="69" spans="1:19" ht="17.25" thickBot="1">
      <c r="A69" s="245" t="s">
        <v>55</v>
      </c>
      <c r="B69" s="247" t="str">
        <f>TEXT($G$1, "[$-ko-KR]yyyy-mm-dd(ddd) ") &amp; "오전 00:00"</f>
        <v>2021-04-01(목) 오전 00:00</v>
      </c>
      <c r="C69" s="248"/>
      <c r="D69" s="224" t="str">
        <f>TEXT($G$1, "[$-ko-KR]yyyy-mm-dd(ddd) ") &amp; "오후 14:00"</f>
        <v>2021-04-01(목) 오후 14:00</v>
      </c>
      <c r="E69" s="225"/>
      <c r="F69" s="226"/>
      <c r="G69" s="224" t="str">
        <f>TEXT($G$1, "[$-ko-KR]yyyy-mm-dd(ddd) ") &amp; "오후 19:00"</f>
        <v>2021-04-01(목) 오후 19:00</v>
      </c>
      <c r="H69" s="225"/>
      <c r="I69" s="226"/>
      <c r="J69" s="224" t="str">
        <f>TEXT($G$1, "[$-ko-KR]yyyy-mm-dd(ddd) ") &amp; "오후 21:00"</f>
        <v>2021-04-01(목) 오후 21:00</v>
      </c>
      <c r="K69" s="225"/>
      <c r="L69" s="226"/>
      <c r="M69" s="224" t="str">
        <f>TEXT($G$1+1, "[$-ko-KR]yyyy-mm-dd(ddd) ") &amp; "오전 00:00"</f>
        <v>2021-04-02(금) 오전 00:00</v>
      </c>
      <c r="N69" s="225"/>
      <c r="O69" s="226"/>
      <c r="Q69" s="222"/>
      <c r="R69" s="222"/>
      <c r="S69" s="222"/>
    </row>
    <row r="70" spans="1:19" ht="17.25" thickBot="1">
      <c r="A70" s="246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7"/>
      <c r="R70" s="227"/>
      <c r="S70" s="227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2"/>
      <c r="R71" s="222"/>
      <c r="S71" s="22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2"/>
      <c r="R72" s="222"/>
      <c r="S72" s="22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7"/>
      <c r="R73" s="227"/>
      <c r="S73" s="227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7"/>
      <c r="R74" s="227"/>
      <c r="S74" s="227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7"/>
      <c r="R75" s="227"/>
      <c r="S75" s="227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7"/>
      <c r="R76" s="227"/>
      <c r="S76" s="227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7"/>
      <c r="R77" s="227"/>
      <c r="S77" s="227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7"/>
      <c r="R78" s="227"/>
      <c r="S78" s="227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6"/>
      <c r="R80" s="237"/>
      <c r="S80" s="238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9"/>
      <c r="R81" s="240"/>
      <c r="S81" s="241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2"/>
      <c r="R82" s="243"/>
      <c r="S82" s="244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7"/>
      <c r="R83" s="227"/>
      <c r="S83" s="227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2"/>
      <c r="R84" s="222"/>
      <c r="S84" s="22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2"/>
      <c r="R85" s="222"/>
      <c r="S85" s="22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7"/>
      <c r="R86" s="227"/>
      <c r="S86" s="227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7"/>
      <c r="R87" s="227"/>
      <c r="S87" s="227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7"/>
      <c r="R88" s="227"/>
      <c r="S88" s="227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9"/>
      <c r="R89" s="250"/>
      <c r="S89" s="25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2"/>
      <c r="R90" s="253"/>
      <c r="S90" s="254"/>
    </row>
    <row r="91" spans="1:19" ht="17.25" thickBot="1">
      <c r="A91" s="26" t="s">
        <v>270</v>
      </c>
      <c r="B91" s="258">
        <f>$B$37</f>
        <v>300000</v>
      </c>
      <c r="C91" s="259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11" t="s">
        <v>267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55149000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2.1442459999999998E-3</v>
      </c>
      <c r="N95" s="232"/>
      <c r="O95" s="233"/>
      <c r="Q95" s="222"/>
      <c r="R95" s="222"/>
      <c r="S95" s="222"/>
    </row>
    <row r="96" spans="1:19" ht="17.25" thickBot="1">
      <c r="A96" s="245" t="s">
        <v>55</v>
      </c>
      <c r="B96" s="247" t="str">
        <f>TEXT($G$1, "[$-ko-KR]yyyy-mm-dd(ddd) ") &amp; "오전 00:00"</f>
        <v>2021-04-01(목) 오전 00:00</v>
      </c>
      <c r="C96" s="248"/>
      <c r="D96" s="224" t="str">
        <f>TEXT($G$1, "[$-ko-KR]yyyy-mm-dd(ddd) ") &amp; "오후 14:00"</f>
        <v>2021-04-01(목) 오후 14:00</v>
      </c>
      <c r="E96" s="225"/>
      <c r="F96" s="226"/>
      <c r="G96" s="224" t="str">
        <f>TEXT($G$1, "[$-ko-KR]yyyy-mm-dd(ddd) ") &amp; "오후 19:00"</f>
        <v>2021-04-01(목) 오후 19:00</v>
      </c>
      <c r="H96" s="225"/>
      <c r="I96" s="226"/>
      <c r="J96" s="224" t="str">
        <f>TEXT($G$1, "[$-ko-KR]yyyy-mm-dd(ddd) ") &amp; "오후 21:00"</f>
        <v>2021-04-01(목) 오후 21:00</v>
      </c>
      <c r="K96" s="225"/>
      <c r="L96" s="226"/>
      <c r="M96" s="224" t="str">
        <f>TEXT($G$1+1, "[$-ko-KR]yyyy-mm-dd(ddd) ") &amp; "오전 00:00"</f>
        <v>2021-04-02(금) 오전 00:00</v>
      </c>
      <c r="N96" s="225"/>
      <c r="O96" s="226"/>
      <c r="Q96" s="222"/>
      <c r="R96" s="222"/>
      <c r="S96" s="222"/>
    </row>
    <row r="97" spans="1:19" ht="17.25" thickBot="1">
      <c r="A97" s="246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7"/>
      <c r="R97" s="227"/>
      <c r="S97" s="227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2"/>
      <c r="R98" s="222"/>
      <c r="S98" s="22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2"/>
      <c r="R99" s="222"/>
      <c r="S99" s="22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7"/>
      <c r="R100" s="227"/>
      <c r="S100" s="227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7"/>
      <c r="R101" s="227"/>
      <c r="S101" s="227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7"/>
      <c r="R102" s="227"/>
      <c r="S102" s="227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7"/>
      <c r="R103" s="227"/>
      <c r="S103" s="227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7"/>
      <c r="R104" s="227"/>
      <c r="S104" s="227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7"/>
      <c r="R105" s="227"/>
      <c r="S105" s="227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6"/>
      <c r="R107" s="237"/>
      <c r="S107" s="238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9"/>
      <c r="R108" s="240"/>
      <c r="S108" s="241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2"/>
      <c r="R109" s="243"/>
      <c r="S109" s="244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7"/>
      <c r="R110" s="227"/>
      <c r="S110" s="227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2"/>
      <c r="R111" s="222"/>
      <c r="S111" s="22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2"/>
      <c r="R112" s="222"/>
      <c r="S112" s="22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7"/>
      <c r="R113" s="227"/>
      <c r="S113" s="227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7"/>
      <c r="R114" s="227"/>
      <c r="S114" s="227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7"/>
      <c r="R115" s="227"/>
      <c r="S115" s="227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9"/>
      <c r="R116" s="250"/>
      <c r="S116" s="25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2"/>
      <c r="R117" s="253"/>
      <c r="S117" s="254"/>
    </row>
    <row r="118" spans="1:19" ht="17.25" thickBot="1">
      <c r="A118" s="26" t="s">
        <v>270</v>
      </c>
      <c r="B118" s="258">
        <f>$B$37</f>
        <v>300000</v>
      </c>
      <c r="C118" s="259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55"/>
      <c r="R118" s="256"/>
      <c r="S118" s="257"/>
    </row>
    <row r="120" spans="1:19" ht="17.25" thickBot="1"/>
    <row r="121" spans="1:19" ht="17.25" thickBot="1">
      <c r="A121" s="201" t="s">
        <v>258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11" t="s">
        <v>267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55149000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2.1442459999999998E-3</v>
      </c>
      <c r="N122" s="232"/>
      <c r="O122" s="233"/>
      <c r="Q122" s="222"/>
      <c r="R122" s="222"/>
      <c r="S122" s="222"/>
    </row>
    <row r="123" spans="1:19" ht="17.25" thickBot="1">
      <c r="A123" s="245" t="s">
        <v>55</v>
      </c>
      <c r="B123" s="247" t="str">
        <f>TEXT($G$1, "[$-ko-KR]yyyy-mm-dd(ddd) ") &amp; "오전 00:00"</f>
        <v>2021-04-01(목) 오전 00:00</v>
      </c>
      <c r="C123" s="248"/>
      <c r="D123" s="224" t="str">
        <f>TEXT($G$1, "[$-ko-KR]yyyy-mm-dd(ddd) ") &amp; "오후 14:00"</f>
        <v>2021-04-01(목) 오후 14:00</v>
      </c>
      <c r="E123" s="225"/>
      <c r="F123" s="226"/>
      <c r="G123" s="224" t="str">
        <f>TEXT($G$1, "[$-ko-KR]yyyy-mm-dd(ddd) ") &amp; "오후 19:00"</f>
        <v>2021-04-01(목) 오후 19:00</v>
      </c>
      <c r="H123" s="225"/>
      <c r="I123" s="226"/>
      <c r="J123" s="224" t="str">
        <f>TEXT($G$1, "[$-ko-KR]yyyy-mm-dd(ddd) ") &amp; "오후 21:00"</f>
        <v>2021-04-01(목) 오후 21:00</v>
      </c>
      <c r="K123" s="225"/>
      <c r="L123" s="226"/>
      <c r="M123" s="224" t="str">
        <f>TEXT($G$1+1, "[$-ko-KR]yyyy-mm-dd(ddd) ") &amp; "오전 00:00"</f>
        <v>2021-04-02(금) 오전 00:00</v>
      </c>
      <c r="N123" s="225"/>
      <c r="O123" s="226"/>
      <c r="Q123" s="222"/>
      <c r="R123" s="222"/>
      <c r="S123" s="222"/>
    </row>
    <row r="124" spans="1:19" ht="17.25" thickBot="1">
      <c r="A124" s="246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7"/>
      <c r="R124" s="227"/>
      <c r="S124" s="227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2"/>
      <c r="R125" s="222"/>
      <c r="S125" s="22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2"/>
      <c r="R126" s="222"/>
      <c r="S126" s="22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7"/>
      <c r="R127" s="227"/>
      <c r="S127" s="227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7"/>
      <c r="R128" s="227"/>
      <c r="S128" s="227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7"/>
      <c r="R129" s="227"/>
      <c r="S129" s="227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7"/>
      <c r="R130" s="227"/>
      <c r="S130" s="227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7"/>
      <c r="R131" s="227"/>
      <c r="S131" s="227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7"/>
      <c r="R132" s="227"/>
      <c r="S132" s="227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6"/>
      <c r="R134" s="237"/>
      <c r="S134" s="238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9"/>
      <c r="R135" s="240"/>
      <c r="S135" s="241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2"/>
      <c r="R136" s="243"/>
      <c r="S136" s="244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7"/>
      <c r="R137" s="227"/>
      <c r="S137" s="227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2"/>
      <c r="R138" s="222"/>
      <c r="S138" s="22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2"/>
      <c r="R139" s="222"/>
      <c r="S139" s="22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7"/>
      <c r="R140" s="227"/>
      <c r="S140" s="227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7"/>
      <c r="R141" s="227"/>
      <c r="S141" s="227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26" t="s">
        <v>270</v>
      </c>
      <c r="B145" s="258">
        <f>$B$37</f>
        <v>300000</v>
      </c>
      <c r="C145" s="259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55"/>
      <c r="R145" s="256"/>
      <c r="S145" s="257"/>
    </row>
    <row r="147" spans="1:19" ht="17.25" thickBot="1"/>
    <row r="148" spans="1:19" ht="17.25" thickBot="1">
      <c r="A148" s="201" t="s">
        <v>259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11" t="s">
        <v>267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55149000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2.1442459999999998E-3</v>
      </c>
      <c r="N149" s="232"/>
      <c r="O149" s="233"/>
      <c r="Q149" s="222"/>
      <c r="R149" s="222"/>
      <c r="S149" s="222"/>
    </row>
    <row r="150" spans="1:19" ht="17.25" thickBot="1">
      <c r="A150" s="245" t="s">
        <v>55</v>
      </c>
      <c r="B150" s="247" t="str">
        <f>TEXT($G$1, "[$-ko-KR]yyyy-mm-dd(ddd) ") &amp; "오전 00:00"</f>
        <v>2021-04-01(목) 오전 00:00</v>
      </c>
      <c r="C150" s="248"/>
      <c r="D150" s="224" t="str">
        <f>TEXT($G$1, "[$-ko-KR]yyyy-mm-dd(ddd) ") &amp; "오후 14:00"</f>
        <v>2021-04-01(목) 오후 14:00</v>
      </c>
      <c r="E150" s="225"/>
      <c r="F150" s="226"/>
      <c r="G150" s="224" t="str">
        <f>TEXT($G$1, "[$-ko-KR]yyyy-mm-dd(ddd) ") &amp; "오후 19:00"</f>
        <v>2021-04-01(목) 오후 19:00</v>
      </c>
      <c r="H150" s="225"/>
      <c r="I150" s="226"/>
      <c r="J150" s="224" t="str">
        <f>TEXT($G$1, "[$-ko-KR]yyyy-mm-dd(ddd) ") &amp; "오후 21:00"</f>
        <v>2021-04-01(목) 오후 21:00</v>
      </c>
      <c r="K150" s="225"/>
      <c r="L150" s="226"/>
      <c r="M150" s="224" t="str">
        <f>TEXT($G$1+1, "[$-ko-KR]yyyy-mm-dd(ddd) ") &amp; "오전 00:00"</f>
        <v>2021-04-02(금) 오전 00:00</v>
      </c>
      <c r="N150" s="225"/>
      <c r="O150" s="226"/>
      <c r="Q150" s="222"/>
      <c r="R150" s="222"/>
      <c r="S150" s="222"/>
    </row>
    <row r="151" spans="1:19" ht="17.25" thickBot="1">
      <c r="A151" s="246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7"/>
      <c r="R151" s="227"/>
      <c r="S151" s="227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2"/>
      <c r="R152" s="222"/>
      <c r="S152" s="22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2"/>
      <c r="R153" s="222"/>
      <c r="S153" s="22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7"/>
      <c r="R154" s="227"/>
      <c r="S154" s="227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7"/>
      <c r="R155" s="227"/>
      <c r="S155" s="227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7"/>
      <c r="R156" s="227"/>
      <c r="S156" s="227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7"/>
      <c r="R157" s="227"/>
      <c r="S157" s="227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7"/>
      <c r="R158" s="227"/>
      <c r="S158" s="227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7"/>
      <c r="R159" s="227"/>
      <c r="S159" s="227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6"/>
      <c r="R161" s="237"/>
      <c r="S161" s="238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9"/>
      <c r="R162" s="240"/>
      <c r="S162" s="241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2"/>
      <c r="R163" s="243"/>
      <c r="S163" s="244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7"/>
      <c r="R164" s="227"/>
      <c r="S164" s="227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2"/>
      <c r="R165" s="222"/>
      <c r="S165" s="22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2"/>
      <c r="R166" s="222"/>
      <c r="S166" s="22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7"/>
      <c r="R167" s="227"/>
      <c r="S167" s="227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7"/>
      <c r="R168" s="227"/>
      <c r="S168" s="227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7"/>
      <c r="R169" s="227"/>
      <c r="S169" s="227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9"/>
      <c r="R170" s="250"/>
      <c r="S170" s="25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2"/>
      <c r="R171" s="253"/>
      <c r="S171" s="254"/>
    </row>
    <row r="172" spans="1:19" ht="17.25" thickBot="1">
      <c r="A172" s="26" t="s">
        <v>270</v>
      </c>
      <c r="B172" s="258">
        <f>$B$37</f>
        <v>300000</v>
      </c>
      <c r="C172" s="259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55"/>
      <c r="R172" s="256"/>
      <c r="S172" s="257"/>
    </row>
    <row r="174" spans="1:19" ht="17.25" thickBot="1"/>
    <row r="175" spans="1:19" ht="17.25" thickBot="1">
      <c r="A175" s="201" t="s">
        <v>255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11" t="s">
        <v>267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55149000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2.1442459999999998E-3</v>
      </c>
      <c r="N176" s="232"/>
      <c r="O176" s="233"/>
      <c r="Q176" s="222"/>
      <c r="R176" s="222"/>
      <c r="S176" s="222"/>
    </row>
    <row r="177" spans="1:19" ht="17.25" thickBot="1">
      <c r="A177" s="245" t="s">
        <v>55</v>
      </c>
      <c r="B177" s="247" t="str">
        <f>TEXT($G$1, "[$-ko-KR]yyyy-mm-dd(ddd) ") &amp; "오전 00:00"</f>
        <v>2021-04-01(목) 오전 00:00</v>
      </c>
      <c r="C177" s="248"/>
      <c r="D177" s="224" t="str">
        <f>TEXT($G$1, "[$-ko-KR]yyyy-mm-dd(ddd) ") &amp; "오후 14:00"</f>
        <v>2021-04-01(목) 오후 14:00</v>
      </c>
      <c r="E177" s="225"/>
      <c r="F177" s="226"/>
      <c r="G177" s="224" t="str">
        <f>TEXT($G$1, "[$-ko-KR]yyyy-mm-dd(ddd) ") &amp; "오후 19:00"</f>
        <v>2021-04-01(목) 오후 19:00</v>
      </c>
      <c r="H177" s="225"/>
      <c r="I177" s="226"/>
      <c r="J177" s="224" t="str">
        <f>TEXT($G$1, "[$-ko-KR]yyyy-mm-dd(ddd) ") &amp; "오후 21:00"</f>
        <v>2021-04-01(목) 오후 21:00</v>
      </c>
      <c r="K177" s="225"/>
      <c r="L177" s="226"/>
      <c r="M177" s="224" t="str">
        <f>TEXT($G$1+1, "[$-ko-KR]yyyy-mm-dd(ddd) ") &amp; "오전 00:00"</f>
        <v>2021-04-02(금) 오전 00:00</v>
      </c>
      <c r="N177" s="225"/>
      <c r="O177" s="226"/>
      <c r="Q177" s="222"/>
      <c r="R177" s="222"/>
      <c r="S177" s="222"/>
    </row>
    <row r="178" spans="1:19" ht="17.25" thickBot="1">
      <c r="A178" s="246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7"/>
      <c r="R178" s="227"/>
      <c r="S178" s="227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2"/>
      <c r="R179" s="222"/>
      <c r="S179" s="22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2"/>
      <c r="R180" s="222"/>
      <c r="S180" s="22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7"/>
      <c r="R181" s="227"/>
      <c r="S181" s="227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7"/>
      <c r="R182" s="227"/>
      <c r="S182" s="227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7"/>
      <c r="R183" s="227"/>
      <c r="S183" s="227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7"/>
      <c r="R184" s="227"/>
      <c r="S184" s="227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7"/>
      <c r="R185" s="227"/>
      <c r="S185" s="227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7"/>
      <c r="R186" s="227"/>
      <c r="S186" s="227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6"/>
      <c r="R188" s="237"/>
      <c r="S188" s="238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9"/>
      <c r="R189" s="240"/>
      <c r="S189" s="241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2"/>
      <c r="R190" s="243"/>
      <c r="S190" s="244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7"/>
      <c r="R191" s="227"/>
      <c r="S191" s="227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2"/>
      <c r="R192" s="222"/>
      <c r="S192" s="22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2"/>
      <c r="R193" s="222"/>
      <c r="S193" s="22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7"/>
      <c r="R194" s="227"/>
      <c r="S194" s="227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7"/>
      <c r="R195" s="227"/>
      <c r="S195" s="227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7"/>
      <c r="R196" s="227"/>
      <c r="S196" s="227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9"/>
      <c r="R197" s="250"/>
      <c r="S197" s="25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2"/>
      <c r="R198" s="253"/>
      <c r="S198" s="254"/>
    </row>
    <row r="199" spans="1:19" ht="17.25" thickBot="1">
      <c r="A199" s="26" t="s">
        <v>270</v>
      </c>
      <c r="B199" s="258">
        <f>$B$37</f>
        <v>300000</v>
      </c>
      <c r="C199" s="259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6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6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6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6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6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6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5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5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5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5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55" priority="157">
      <formula>AND($N17 &gt; 0, ISNUMBER($N17))</formula>
    </cfRule>
    <cfRule type="expression" dxfId="2554" priority="158">
      <formula>AND($N17 = 0 * ISNUMBER($N17))</formula>
    </cfRule>
    <cfRule type="expression" dxfId="2553" priority="159">
      <formula>AND($N17 &lt; 0, ISNUMBER($N17))</formula>
    </cfRule>
  </conditionalFormatting>
  <conditionalFormatting sqref="A17:F36">
    <cfRule type="expression" dxfId="2552" priority="166">
      <formula>AND($E17 &gt; 0, ISNUMBER($E17))</formula>
    </cfRule>
    <cfRule type="expression" dxfId="2551" priority="167">
      <formula>AND($E17 = 0 * ISNUMBER($E17))</formula>
    </cfRule>
    <cfRule type="expression" dxfId="2550" priority="168">
      <formula>AND($E17 &lt; 0, ISNUMBER($E17))</formula>
    </cfRule>
  </conditionalFormatting>
  <conditionalFormatting sqref="A17:C36 G17:I36">
    <cfRule type="expression" dxfId="2549" priority="163">
      <formula>AND($H17 &gt; 0, ISNUMBER($H17))</formula>
    </cfRule>
    <cfRule type="expression" dxfId="2548" priority="164">
      <formula>AND($H17 = 0 * ISNUMBER($H17))</formula>
    </cfRule>
    <cfRule type="expression" dxfId="2547" priority="165">
      <formula>AND($H17 &lt; 0, ISNUMBER($H17))</formula>
    </cfRule>
  </conditionalFormatting>
  <conditionalFormatting sqref="A17:C36 J17:L36">
    <cfRule type="expression" dxfId="2546" priority="160">
      <formula>AND($K17 &gt; 0, ISNUMBER($K17))</formula>
    </cfRule>
    <cfRule type="expression" dxfId="2545" priority="161">
      <formula>AND($K17 = 0 * ISNUMBER($K17))</formula>
    </cfRule>
    <cfRule type="expression" dxfId="2544" priority="162">
      <formula>AND($K17 &lt; 0, ISNUMBER($K17))</formula>
    </cfRule>
  </conditionalFormatting>
  <conditionalFormatting sqref="D15:F16 E37:F37">
    <cfRule type="expression" dxfId="2543" priority="154">
      <formula>$E$37 &gt; 0</formula>
    </cfRule>
    <cfRule type="expression" dxfId="2542" priority="155">
      <formula>$E$37 = 0</formula>
    </cfRule>
    <cfRule type="expression" dxfId="2541" priority="156">
      <formula>$E$37 &lt; 0</formula>
    </cfRule>
  </conditionalFormatting>
  <conditionalFormatting sqref="G15:I16 H37:I37">
    <cfRule type="expression" dxfId="2540" priority="151">
      <formula>$H$37 &gt; 0</formula>
    </cfRule>
    <cfRule type="expression" dxfId="2539" priority="152">
      <formula>$H$37 = 0</formula>
    </cfRule>
    <cfRule type="expression" dxfId="2538" priority="153">
      <formula>$H$37 &lt; 0</formula>
    </cfRule>
  </conditionalFormatting>
  <conditionalFormatting sqref="J15:L16 K37:L37">
    <cfRule type="expression" dxfId="2537" priority="148">
      <formula>$K$37 &gt; 0</formula>
    </cfRule>
    <cfRule type="expression" dxfId="2536" priority="149">
      <formula>$K$37 = 0</formula>
    </cfRule>
    <cfRule type="expression" dxfId="2535" priority="150">
      <formula>$K$37 &lt; 0</formula>
    </cfRule>
  </conditionalFormatting>
  <conditionalFormatting sqref="M15:O16 N37:O37">
    <cfRule type="expression" dxfId="2534" priority="145">
      <formula>$N$37 &gt; 0</formula>
    </cfRule>
    <cfRule type="expression" dxfId="2533" priority="146">
      <formula>$N$37 = 0</formula>
    </cfRule>
    <cfRule type="expression" dxfId="2532" priority="147">
      <formula>$N$37 &lt; 0</formula>
    </cfRule>
  </conditionalFormatting>
  <conditionalFormatting sqref="A44:C63 M44:O63">
    <cfRule type="expression" dxfId="2531" priority="133">
      <formula>AND($N44 &gt; 0, ISNUMBER($N44))</formula>
    </cfRule>
    <cfRule type="expression" dxfId="2530" priority="134">
      <formula>AND($N44 = 0 * ISNUMBER($N44))</formula>
    </cfRule>
    <cfRule type="expression" dxfId="2529" priority="135">
      <formula>AND($N44 &lt; 0, ISNUMBER($N44))</formula>
    </cfRule>
  </conditionalFormatting>
  <conditionalFormatting sqref="A44:F63">
    <cfRule type="expression" dxfId="2528" priority="142">
      <formula>AND($E44 &gt; 0, ISNUMBER($E44))</formula>
    </cfRule>
    <cfRule type="expression" dxfId="2527" priority="143">
      <formula>AND($E44 = 0 * ISNUMBER($E44))</formula>
    </cfRule>
    <cfRule type="expression" dxfId="2526" priority="144">
      <formula>AND($E44 &lt; 0, ISNUMBER($E44))</formula>
    </cfRule>
  </conditionalFormatting>
  <conditionalFormatting sqref="A44:C63 G44:I63">
    <cfRule type="expression" dxfId="2525" priority="139">
      <formula>AND($H44 &gt; 0, ISNUMBER($H44))</formula>
    </cfRule>
    <cfRule type="expression" dxfId="2524" priority="140">
      <formula>AND($H44 = 0 * ISNUMBER($H44))</formula>
    </cfRule>
    <cfRule type="expression" dxfId="2523" priority="141">
      <formula>AND($H44 &lt; 0, ISNUMBER($H44))</formula>
    </cfRule>
  </conditionalFormatting>
  <conditionalFormatting sqref="A44:C63 J44:L63">
    <cfRule type="expression" dxfId="2522" priority="136">
      <formula>AND($K44 &gt; 0, ISNUMBER($K44))</formula>
    </cfRule>
    <cfRule type="expression" dxfId="2521" priority="137">
      <formula>AND($K44 = 0 * ISNUMBER($K44))</formula>
    </cfRule>
    <cfRule type="expression" dxfId="2520" priority="138">
      <formula>AND($K44 &lt; 0, ISNUMBER($K44))</formula>
    </cfRule>
  </conditionalFormatting>
  <conditionalFormatting sqref="D42:F43 E64:F64">
    <cfRule type="expression" dxfId="2519" priority="130">
      <formula>$E$64 &gt; 0</formula>
    </cfRule>
    <cfRule type="expression" dxfId="2518" priority="131">
      <formula>$E$64 = 0</formula>
    </cfRule>
    <cfRule type="expression" dxfId="2517" priority="132">
      <formula>$E$64 &lt; 0</formula>
    </cfRule>
  </conditionalFormatting>
  <conditionalFormatting sqref="G42:I43 H64:I64">
    <cfRule type="expression" dxfId="2516" priority="127">
      <formula>$H$64 &gt; 0</formula>
    </cfRule>
    <cfRule type="expression" dxfId="2515" priority="128">
      <formula>$H$64 = 0</formula>
    </cfRule>
    <cfRule type="expression" dxfId="2514" priority="129">
      <formula>$H$64 &lt; 0</formula>
    </cfRule>
  </conditionalFormatting>
  <conditionalFormatting sqref="J42:L43 K64:L64">
    <cfRule type="expression" dxfId="2513" priority="124">
      <formula>$K$64 &gt; 0</formula>
    </cfRule>
    <cfRule type="expression" dxfId="2512" priority="125">
      <formula>$K$64 = 0</formula>
    </cfRule>
    <cfRule type="expression" dxfId="2511" priority="126">
      <formula>$K$64 &lt; 0</formula>
    </cfRule>
  </conditionalFormatting>
  <conditionalFormatting sqref="M42:O43 N64:O64">
    <cfRule type="expression" dxfId="2510" priority="121">
      <formula>$N$64 &gt; 0</formula>
    </cfRule>
    <cfRule type="expression" dxfId="2509" priority="122">
      <formula>$N$64 = 0</formula>
    </cfRule>
    <cfRule type="expression" dxfId="2508" priority="123">
      <formula>$N$64 &lt; 0</formula>
    </cfRule>
  </conditionalFormatting>
  <conditionalFormatting sqref="A71:C90 M71:O90">
    <cfRule type="expression" dxfId="2507" priority="109">
      <formula>AND($N71 &gt; 0, ISNUMBER($N71))</formula>
    </cfRule>
    <cfRule type="expression" dxfId="2506" priority="110">
      <formula>AND($N71 = 0 * ISNUMBER($N71))</formula>
    </cfRule>
    <cfRule type="expression" dxfId="2505" priority="111">
      <formula>AND($N71 &lt; 0, ISNUMBER($N71))</formula>
    </cfRule>
  </conditionalFormatting>
  <conditionalFormatting sqref="A71:F90">
    <cfRule type="expression" dxfId="2504" priority="118">
      <formula>AND($E71 &gt; 0, ISNUMBER($E71))</formula>
    </cfRule>
    <cfRule type="expression" dxfId="2503" priority="119">
      <formula>AND($E71 = 0 * ISNUMBER($E71))</formula>
    </cfRule>
    <cfRule type="expression" dxfId="2502" priority="120">
      <formula>AND($E71 &lt; 0, ISNUMBER($E71))</formula>
    </cfRule>
  </conditionalFormatting>
  <conditionalFormatting sqref="A71:C90 G71:I90">
    <cfRule type="expression" dxfId="2501" priority="115">
      <formula>AND($H71 &gt; 0, ISNUMBER($H71))</formula>
    </cfRule>
    <cfRule type="expression" dxfId="2500" priority="116">
      <formula>AND($H71 = 0 * ISNUMBER($H71))</formula>
    </cfRule>
    <cfRule type="expression" dxfId="2499" priority="117">
      <formula>AND($H71 &lt; 0, ISNUMBER($H71))</formula>
    </cfRule>
  </conditionalFormatting>
  <conditionalFormatting sqref="A71:C90 J71:L90">
    <cfRule type="expression" dxfId="2498" priority="112">
      <formula>AND($K71 &gt; 0, ISNUMBER($K71))</formula>
    </cfRule>
    <cfRule type="expression" dxfId="2497" priority="113">
      <formula>AND($K71 = 0 * ISNUMBER($K71))</formula>
    </cfRule>
    <cfRule type="expression" dxfId="2496" priority="114">
      <formula>AND($K71 &lt; 0, ISNUMBER($K71))</formula>
    </cfRule>
  </conditionalFormatting>
  <conditionalFormatting sqref="D69:F70 E91:F91">
    <cfRule type="expression" dxfId="2495" priority="106">
      <formula>$E$91 &gt; 0</formula>
    </cfRule>
    <cfRule type="expression" dxfId="2494" priority="107">
      <formula>$E$91 = 0</formula>
    </cfRule>
    <cfRule type="expression" dxfId="2493" priority="108">
      <formula>$E$91 &lt; 0</formula>
    </cfRule>
  </conditionalFormatting>
  <conditionalFormatting sqref="G69:I70 H91:I91">
    <cfRule type="expression" dxfId="2492" priority="103">
      <formula>$H$91 &gt; 0</formula>
    </cfRule>
    <cfRule type="expression" dxfId="2491" priority="104">
      <formula>$H$91 = 0</formula>
    </cfRule>
    <cfRule type="expression" dxfId="2490" priority="105">
      <formula>$H$91 &lt; 0</formula>
    </cfRule>
  </conditionalFormatting>
  <conditionalFormatting sqref="J69:L70 K91:L91">
    <cfRule type="expression" dxfId="2489" priority="100">
      <formula>$K$91 &gt; 0</formula>
    </cfRule>
    <cfRule type="expression" dxfId="2488" priority="101">
      <formula>$K$91 = 0</formula>
    </cfRule>
    <cfRule type="expression" dxfId="2487" priority="102">
      <formula>$K$91 &lt; 0</formula>
    </cfRule>
  </conditionalFormatting>
  <conditionalFormatting sqref="M69:O70 N91:O91">
    <cfRule type="expression" dxfId="2486" priority="97">
      <formula>$N$91 &gt; 0</formula>
    </cfRule>
    <cfRule type="expression" dxfId="2485" priority="98">
      <formula>$N$91 = 0</formula>
    </cfRule>
    <cfRule type="expression" dxfId="2484" priority="99">
      <formula>$N$91 &lt; 0</formula>
    </cfRule>
  </conditionalFormatting>
  <conditionalFormatting sqref="A98:C117 M98:O117">
    <cfRule type="expression" dxfId="2483" priority="85">
      <formula>AND($N98 &gt; 0, ISNUMBER($N98))</formula>
    </cfRule>
    <cfRule type="expression" dxfId="2482" priority="86">
      <formula>AND($N98 = 0 * ISNUMBER($N98))</formula>
    </cfRule>
    <cfRule type="expression" dxfId="2481" priority="87">
      <formula>AND($N98 &lt; 0, ISNUMBER($N98))</formula>
    </cfRule>
  </conditionalFormatting>
  <conditionalFormatting sqref="A98:F117">
    <cfRule type="expression" dxfId="2480" priority="94">
      <formula>AND($E98 &gt; 0, ISNUMBER($E98))</formula>
    </cfRule>
    <cfRule type="expression" dxfId="2479" priority="95">
      <formula>AND($E98 = 0 * ISNUMBER($E98))</formula>
    </cfRule>
    <cfRule type="expression" dxfId="2478" priority="96">
      <formula>AND($E98 &lt; 0, ISNUMBER($E98))</formula>
    </cfRule>
  </conditionalFormatting>
  <conditionalFormatting sqref="A98:C117 G98:I117">
    <cfRule type="expression" dxfId="2477" priority="91">
      <formula>AND($H98 &gt; 0, ISNUMBER($H98))</formula>
    </cfRule>
    <cfRule type="expression" dxfId="2476" priority="92">
      <formula>AND($H98 = 0 * ISNUMBER($H98))</formula>
    </cfRule>
    <cfRule type="expression" dxfId="2475" priority="93">
      <formula>AND($H98 &lt; 0, ISNUMBER($H98))</formula>
    </cfRule>
  </conditionalFormatting>
  <conditionalFormatting sqref="A98:C117 J98:L117">
    <cfRule type="expression" dxfId="2474" priority="88">
      <formula>AND($K98 &gt; 0, ISNUMBER($K98))</formula>
    </cfRule>
    <cfRule type="expression" dxfId="2473" priority="89">
      <formula>AND($K98 = 0 * ISNUMBER($K98))</formula>
    </cfRule>
    <cfRule type="expression" dxfId="2472" priority="90">
      <formula>AND($K98 &lt; 0, ISNUMBER($K98))</formula>
    </cfRule>
  </conditionalFormatting>
  <conditionalFormatting sqref="D96:F97 E118:F118">
    <cfRule type="expression" dxfId="2471" priority="82">
      <formula>$E$118 &gt; 0</formula>
    </cfRule>
    <cfRule type="expression" dxfId="2470" priority="83">
      <formula>$E$118 = 0</formula>
    </cfRule>
    <cfRule type="expression" dxfId="2469" priority="84">
      <formula>$E$118 &lt; 0</formula>
    </cfRule>
  </conditionalFormatting>
  <conditionalFormatting sqref="G96:I97 H118:I118">
    <cfRule type="expression" dxfId="2468" priority="79">
      <formula>$H$118 &gt; 0</formula>
    </cfRule>
    <cfRule type="expression" dxfId="2467" priority="80">
      <formula>$H$118 = 0</formula>
    </cfRule>
    <cfRule type="expression" dxfId="2466" priority="81">
      <formula>$H$118 &lt; 0</formula>
    </cfRule>
  </conditionalFormatting>
  <conditionalFormatting sqref="J96:L97 K118:L118">
    <cfRule type="expression" dxfId="2465" priority="76">
      <formula>$K$118 &gt; 0</formula>
    </cfRule>
    <cfRule type="expression" dxfId="2464" priority="77">
      <formula>$K$118 = 0</formula>
    </cfRule>
    <cfRule type="expression" dxfId="2463" priority="78">
      <formula>$K$118 &lt; 0</formula>
    </cfRule>
  </conditionalFormatting>
  <conditionalFormatting sqref="M96:O97 N118:O118">
    <cfRule type="expression" dxfId="2462" priority="73">
      <formula>$N$118 &gt; 0</formula>
    </cfRule>
    <cfRule type="expression" dxfId="2461" priority="74">
      <formula>$N$118 = 0</formula>
    </cfRule>
    <cfRule type="expression" dxfId="2460" priority="75">
      <formula>$N$118 &lt; 0</formula>
    </cfRule>
  </conditionalFormatting>
  <conditionalFormatting sqref="A125:C144 M125:O144">
    <cfRule type="expression" dxfId="2459" priority="61">
      <formula>AND($N125 &gt; 0, ISNUMBER($N125))</formula>
    </cfRule>
    <cfRule type="expression" dxfId="2458" priority="62">
      <formula>AND($N125 = 0 * ISNUMBER($N125))</formula>
    </cfRule>
    <cfRule type="expression" dxfId="2457" priority="63">
      <formula>AND($N125 &lt; 0, ISNUMBER($N125))</formula>
    </cfRule>
  </conditionalFormatting>
  <conditionalFormatting sqref="A125:F144">
    <cfRule type="expression" dxfId="2456" priority="70">
      <formula>AND($E125 &gt; 0, ISNUMBER($E125))</formula>
    </cfRule>
    <cfRule type="expression" dxfId="2455" priority="71">
      <formula>AND($E125 = 0 * ISNUMBER($E125))</formula>
    </cfRule>
    <cfRule type="expression" dxfId="2454" priority="72">
      <formula>AND($E125 &lt; 0, ISNUMBER($E125))</formula>
    </cfRule>
  </conditionalFormatting>
  <conditionalFormatting sqref="A125:C144 G125:I144">
    <cfRule type="expression" dxfId="2453" priority="67">
      <formula>AND($H125 &gt; 0, ISNUMBER($H125))</formula>
    </cfRule>
    <cfRule type="expression" dxfId="2452" priority="68">
      <formula>AND($H125 = 0 * ISNUMBER($H125))</formula>
    </cfRule>
    <cfRule type="expression" dxfId="2451" priority="69">
      <formula>AND($H125 &lt; 0, ISNUMBER($H125))</formula>
    </cfRule>
  </conditionalFormatting>
  <conditionalFormatting sqref="A125:C144 J125:L144">
    <cfRule type="expression" dxfId="2450" priority="64">
      <formula>AND($K125 &gt; 0, ISNUMBER($K125))</formula>
    </cfRule>
    <cfRule type="expression" dxfId="2449" priority="65">
      <formula>AND($K125 = 0 * ISNUMBER($K125))</formula>
    </cfRule>
    <cfRule type="expression" dxfId="2448" priority="66">
      <formula>AND($K125 &lt; 0, ISNUMBER($K125))</formula>
    </cfRule>
  </conditionalFormatting>
  <conditionalFormatting sqref="D123:F124 E145:F145">
    <cfRule type="expression" dxfId="2447" priority="58">
      <formula>$E$145 &gt; 0</formula>
    </cfRule>
    <cfRule type="expression" dxfId="2446" priority="59">
      <formula>$E$145 = 0</formula>
    </cfRule>
    <cfRule type="expression" dxfId="2445" priority="60">
      <formula>$E$145 &lt; 0</formula>
    </cfRule>
  </conditionalFormatting>
  <conditionalFormatting sqref="G123:I124 H145:I145">
    <cfRule type="expression" dxfId="2444" priority="55">
      <formula>$H$145 &gt; 0</formula>
    </cfRule>
    <cfRule type="expression" dxfId="2443" priority="56">
      <formula>$H$145 = 0</formula>
    </cfRule>
    <cfRule type="expression" dxfId="2442" priority="57">
      <formula>$H$145 &lt; 0</formula>
    </cfRule>
  </conditionalFormatting>
  <conditionalFormatting sqref="J123:L124 K145:L145">
    <cfRule type="expression" dxfId="2441" priority="52">
      <formula>$K$145 &gt; 0</formula>
    </cfRule>
    <cfRule type="expression" dxfId="2440" priority="53">
      <formula>$K$145 = 0</formula>
    </cfRule>
    <cfRule type="expression" dxfId="2439" priority="54">
      <formula>$K$145 &lt; 0</formula>
    </cfRule>
  </conditionalFormatting>
  <conditionalFormatting sqref="M123:O124 N145:O145">
    <cfRule type="expression" dxfId="2438" priority="49">
      <formula>$N$145 &gt; 0</formula>
    </cfRule>
    <cfRule type="expression" dxfId="2437" priority="50">
      <formula>$N$145 = 0</formula>
    </cfRule>
    <cfRule type="expression" dxfId="2436" priority="51">
      <formula>$N$145 &lt; 0</formula>
    </cfRule>
  </conditionalFormatting>
  <conditionalFormatting sqref="A152:C171 M152:O171">
    <cfRule type="expression" dxfId="2435" priority="37">
      <formula>AND($N152 &gt; 0, ISNUMBER($N152))</formula>
    </cfRule>
    <cfRule type="expression" dxfId="2434" priority="38">
      <formula>AND($N152 = 0 * ISNUMBER($N152))</formula>
    </cfRule>
    <cfRule type="expression" dxfId="2433" priority="39">
      <formula>AND($N152 &lt; 0, ISNUMBER($N152))</formula>
    </cfRule>
  </conditionalFormatting>
  <conditionalFormatting sqref="A152:F171">
    <cfRule type="expression" dxfId="2432" priority="46">
      <formula>AND($E152 &gt; 0, ISNUMBER($E152))</formula>
    </cfRule>
    <cfRule type="expression" dxfId="2431" priority="47">
      <formula>AND($E152 = 0 * ISNUMBER($E152))</formula>
    </cfRule>
    <cfRule type="expression" dxfId="2430" priority="48">
      <formula>AND($E152 &lt; 0, ISNUMBER($E152))</formula>
    </cfRule>
  </conditionalFormatting>
  <conditionalFormatting sqref="A152:C171 G152:I171">
    <cfRule type="expression" dxfId="2429" priority="43">
      <formula>AND($H152 &gt; 0, ISNUMBER($H152))</formula>
    </cfRule>
    <cfRule type="expression" dxfId="2428" priority="44">
      <formula>AND($H152 = 0 * ISNUMBER($H152))</formula>
    </cfRule>
    <cfRule type="expression" dxfId="2427" priority="45">
      <formula>AND($H152 &lt; 0, ISNUMBER($H152))</formula>
    </cfRule>
  </conditionalFormatting>
  <conditionalFormatting sqref="A152:C171 J152:L171">
    <cfRule type="expression" dxfId="2426" priority="40">
      <formula>AND($K152 &gt; 0, ISNUMBER($K152))</formula>
    </cfRule>
    <cfRule type="expression" dxfId="2425" priority="41">
      <formula>AND($K152 = 0 * ISNUMBER($K152))</formula>
    </cfRule>
    <cfRule type="expression" dxfId="2424" priority="42">
      <formula>AND($K152 &lt; 0, ISNUMBER($K152))</formula>
    </cfRule>
  </conditionalFormatting>
  <conditionalFormatting sqref="D150:F151 E172:F172">
    <cfRule type="expression" dxfId="2423" priority="34">
      <formula>$E$172 &gt; 0</formula>
    </cfRule>
    <cfRule type="expression" dxfId="2422" priority="35">
      <formula>$E$172 = 0</formula>
    </cfRule>
    <cfRule type="expression" dxfId="2421" priority="36">
      <formula>$E$172 &lt; 0</formula>
    </cfRule>
  </conditionalFormatting>
  <conditionalFormatting sqref="G150:I151 H172:I172">
    <cfRule type="expression" dxfId="2420" priority="31">
      <formula>$H$172 &gt; 0</formula>
    </cfRule>
    <cfRule type="expression" dxfId="2419" priority="32">
      <formula>$H$172 = 0</formula>
    </cfRule>
    <cfRule type="expression" dxfId="2418" priority="33">
      <formula>$H$172 &lt; 0</formula>
    </cfRule>
  </conditionalFormatting>
  <conditionalFormatting sqref="J150:L151 K172:L172">
    <cfRule type="expression" dxfId="2417" priority="28">
      <formula>$K$172 &gt; 0</formula>
    </cfRule>
    <cfRule type="expression" dxfId="2416" priority="29">
      <formula>$K$172 = 0</formula>
    </cfRule>
    <cfRule type="expression" dxfId="2415" priority="30">
      <formula>$K$172 &lt; 0</formula>
    </cfRule>
  </conditionalFormatting>
  <conditionalFormatting sqref="M150:O151 N172:O172">
    <cfRule type="expression" dxfId="2414" priority="25">
      <formula>$N$172 &gt; 0</formula>
    </cfRule>
    <cfRule type="expression" dxfId="2413" priority="26">
      <formula>$N$172 = 0</formula>
    </cfRule>
    <cfRule type="expression" dxfId="2412" priority="27">
      <formula>$N$172 &lt; 0</formula>
    </cfRule>
  </conditionalFormatting>
  <conditionalFormatting sqref="A179:C198 M179:O198">
    <cfRule type="expression" dxfId="2411" priority="13">
      <formula>AND($N179 &gt; 0, ISNUMBER($N179))</formula>
    </cfRule>
    <cfRule type="expression" dxfId="2410" priority="14">
      <formula>AND($N179 = 0 * ISNUMBER($N179))</formula>
    </cfRule>
    <cfRule type="expression" dxfId="2409" priority="15">
      <formula>AND($N179 &lt; 0, ISNUMBER($N179))</formula>
    </cfRule>
  </conditionalFormatting>
  <conditionalFormatting sqref="A179:F198">
    <cfRule type="expression" dxfId="2408" priority="22">
      <formula>AND($E179 &gt; 0, ISNUMBER($E179))</formula>
    </cfRule>
    <cfRule type="expression" dxfId="2407" priority="23">
      <formula>AND($E179 = 0 * ISNUMBER($E179))</formula>
    </cfRule>
    <cfRule type="expression" dxfId="2406" priority="24">
      <formula>AND($E179 &lt; 0, ISNUMBER($E179))</formula>
    </cfRule>
  </conditionalFormatting>
  <conditionalFormatting sqref="A179:C198 G179:I198">
    <cfRule type="expression" dxfId="2405" priority="19">
      <formula>AND($H179 &gt; 0, ISNUMBER($H179))</formula>
    </cfRule>
    <cfRule type="expression" dxfId="2404" priority="20">
      <formula>AND($H179 = 0 * ISNUMBER($H179))</formula>
    </cfRule>
    <cfRule type="expression" dxfId="2403" priority="21">
      <formula>AND($H179 &lt; 0, ISNUMBER($H179))</formula>
    </cfRule>
  </conditionalFormatting>
  <conditionalFormatting sqref="A179:C198 J179:L198">
    <cfRule type="expression" dxfId="2402" priority="16">
      <formula>AND($K179 &gt; 0, ISNUMBER($K179))</formula>
    </cfRule>
    <cfRule type="expression" dxfId="2401" priority="17">
      <formula>AND($K179 = 0 * ISNUMBER($K179))</formula>
    </cfRule>
    <cfRule type="expression" dxfId="2400" priority="18">
      <formula>AND($K179 &lt; 0, ISNUMBER($K179))</formula>
    </cfRule>
  </conditionalFormatting>
  <conditionalFormatting sqref="D177:F178 E199:F199">
    <cfRule type="expression" dxfId="2399" priority="10">
      <formula>$E$199 &gt; 0</formula>
    </cfRule>
    <cfRule type="expression" dxfId="2398" priority="11">
      <formula>$E$199 = 0</formula>
    </cfRule>
    <cfRule type="expression" dxfId="2397" priority="12">
      <formula>$E$199 &lt; 0</formula>
    </cfRule>
  </conditionalFormatting>
  <conditionalFormatting sqref="G177:I178 H199:I199">
    <cfRule type="expression" dxfId="2396" priority="7">
      <formula>$H$199 &gt; 0</formula>
    </cfRule>
    <cfRule type="expression" dxfId="2395" priority="8">
      <formula>$H$199 = 0</formula>
    </cfRule>
    <cfRule type="expression" dxfId="2394" priority="9">
      <formula>$H$199 &lt; 0</formula>
    </cfRule>
  </conditionalFormatting>
  <conditionalFormatting sqref="J177:L178 K199:L199">
    <cfRule type="expression" dxfId="2393" priority="4">
      <formula>$K$199 &gt; 0</formula>
    </cfRule>
    <cfRule type="expression" dxfId="2392" priority="5">
      <formula>$K$199 = 0</formula>
    </cfRule>
    <cfRule type="expression" dxfId="2391" priority="6">
      <formula>$K$199 &lt; 0</formula>
    </cfRule>
  </conditionalFormatting>
  <conditionalFormatting sqref="M177:O178 N199:O199">
    <cfRule type="expression" dxfId="2390" priority="1">
      <formula>$N$199 &gt; 0</formula>
    </cfRule>
    <cfRule type="expression" dxfId="2389" priority="2">
      <formula>$N$199 = 0</formula>
    </cfRule>
    <cfRule type="expression" dxfId="238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44440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320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328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7"/>
      <c r="I3" s="218"/>
      <c r="J3" s="4" t="s">
        <v>7</v>
      </c>
      <c r="K3" s="213" t="s">
        <v>321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322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319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7"/>
      <c r="I5" s="218"/>
      <c r="J5" s="4" t="s">
        <v>15</v>
      </c>
      <c r="K5" s="213" t="s">
        <v>323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324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7"/>
      <c r="I7" s="218"/>
      <c r="J7" s="4" t="s">
        <v>21</v>
      </c>
      <c r="K7" s="213" t="s">
        <v>325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255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326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327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318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16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55149000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2.1442459999999998E-3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2021-09-01(수) 오전 00:00</v>
      </c>
      <c r="C15" s="268"/>
      <c r="D15" s="224" t="str">
        <f>TEXT($G$1, "[$-ko-KR]yyyy-mm-dd(ddd) ") &amp; "오후 14:00"</f>
        <v>2021-09-01(수) 오후 14:00</v>
      </c>
      <c r="E15" s="225"/>
      <c r="F15" s="226"/>
      <c r="G15" s="224" t="str">
        <f>TEXT($G$1, "[$-ko-KR]yyyy-mm-dd(ddd) ") &amp; "오후 19:00"</f>
        <v>2021-09-01(수) 오후 19:00</v>
      </c>
      <c r="H15" s="225"/>
      <c r="I15" s="226"/>
      <c r="J15" s="224" t="str">
        <f>TEXT($G$1, "[$-ko-KR]yyyy-mm-dd(ddd) ") &amp; "오후 21:00"</f>
        <v>2021-09-01(수) 오후 21:00</v>
      </c>
      <c r="K15" s="225"/>
      <c r="L15" s="226"/>
      <c r="M15" s="224" t="str">
        <f>TEXT($G$1+1, "[$-ko-KR]yyyy-mm-dd(ddd) ") &amp; "오전 00:00"</f>
        <v>2021-09-02(목)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16" t="s">
        <v>267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55149000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2.1442459999999998E-3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2021-09-01(수) 오전 00:00</v>
      </c>
      <c r="C42" s="265"/>
      <c r="D42" s="224" t="str">
        <f>TEXT($G$1, "[$-ko-KR]yyyy-mm-dd(ddd) ") &amp; "오후 14:00"</f>
        <v>2021-09-01(수) 오후 14:00</v>
      </c>
      <c r="E42" s="225"/>
      <c r="F42" s="226"/>
      <c r="G42" s="224" t="str">
        <f>TEXT($G$1, "[$-ko-KR]yyyy-mm-dd(ddd) ") &amp; "오후 19:00"</f>
        <v>2021-09-01(수) 오후 19:00</v>
      </c>
      <c r="H42" s="225"/>
      <c r="I42" s="226"/>
      <c r="J42" s="224" t="str">
        <f>TEXT($G$1, "[$-ko-KR]yyyy-mm-dd(ddd) ") &amp; "오후 21:00"</f>
        <v>2021-09-01(수) 오후 21:00</v>
      </c>
      <c r="K42" s="225"/>
      <c r="L42" s="226"/>
      <c r="M42" s="224" t="str">
        <f>TEXT($G$1+1, "[$-ko-KR]yyyy-mm-dd(ddd) ") &amp; "오전 00:00"</f>
        <v>2021-09-02(목)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7"/>
      <c r="R43" s="227"/>
      <c r="S43" s="227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2"/>
      <c r="R44" s="222"/>
      <c r="S44" s="22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2"/>
      <c r="R45" s="222"/>
      <c r="S45" s="22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7"/>
      <c r="R46" s="227"/>
      <c r="S46" s="227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7"/>
      <c r="R47" s="227"/>
      <c r="S47" s="227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7"/>
      <c r="R48" s="227"/>
      <c r="S48" s="227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7"/>
      <c r="R49" s="227"/>
      <c r="S49" s="227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7"/>
      <c r="R50" s="227"/>
      <c r="S50" s="227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7"/>
      <c r="R51" s="227"/>
      <c r="S51" s="227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6"/>
      <c r="R53" s="237"/>
      <c r="S53" s="238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9"/>
      <c r="R54" s="240"/>
      <c r="S54" s="241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2"/>
      <c r="R55" s="243"/>
      <c r="S55" s="244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7"/>
      <c r="R56" s="227"/>
      <c r="S56" s="227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2"/>
      <c r="R57" s="222"/>
      <c r="S57" s="22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2"/>
      <c r="R58" s="222"/>
      <c r="S58" s="22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7"/>
      <c r="R59" s="227"/>
      <c r="S59" s="227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7"/>
      <c r="R60" s="227"/>
      <c r="S60" s="227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132" t="s">
        <v>270</v>
      </c>
      <c r="B64" s="260">
        <f>$B$37</f>
        <v>100000</v>
      </c>
      <c r="C64" s="261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16" t="s">
        <v>267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55149000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2.1442459999999998E-3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2021-09-01(수) 오전 00:00</v>
      </c>
      <c r="C69" s="265"/>
      <c r="D69" s="224" t="str">
        <f>TEXT($G$1, "[$-ko-KR]yyyy-mm-dd(ddd) ") &amp; "오후 14:00"</f>
        <v>2021-09-01(수) 오후 14:00</v>
      </c>
      <c r="E69" s="225"/>
      <c r="F69" s="226"/>
      <c r="G69" s="224" t="str">
        <f>TEXT($G$1, "[$-ko-KR]yyyy-mm-dd(ddd) ") &amp; "오후 19:00"</f>
        <v>2021-09-01(수) 오후 19:00</v>
      </c>
      <c r="H69" s="225"/>
      <c r="I69" s="226"/>
      <c r="J69" s="224" t="str">
        <f>TEXT($G$1, "[$-ko-KR]yyyy-mm-dd(ddd) ") &amp; "오후 21:00"</f>
        <v>2021-09-01(수) 오후 21:00</v>
      </c>
      <c r="K69" s="225"/>
      <c r="L69" s="226"/>
      <c r="M69" s="224" t="str">
        <f>TEXT($G$1+1, "[$-ko-KR]yyyy-mm-dd(ddd) ") &amp; "오전 00:00"</f>
        <v>2021-09-02(목)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7"/>
      <c r="R70" s="227"/>
      <c r="S70" s="227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2"/>
      <c r="R71" s="222"/>
      <c r="S71" s="22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2"/>
      <c r="R72" s="222"/>
      <c r="S72" s="22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7"/>
      <c r="R73" s="227"/>
      <c r="S73" s="227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7"/>
      <c r="R74" s="227"/>
      <c r="S74" s="227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7"/>
      <c r="R75" s="227"/>
      <c r="S75" s="227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7"/>
      <c r="R76" s="227"/>
      <c r="S76" s="227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7"/>
      <c r="R77" s="227"/>
      <c r="S77" s="227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7"/>
      <c r="R78" s="227"/>
      <c r="S78" s="227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6"/>
      <c r="R80" s="237"/>
      <c r="S80" s="238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9"/>
      <c r="R81" s="240"/>
      <c r="S81" s="241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2"/>
      <c r="R82" s="243"/>
      <c r="S82" s="244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7"/>
      <c r="R83" s="227"/>
      <c r="S83" s="227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2"/>
      <c r="R84" s="222"/>
      <c r="S84" s="22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2"/>
      <c r="R85" s="222"/>
      <c r="S85" s="22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7"/>
      <c r="R86" s="227"/>
      <c r="S86" s="227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7"/>
      <c r="R87" s="227"/>
      <c r="S87" s="227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7"/>
      <c r="R88" s="227"/>
      <c r="S88" s="227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9"/>
      <c r="R89" s="250"/>
      <c r="S89" s="251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2"/>
      <c r="R90" s="253"/>
      <c r="S90" s="254"/>
    </row>
    <row r="91" spans="1:19" ht="17.25" thickBot="1">
      <c r="A91" s="132" t="s">
        <v>270</v>
      </c>
      <c r="B91" s="260">
        <f>$B$37</f>
        <v>100000</v>
      </c>
      <c r="C91" s="261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16" t="s">
        <v>267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55149000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2.1442459999999998E-3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2021-09-01(수) 오전 00:00</v>
      </c>
      <c r="C96" s="265"/>
      <c r="D96" s="224" t="str">
        <f>TEXT($G$1, "[$-ko-KR]yyyy-mm-dd(ddd) ") &amp; "오후 14:00"</f>
        <v>2021-09-01(수) 오후 14:00</v>
      </c>
      <c r="E96" s="225"/>
      <c r="F96" s="226"/>
      <c r="G96" s="224" t="str">
        <f>TEXT($G$1, "[$-ko-KR]yyyy-mm-dd(ddd) ") &amp; "오후 19:00"</f>
        <v>2021-09-01(수) 오후 19:00</v>
      </c>
      <c r="H96" s="225"/>
      <c r="I96" s="226"/>
      <c r="J96" s="224" t="str">
        <f>TEXT($G$1, "[$-ko-KR]yyyy-mm-dd(ddd) ") &amp; "오후 21:00"</f>
        <v>2021-09-01(수) 오후 21:00</v>
      </c>
      <c r="K96" s="225"/>
      <c r="L96" s="226"/>
      <c r="M96" s="224" t="str">
        <f>TEXT($G$1+1, "[$-ko-KR]yyyy-mm-dd(ddd) ") &amp; "오전 00:00"</f>
        <v>2021-09-02(목)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7"/>
      <c r="R97" s="227"/>
      <c r="S97" s="227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2"/>
      <c r="R98" s="222"/>
      <c r="S98" s="22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2"/>
      <c r="R99" s="222"/>
      <c r="S99" s="22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7"/>
      <c r="R100" s="227"/>
      <c r="S100" s="227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7"/>
      <c r="R101" s="227"/>
      <c r="S101" s="227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7"/>
      <c r="R102" s="227"/>
      <c r="S102" s="227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7"/>
      <c r="R103" s="227"/>
      <c r="S103" s="227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7"/>
      <c r="R104" s="227"/>
      <c r="S104" s="227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7"/>
      <c r="R105" s="227"/>
      <c r="S105" s="227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6"/>
      <c r="R107" s="237"/>
      <c r="S107" s="238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9"/>
      <c r="R108" s="240"/>
      <c r="S108" s="241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2"/>
      <c r="R109" s="243"/>
      <c r="S109" s="244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7"/>
      <c r="R110" s="227"/>
      <c r="S110" s="227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2"/>
      <c r="R111" s="222"/>
      <c r="S111" s="22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2"/>
      <c r="R112" s="222"/>
      <c r="S112" s="22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7"/>
      <c r="R113" s="227"/>
      <c r="S113" s="227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7"/>
      <c r="R114" s="227"/>
      <c r="S114" s="227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7"/>
      <c r="R115" s="227"/>
      <c r="S115" s="227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9"/>
      <c r="R116" s="250"/>
      <c r="S116" s="251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2"/>
      <c r="R117" s="253"/>
      <c r="S117" s="254"/>
    </row>
    <row r="118" spans="1:19" ht="17.25" thickBot="1">
      <c r="A118" s="132" t="s">
        <v>270</v>
      </c>
      <c r="B118" s="260">
        <f>$B$37</f>
        <v>100000</v>
      </c>
      <c r="C118" s="261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55"/>
      <c r="R118" s="256"/>
      <c r="S118" s="257"/>
    </row>
    <row r="120" spans="1:19" ht="17.25" thickBot="1"/>
    <row r="121" spans="1:19" ht="17.25" thickBot="1">
      <c r="A121" s="201" t="s">
        <v>258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16" t="s">
        <v>267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55149000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2.1442459999999998E-3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2021-09-01(수) 오전 00:00</v>
      </c>
      <c r="C123" s="265"/>
      <c r="D123" s="224" t="str">
        <f>TEXT($G$1, "[$-ko-KR]yyyy-mm-dd(ddd) ") &amp; "오후 14:00"</f>
        <v>2021-09-01(수) 오후 14:00</v>
      </c>
      <c r="E123" s="225"/>
      <c r="F123" s="226"/>
      <c r="G123" s="224" t="str">
        <f>TEXT($G$1, "[$-ko-KR]yyyy-mm-dd(ddd) ") &amp; "오후 19:00"</f>
        <v>2021-09-01(수) 오후 19:00</v>
      </c>
      <c r="H123" s="225"/>
      <c r="I123" s="226"/>
      <c r="J123" s="224" t="str">
        <f>TEXT($G$1, "[$-ko-KR]yyyy-mm-dd(ddd) ") &amp; "오후 21:00"</f>
        <v>2021-09-01(수) 오후 21:00</v>
      </c>
      <c r="K123" s="225"/>
      <c r="L123" s="226"/>
      <c r="M123" s="224" t="str">
        <f>TEXT($G$1+1, "[$-ko-KR]yyyy-mm-dd(ddd) ") &amp; "오전 00:00"</f>
        <v>2021-09-02(목)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7"/>
      <c r="R124" s="227"/>
      <c r="S124" s="227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2"/>
      <c r="R125" s="222"/>
      <c r="S125" s="22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2"/>
      <c r="R126" s="222"/>
      <c r="S126" s="22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7"/>
      <c r="R127" s="227"/>
      <c r="S127" s="227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7"/>
      <c r="R128" s="227"/>
      <c r="S128" s="227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7"/>
      <c r="R129" s="227"/>
      <c r="S129" s="227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7"/>
      <c r="R130" s="227"/>
      <c r="S130" s="227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7"/>
      <c r="R131" s="227"/>
      <c r="S131" s="227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7"/>
      <c r="R132" s="227"/>
      <c r="S132" s="227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6"/>
      <c r="R134" s="237"/>
      <c r="S134" s="238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9"/>
      <c r="R135" s="240"/>
      <c r="S135" s="241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2"/>
      <c r="R136" s="243"/>
      <c r="S136" s="244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7"/>
      <c r="R137" s="227"/>
      <c r="S137" s="227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2"/>
      <c r="R138" s="222"/>
      <c r="S138" s="22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2"/>
      <c r="R139" s="222"/>
      <c r="S139" s="22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7"/>
      <c r="R140" s="227"/>
      <c r="S140" s="227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7"/>
      <c r="R141" s="227"/>
      <c r="S141" s="227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132" t="s">
        <v>270</v>
      </c>
      <c r="B145" s="260">
        <f>$B$37</f>
        <v>100000</v>
      </c>
      <c r="C145" s="261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55"/>
      <c r="R145" s="256"/>
      <c r="S145" s="257"/>
    </row>
    <row r="147" spans="1:19" ht="17.25" thickBot="1"/>
    <row r="148" spans="1:19" ht="17.25" thickBot="1">
      <c r="A148" s="201" t="s">
        <v>259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16" t="s">
        <v>267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55149000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2.1442459999999998E-3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2021-09-01(수) 오전 00:00</v>
      </c>
      <c r="C150" s="265"/>
      <c r="D150" s="224" t="str">
        <f>TEXT($G$1, "[$-ko-KR]yyyy-mm-dd(ddd) ") &amp; "오후 14:00"</f>
        <v>2021-09-01(수) 오후 14:00</v>
      </c>
      <c r="E150" s="225"/>
      <c r="F150" s="226"/>
      <c r="G150" s="224" t="str">
        <f>TEXT($G$1, "[$-ko-KR]yyyy-mm-dd(ddd) ") &amp; "오후 19:00"</f>
        <v>2021-09-01(수) 오후 19:00</v>
      </c>
      <c r="H150" s="225"/>
      <c r="I150" s="226"/>
      <c r="J150" s="224" t="str">
        <f>TEXT($G$1, "[$-ko-KR]yyyy-mm-dd(ddd) ") &amp; "오후 21:00"</f>
        <v>2021-09-01(수) 오후 21:00</v>
      </c>
      <c r="K150" s="225"/>
      <c r="L150" s="226"/>
      <c r="M150" s="224" t="str">
        <f>TEXT($G$1+1, "[$-ko-KR]yyyy-mm-dd(ddd) ") &amp; "오전 00:00"</f>
        <v>2021-09-02(목)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7"/>
      <c r="R151" s="227"/>
      <c r="S151" s="227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2"/>
      <c r="R152" s="222"/>
      <c r="S152" s="22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2"/>
      <c r="R153" s="222"/>
      <c r="S153" s="22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7"/>
      <c r="R154" s="227"/>
      <c r="S154" s="227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7"/>
      <c r="R155" s="227"/>
      <c r="S155" s="227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7"/>
      <c r="R156" s="227"/>
      <c r="S156" s="227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7"/>
      <c r="R157" s="227"/>
      <c r="S157" s="227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7"/>
      <c r="R158" s="227"/>
      <c r="S158" s="227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7"/>
      <c r="R159" s="227"/>
      <c r="S159" s="227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6"/>
      <c r="R161" s="237"/>
      <c r="S161" s="238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9"/>
      <c r="R162" s="240"/>
      <c r="S162" s="241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2"/>
      <c r="R163" s="243"/>
      <c r="S163" s="244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7"/>
      <c r="R164" s="227"/>
      <c r="S164" s="227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2"/>
      <c r="R165" s="222"/>
      <c r="S165" s="22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2"/>
      <c r="R166" s="222"/>
      <c r="S166" s="22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7"/>
      <c r="R167" s="227"/>
      <c r="S167" s="227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7"/>
      <c r="R168" s="227"/>
      <c r="S168" s="227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7"/>
      <c r="R169" s="227"/>
      <c r="S169" s="227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9"/>
      <c r="R170" s="250"/>
      <c r="S170" s="251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2"/>
      <c r="R171" s="253"/>
      <c r="S171" s="254"/>
    </row>
    <row r="172" spans="1:19" ht="17.25" thickBot="1">
      <c r="A172" s="132" t="s">
        <v>270</v>
      </c>
      <c r="B172" s="260">
        <f>$B$37</f>
        <v>100000</v>
      </c>
      <c r="C172" s="261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55"/>
      <c r="R172" s="256"/>
      <c r="S172" s="257"/>
    </row>
    <row r="174" spans="1:19" ht="17.25" thickBot="1"/>
    <row r="175" spans="1:19" ht="17.25" thickBot="1">
      <c r="A175" s="201" t="s">
        <v>255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16" t="s">
        <v>267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55149000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2.1442459999999998E-3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2021-09-01(수) 오전 00:00</v>
      </c>
      <c r="C177" s="265"/>
      <c r="D177" s="224" t="str">
        <f>TEXT($G$1, "[$-ko-KR]yyyy-mm-dd(ddd) ") &amp; "오후 14:00"</f>
        <v>2021-09-01(수) 오후 14:00</v>
      </c>
      <c r="E177" s="225"/>
      <c r="F177" s="226"/>
      <c r="G177" s="224" t="str">
        <f>TEXT($G$1, "[$-ko-KR]yyyy-mm-dd(ddd) ") &amp; "오후 19:00"</f>
        <v>2021-09-01(수) 오후 19:00</v>
      </c>
      <c r="H177" s="225"/>
      <c r="I177" s="226"/>
      <c r="J177" s="224" t="str">
        <f>TEXT($G$1, "[$-ko-KR]yyyy-mm-dd(ddd) ") &amp; "오후 21:00"</f>
        <v>2021-09-01(수) 오후 21:00</v>
      </c>
      <c r="K177" s="225"/>
      <c r="L177" s="226"/>
      <c r="M177" s="224" t="str">
        <f>TEXT($G$1+1, "[$-ko-KR]yyyy-mm-dd(ddd) ") &amp; "오전 00:00"</f>
        <v>2021-09-02(목)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7"/>
      <c r="R178" s="227"/>
      <c r="S178" s="227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2"/>
      <c r="R179" s="222"/>
      <c r="S179" s="22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2"/>
      <c r="R180" s="222"/>
      <c r="S180" s="22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7"/>
      <c r="R181" s="227"/>
      <c r="S181" s="227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7"/>
      <c r="R182" s="227"/>
      <c r="S182" s="227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7"/>
      <c r="R183" s="227"/>
      <c r="S183" s="227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7"/>
      <c r="R184" s="227"/>
      <c r="S184" s="227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7"/>
      <c r="R185" s="227"/>
      <c r="S185" s="227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7"/>
      <c r="R186" s="227"/>
      <c r="S186" s="227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6"/>
      <c r="R188" s="237"/>
      <c r="S188" s="238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9"/>
      <c r="R189" s="240"/>
      <c r="S189" s="241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2"/>
      <c r="R190" s="243"/>
      <c r="S190" s="244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7"/>
      <c r="R191" s="227"/>
      <c r="S191" s="227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2"/>
      <c r="R192" s="222"/>
      <c r="S192" s="22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2"/>
      <c r="R193" s="222"/>
      <c r="S193" s="22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7"/>
      <c r="R194" s="227"/>
      <c r="S194" s="227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7"/>
      <c r="R195" s="227"/>
      <c r="S195" s="227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7"/>
      <c r="R196" s="227"/>
      <c r="S196" s="227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9"/>
      <c r="R197" s="250"/>
      <c r="S197" s="251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2"/>
      <c r="R198" s="253"/>
      <c r="S198" s="254"/>
    </row>
    <row r="199" spans="1:19" ht="17.25" thickBot="1">
      <c r="A199" s="132" t="s">
        <v>270</v>
      </c>
      <c r="B199" s="260">
        <f>$B$37</f>
        <v>100000</v>
      </c>
      <c r="C199" s="261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55"/>
      <c r="R199" s="256"/>
      <c r="S199" s="257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238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8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8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8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8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8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8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8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7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7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77" priority="289">
      <formula>AND($N17 &gt; 0, ISNUMBER($N17))</formula>
    </cfRule>
    <cfRule type="expression" dxfId="2376" priority="290">
      <formula>AND($N17 = 0 * ISNUMBER($N17))</formula>
    </cfRule>
    <cfRule type="expression" dxfId="2375" priority="291">
      <formula>AND($N17 &lt; 0, ISNUMBER($N17))</formula>
    </cfRule>
  </conditionalFormatting>
  <conditionalFormatting sqref="A17:C36 D17:F36">
    <cfRule type="expression" dxfId="2374" priority="298">
      <formula>AND($E17 &gt; 0, ISNUMBER($E17))</formula>
    </cfRule>
    <cfRule type="expression" dxfId="2373" priority="299">
      <formula>AND($E17 = 0 * ISNUMBER($E17))</formula>
    </cfRule>
    <cfRule type="expression" dxfId="2372" priority="300">
      <formula>AND($E17 &lt; 0, ISNUMBER($E17))</formula>
    </cfRule>
  </conditionalFormatting>
  <conditionalFormatting sqref="A17:C36 G17:I36">
    <cfRule type="expression" dxfId="2371" priority="295">
      <formula>AND($H17 &gt; 0, ISNUMBER($H17))</formula>
    </cfRule>
    <cfRule type="expression" dxfId="2370" priority="296">
      <formula>AND($H17 = 0 * ISNUMBER($H17))</formula>
    </cfRule>
    <cfRule type="expression" dxfId="2369" priority="297">
      <formula>AND($H17 &lt; 0, ISNUMBER($H17))</formula>
    </cfRule>
  </conditionalFormatting>
  <conditionalFormatting sqref="A17:C36 J17:L36">
    <cfRule type="expression" dxfId="2368" priority="292">
      <formula>AND($K17 &gt; 0, ISNUMBER($K17))</formula>
    </cfRule>
    <cfRule type="expression" dxfId="2367" priority="293">
      <formula>AND($K17 = 0 * ISNUMBER($K17))</formula>
    </cfRule>
    <cfRule type="expression" dxfId="2366" priority="294">
      <formula>AND($K17 &lt; 0, ISNUMBER($K17))</formula>
    </cfRule>
  </conditionalFormatting>
  <conditionalFormatting sqref="D15:F16 E37:F37">
    <cfRule type="expression" dxfId="2365" priority="286">
      <formula>$E$37 &gt; 0</formula>
    </cfRule>
    <cfRule type="expression" dxfId="2364" priority="287">
      <formula>$E$37 = 0</formula>
    </cfRule>
    <cfRule type="expression" dxfId="2363" priority="288">
      <formula>$E$37 &lt; 0</formula>
    </cfRule>
  </conditionalFormatting>
  <conditionalFormatting sqref="G15:I16 H37:I37">
    <cfRule type="expression" dxfId="2362" priority="283">
      <formula>$H$37 &gt; 0</formula>
    </cfRule>
    <cfRule type="expression" dxfId="2361" priority="284">
      <formula>$H$37 = 0</formula>
    </cfRule>
    <cfRule type="expression" dxfId="2360" priority="285">
      <formula>$H$37 &lt; 0</formula>
    </cfRule>
  </conditionalFormatting>
  <conditionalFormatting sqref="J15:L16 K37:L37">
    <cfRule type="expression" dxfId="2359" priority="280">
      <formula>$K$37 &gt; 0</formula>
    </cfRule>
    <cfRule type="expression" dxfId="2358" priority="281">
      <formula>$K$37 = 0</formula>
    </cfRule>
    <cfRule type="expression" dxfId="2357" priority="282">
      <formula>$K$37 &lt; 0</formula>
    </cfRule>
  </conditionalFormatting>
  <conditionalFormatting sqref="M15:O16 N37:O37">
    <cfRule type="expression" dxfId="2356" priority="277">
      <formula>$N$37 &gt; 0</formula>
    </cfRule>
    <cfRule type="expression" dxfId="2355" priority="278">
      <formula>$N$37 = 0</formula>
    </cfRule>
    <cfRule type="expression" dxfId="2354" priority="279">
      <formula>$N$37 &lt; 0</formula>
    </cfRule>
  </conditionalFormatting>
  <conditionalFormatting sqref="A44:C63 M44:O63">
    <cfRule type="expression" dxfId="2353" priority="265">
      <formula>AND($N44 &gt; 0, ISNUMBER($N44))</formula>
    </cfRule>
    <cfRule type="expression" dxfId="2352" priority="266">
      <formula>AND($N44 = 0 * ISNUMBER($N44))</formula>
    </cfRule>
    <cfRule type="expression" dxfId="2351" priority="267">
      <formula>AND($N44 &lt; 0, ISNUMBER($N44))</formula>
    </cfRule>
  </conditionalFormatting>
  <conditionalFormatting sqref="A44:F63">
    <cfRule type="expression" dxfId="2350" priority="274">
      <formula>AND($E44 &gt; 0, ISNUMBER($E44))</formula>
    </cfRule>
    <cfRule type="expression" dxfId="2349" priority="275">
      <formula>AND($E44 = 0 * ISNUMBER($E44))</formula>
    </cfRule>
    <cfRule type="expression" dxfId="2348" priority="276">
      <formula>AND($E44 &lt; 0, ISNUMBER($E44))</formula>
    </cfRule>
  </conditionalFormatting>
  <conditionalFormatting sqref="A44:C63 G44:I63">
    <cfRule type="expression" dxfId="2347" priority="271">
      <formula>AND($H44 &gt; 0, ISNUMBER($H44))</formula>
    </cfRule>
    <cfRule type="expression" dxfId="2346" priority="272">
      <formula>AND($H44 = 0 * ISNUMBER($H44))</formula>
    </cfRule>
    <cfRule type="expression" dxfId="2345" priority="273">
      <formula>AND($H44 &lt; 0, ISNUMBER($H44))</formula>
    </cfRule>
  </conditionalFormatting>
  <conditionalFormatting sqref="A44:C63 J44:L63">
    <cfRule type="expression" dxfId="2344" priority="268">
      <formula>AND($K44 &gt; 0, ISNUMBER($K44))</formula>
    </cfRule>
    <cfRule type="expression" dxfId="2343" priority="269">
      <formula>AND($K44 = 0 * ISNUMBER($K44))</formula>
    </cfRule>
    <cfRule type="expression" dxfId="2342" priority="270">
      <formula>AND($K44 &lt; 0, ISNUMBER($K44))</formula>
    </cfRule>
  </conditionalFormatting>
  <conditionalFormatting sqref="D42:F43 E64:F64">
    <cfRule type="expression" dxfId="2341" priority="262">
      <formula>$E$64 &gt; 0</formula>
    </cfRule>
    <cfRule type="expression" dxfId="2340" priority="263">
      <formula>$E$64 = 0</formula>
    </cfRule>
    <cfRule type="expression" dxfId="2339" priority="264">
      <formula>$E$64 &lt; 0</formula>
    </cfRule>
  </conditionalFormatting>
  <conditionalFormatting sqref="G42:I43 H64:I64">
    <cfRule type="expression" dxfId="2338" priority="259">
      <formula>$H$64 &gt; 0</formula>
    </cfRule>
    <cfRule type="expression" dxfId="2337" priority="260">
      <formula>$H$64 = 0</formula>
    </cfRule>
    <cfRule type="expression" dxfId="2336" priority="261">
      <formula>$H$64 &lt; 0</formula>
    </cfRule>
  </conditionalFormatting>
  <conditionalFormatting sqref="J42:L43 K64:L64">
    <cfRule type="expression" dxfId="2335" priority="256">
      <formula>$K$64 &gt; 0</formula>
    </cfRule>
    <cfRule type="expression" dxfId="2334" priority="257">
      <formula>$K$64 = 0</formula>
    </cfRule>
    <cfRule type="expression" dxfId="2333" priority="258">
      <formula>$K$64 &lt; 0</formula>
    </cfRule>
  </conditionalFormatting>
  <conditionalFormatting sqref="M42:O43 N64:O64">
    <cfRule type="expression" dxfId="2332" priority="253">
      <formula>$N$64 &gt; 0</formula>
    </cfRule>
    <cfRule type="expression" dxfId="2331" priority="254">
      <formula>$N$64 = 0</formula>
    </cfRule>
    <cfRule type="expression" dxfId="2330" priority="255">
      <formula>$N$64 &lt; 0</formula>
    </cfRule>
  </conditionalFormatting>
  <conditionalFormatting sqref="A71:C90 M71:O90">
    <cfRule type="expression" dxfId="2329" priority="109">
      <formula>AND($N71 &gt; 0, ISNUMBER($N71))</formula>
    </cfRule>
    <cfRule type="expression" dxfId="2328" priority="110">
      <formula>AND($N71 = 0 * ISNUMBER($N71))</formula>
    </cfRule>
    <cfRule type="expression" dxfId="2327" priority="111">
      <formula>AND($N71 &lt; 0, ISNUMBER($N71))</formula>
    </cfRule>
  </conditionalFormatting>
  <conditionalFormatting sqref="A71:F90">
    <cfRule type="expression" dxfId="2326" priority="118">
      <formula>AND($E71 &gt; 0, ISNUMBER($E71))</formula>
    </cfRule>
    <cfRule type="expression" dxfId="2325" priority="119">
      <formula>AND($E71 = 0 * ISNUMBER($E71))</formula>
    </cfRule>
    <cfRule type="expression" dxfId="2324" priority="120">
      <formula>AND($E71 &lt; 0, ISNUMBER($E71))</formula>
    </cfRule>
  </conditionalFormatting>
  <conditionalFormatting sqref="A71:C90 G71:I90">
    <cfRule type="expression" dxfId="2323" priority="115">
      <formula>AND($H71 &gt; 0, ISNUMBER($H71))</formula>
    </cfRule>
    <cfRule type="expression" dxfId="2322" priority="116">
      <formula>AND($H71 = 0 * ISNUMBER($H71))</formula>
    </cfRule>
    <cfRule type="expression" dxfId="2321" priority="117">
      <formula>AND($H71 &lt; 0, ISNUMBER($H71))</formula>
    </cfRule>
  </conditionalFormatting>
  <conditionalFormatting sqref="A71:C90 J71:L90">
    <cfRule type="expression" dxfId="2320" priority="112">
      <formula>AND($K71 &gt; 0, ISNUMBER($K71))</formula>
    </cfRule>
    <cfRule type="expression" dxfId="2319" priority="113">
      <formula>AND($K71 = 0 * ISNUMBER($K71))</formula>
    </cfRule>
    <cfRule type="expression" dxfId="2318" priority="114">
      <formula>AND($K71 &lt; 0, ISNUMBER($K71))</formula>
    </cfRule>
  </conditionalFormatting>
  <conditionalFormatting sqref="D69:F70 E91:F91">
    <cfRule type="expression" dxfId="2317" priority="106">
      <formula>$E$91 &gt; 0</formula>
    </cfRule>
    <cfRule type="expression" dxfId="2316" priority="107">
      <formula>$E$91 = 0</formula>
    </cfRule>
    <cfRule type="expression" dxfId="2315" priority="108">
      <formula>$E$91 &lt; 0</formula>
    </cfRule>
  </conditionalFormatting>
  <conditionalFormatting sqref="G69:I70 H91:I91">
    <cfRule type="expression" dxfId="2314" priority="103">
      <formula>$H$91 &gt; 0</formula>
    </cfRule>
    <cfRule type="expression" dxfId="2313" priority="104">
      <formula>$H$91 = 0</formula>
    </cfRule>
    <cfRule type="expression" dxfId="2312" priority="105">
      <formula>$H$91 &lt; 0</formula>
    </cfRule>
  </conditionalFormatting>
  <conditionalFormatting sqref="J69:L70 K91:L91">
    <cfRule type="expression" dxfId="2311" priority="100">
      <formula>$K$91 &gt; 0</formula>
    </cfRule>
    <cfRule type="expression" dxfId="2310" priority="101">
      <formula>$K$91 = 0</formula>
    </cfRule>
    <cfRule type="expression" dxfId="2309" priority="102">
      <formula>$K$91 &lt; 0</formula>
    </cfRule>
  </conditionalFormatting>
  <conditionalFormatting sqref="M69:O70 N91:O91">
    <cfRule type="expression" dxfId="2308" priority="97">
      <formula>$N$91 &gt; 0</formula>
    </cfRule>
    <cfRule type="expression" dxfId="2307" priority="98">
      <formula>$N$91 = 0</formula>
    </cfRule>
    <cfRule type="expression" dxfId="2306" priority="99">
      <formula>$N$91 &lt; 0</formula>
    </cfRule>
  </conditionalFormatting>
  <conditionalFormatting sqref="A98:C117 M98:O117">
    <cfRule type="expression" dxfId="2305" priority="85">
      <formula>AND($N98 &gt; 0, ISNUMBER($N98))</formula>
    </cfRule>
    <cfRule type="expression" dxfId="2304" priority="86">
      <formula>AND($N98 = 0 * ISNUMBER($N98))</formula>
    </cfRule>
    <cfRule type="expression" dxfId="2303" priority="87">
      <formula>AND($N98 &lt; 0, ISNUMBER($N98))</formula>
    </cfRule>
  </conditionalFormatting>
  <conditionalFormatting sqref="A98:F117">
    <cfRule type="expression" dxfId="2302" priority="94">
      <formula>AND($E98 &gt; 0, ISNUMBER($E98))</formula>
    </cfRule>
    <cfRule type="expression" dxfId="2301" priority="95">
      <formula>AND($E98 = 0 * ISNUMBER($E98))</formula>
    </cfRule>
    <cfRule type="expression" dxfId="2300" priority="96">
      <formula>AND($E98 &lt; 0, ISNUMBER($E98))</formula>
    </cfRule>
  </conditionalFormatting>
  <conditionalFormatting sqref="A98:C117 G98:I117">
    <cfRule type="expression" dxfId="2299" priority="91">
      <formula>AND($H98 &gt; 0, ISNUMBER($H98))</formula>
    </cfRule>
    <cfRule type="expression" dxfId="2298" priority="92">
      <formula>AND($H98 = 0 * ISNUMBER($H98))</formula>
    </cfRule>
    <cfRule type="expression" dxfId="2297" priority="93">
      <formula>AND($H98 &lt; 0, ISNUMBER($H98))</formula>
    </cfRule>
  </conditionalFormatting>
  <conditionalFormatting sqref="A98:C117 J98:L117">
    <cfRule type="expression" dxfId="2296" priority="88">
      <formula>AND($K98 &gt; 0, ISNUMBER($K98))</formula>
    </cfRule>
    <cfRule type="expression" dxfId="2295" priority="89">
      <formula>AND($K98 = 0 * ISNUMBER($K98))</formula>
    </cfRule>
    <cfRule type="expression" dxfId="2294" priority="90">
      <formula>AND($K98 &lt; 0, ISNUMBER($K98))</formula>
    </cfRule>
  </conditionalFormatting>
  <conditionalFormatting sqref="D96:F97 E118:F118">
    <cfRule type="expression" dxfId="2293" priority="82">
      <formula>$E$118 &gt; 0</formula>
    </cfRule>
    <cfRule type="expression" dxfId="2292" priority="83">
      <formula>$E$118 = 0</formula>
    </cfRule>
    <cfRule type="expression" dxfId="2291" priority="84">
      <formula>$E$118 &lt; 0</formula>
    </cfRule>
  </conditionalFormatting>
  <conditionalFormatting sqref="G96:I97 H118:I118">
    <cfRule type="expression" dxfId="2290" priority="79">
      <formula>$H$118 &gt; 0</formula>
    </cfRule>
    <cfRule type="expression" dxfId="2289" priority="80">
      <formula>$H$118 = 0</formula>
    </cfRule>
    <cfRule type="expression" dxfId="2288" priority="81">
      <formula>$H$118 &lt; 0</formula>
    </cfRule>
  </conditionalFormatting>
  <conditionalFormatting sqref="J96:L97 K118:L118">
    <cfRule type="expression" dxfId="2287" priority="76">
      <formula>$K$118 &gt; 0</formula>
    </cfRule>
    <cfRule type="expression" dxfId="2286" priority="77">
      <formula>$K$118 = 0</formula>
    </cfRule>
    <cfRule type="expression" dxfId="2285" priority="78">
      <formula>$K$118 &lt; 0</formula>
    </cfRule>
  </conditionalFormatting>
  <conditionalFormatting sqref="M96:O97 N118:O118">
    <cfRule type="expression" dxfId="2284" priority="73">
      <formula>$N$118 &gt; 0</formula>
    </cfRule>
    <cfRule type="expression" dxfId="2283" priority="74">
      <formula>$N$118 = 0</formula>
    </cfRule>
    <cfRule type="expression" dxfId="2282" priority="75">
      <formula>$N$118 &lt; 0</formula>
    </cfRule>
  </conditionalFormatting>
  <conditionalFormatting sqref="A125:C144 M125:O144">
    <cfRule type="expression" dxfId="2281" priority="61">
      <formula>AND($N125 &gt; 0, ISNUMBER($N125))</formula>
    </cfRule>
    <cfRule type="expression" dxfId="2280" priority="62">
      <formula>AND($N125 = 0 * ISNUMBER($N125))</formula>
    </cfRule>
    <cfRule type="expression" dxfId="2279" priority="63">
      <formula>AND($N125 &lt; 0, ISNUMBER($N125))</formula>
    </cfRule>
  </conditionalFormatting>
  <conditionalFormatting sqref="A125:F144">
    <cfRule type="expression" dxfId="2278" priority="70">
      <formula>AND($E125 &gt; 0, ISNUMBER($E125))</formula>
    </cfRule>
    <cfRule type="expression" dxfId="2277" priority="71">
      <formula>AND($E125 = 0 * ISNUMBER($E125))</formula>
    </cfRule>
    <cfRule type="expression" dxfId="2276" priority="72">
      <formula>AND($E125 &lt; 0, ISNUMBER($E125))</formula>
    </cfRule>
  </conditionalFormatting>
  <conditionalFormatting sqref="A125:C144 G125:I144">
    <cfRule type="expression" dxfId="2275" priority="67">
      <formula>AND($H125 &gt; 0, ISNUMBER($H125))</formula>
    </cfRule>
    <cfRule type="expression" dxfId="2274" priority="68">
      <formula>AND($H125 = 0 * ISNUMBER($H125))</formula>
    </cfRule>
    <cfRule type="expression" dxfId="2273" priority="69">
      <formula>AND($H125 &lt; 0, ISNUMBER($H125))</formula>
    </cfRule>
  </conditionalFormatting>
  <conditionalFormatting sqref="A125:C144 J125:L144">
    <cfRule type="expression" dxfId="2272" priority="64">
      <formula>AND($K125 &gt; 0, ISNUMBER($K125))</formula>
    </cfRule>
    <cfRule type="expression" dxfId="2271" priority="65">
      <formula>AND($K125 = 0 * ISNUMBER($K125))</formula>
    </cfRule>
    <cfRule type="expression" dxfId="2270" priority="66">
      <formula>AND($K125 &lt; 0, ISNUMBER($K125))</formula>
    </cfRule>
  </conditionalFormatting>
  <conditionalFormatting sqref="D123:F124 E145:F145">
    <cfRule type="expression" dxfId="2269" priority="58">
      <formula>$E$145 &gt; 0</formula>
    </cfRule>
    <cfRule type="expression" dxfId="2268" priority="59">
      <formula>$E$145 = 0</formula>
    </cfRule>
    <cfRule type="expression" dxfId="2267" priority="60">
      <formula>$E$145 &lt; 0</formula>
    </cfRule>
  </conditionalFormatting>
  <conditionalFormatting sqref="G123:I124 H145:I145">
    <cfRule type="expression" dxfId="2266" priority="55">
      <formula>$H$145 &gt; 0</formula>
    </cfRule>
    <cfRule type="expression" dxfId="2265" priority="56">
      <formula>$H$145 = 0</formula>
    </cfRule>
    <cfRule type="expression" dxfId="2264" priority="57">
      <formula>$H$145 &lt; 0</formula>
    </cfRule>
  </conditionalFormatting>
  <conditionalFormatting sqref="J123:L124 K145:L145">
    <cfRule type="expression" dxfId="2263" priority="52">
      <formula>$K$145 &gt; 0</formula>
    </cfRule>
    <cfRule type="expression" dxfId="2262" priority="53">
      <formula>$K$145 = 0</formula>
    </cfRule>
    <cfRule type="expression" dxfId="2261" priority="54">
      <formula>$K$145 &lt; 0</formula>
    </cfRule>
  </conditionalFormatting>
  <conditionalFormatting sqref="M123:O124 N145:O145">
    <cfRule type="expression" dxfId="2260" priority="49">
      <formula>$N$145 &gt; 0</formula>
    </cfRule>
    <cfRule type="expression" dxfId="2259" priority="50">
      <formula>$N$145 = 0</formula>
    </cfRule>
    <cfRule type="expression" dxfId="2258" priority="51">
      <formula>$N$145 &lt; 0</formula>
    </cfRule>
  </conditionalFormatting>
  <conditionalFormatting sqref="A152:C171 M152:O171">
    <cfRule type="expression" dxfId="2257" priority="37">
      <formula>AND($N152 &gt; 0, ISNUMBER($N152))</formula>
    </cfRule>
    <cfRule type="expression" dxfId="2256" priority="38">
      <formula>AND($N152 = 0 * ISNUMBER($N152))</formula>
    </cfRule>
    <cfRule type="expression" dxfId="2255" priority="39">
      <formula>AND($N152 &lt; 0, ISNUMBER($N152))</formula>
    </cfRule>
  </conditionalFormatting>
  <conditionalFormatting sqref="A152:F171">
    <cfRule type="expression" dxfId="2254" priority="46">
      <formula>AND($E152 &gt; 0, ISNUMBER($E152))</formula>
    </cfRule>
    <cfRule type="expression" dxfId="2253" priority="47">
      <formula>AND($E152 = 0 * ISNUMBER($E152))</formula>
    </cfRule>
    <cfRule type="expression" dxfId="2252" priority="48">
      <formula>AND($E152 &lt; 0, ISNUMBER($E152))</formula>
    </cfRule>
  </conditionalFormatting>
  <conditionalFormatting sqref="A152:C171 G152:I171">
    <cfRule type="expression" dxfId="2251" priority="43">
      <formula>AND($H152 &gt; 0, ISNUMBER($H152))</formula>
    </cfRule>
    <cfRule type="expression" dxfId="2250" priority="44">
      <formula>AND($H152 = 0 * ISNUMBER($H152))</formula>
    </cfRule>
    <cfRule type="expression" dxfId="2249" priority="45">
      <formula>AND($H152 &lt; 0, ISNUMBER($H152))</formula>
    </cfRule>
  </conditionalFormatting>
  <conditionalFormatting sqref="A152:C171 J152:L171">
    <cfRule type="expression" dxfId="2248" priority="40">
      <formula>AND($K152 &gt; 0, ISNUMBER($K152))</formula>
    </cfRule>
    <cfRule type="expression" dxfId="2247" priority="41">
      <formula>AND($K152 = 0 * ISNUMBER($K152))</formula>
    </cfRule>
    <cfRule type="expression" dxfId="2246" priority="42">
      <formula>AND($K152 &lt; 0, ISNUMBER($K152))</formula>
    </cfRule>
  </conditionalFormatting>
  <conditionalFormatting sqref="D150:F151 E172:F172">
    <cfRule type="expression" dxfId="2245" priority="34">
      <formula>$E$172 &gt; 0</formula>
    </cfRule>
    <cfRule type="expression" dxfId="2244" priority="35">
      <formula>$E$172 = 0</formula>
    </cfRule>
    <cfRule type="expression" dxfId="2243" priority="36">
      <formula>$E$172 &lt; 0</formula>
    </cfRule>
  </conditionalFormatting>
  <conditionalFormatting sqref="G150:I151 H172:I172">
    <cfRule type="expression" dxfId="2242" priority="31">
      <formula>$H$172 &gt; 0</formula>
    </cfRule>
    <cfRule type="expression" dxfId="2241" priority="32">
      <formula>$H$172 = 0</formula>
    </cfRule>
    <cfRule type="expression" dxfId="2240" priority="33">
      <formula>$H$172 &lt; 0</formula>
    </cfRule>
  </conditionalFormatting>
  <conditionalFormatting sqref="J150:L151 K172:L172">
    <cfRule type="expression" dxfId="2239" priority="28">
      <formula>$K$172 &gt; 0</formula>
    </cfRule>
    <cfRule type="expression" dxfId="2238" priority="29">
      <formula>$K$172 = 0</formula>
    </cfRule>
    <cfRule type="expression" dxfId="2237" priority="30">
      <formula>$K$172 &lt; 0</formula>
    </cfRule>
  </conditionalFormatting>
  <conditionalFormatting sqref="M150:O151 N172:O172">
    <cfRule type="expression" dxfId="2236" priority="25">
      <formula>$N$172 &gt; 0</formula>
    </cfRule>
    <cfRule type="expression" dxfId="2235" priority="26">
      <formula>$N$172 = 0</formula>
    </cfRule>
    <cfRule type="expression" dxfId="2234" priority="27">
      <formula>$N$172 &lt; 0</formula>
    </cfRule>
  </conditionalFormatting>
  <conditionalFormatting sqref="A179:C198 M179:O198">
    <cfRule type="expression" dxfId="2233" priority="13">
      <formula>AND($N179 &gt; 0, ISNUMBER($N179))</formula>
    </cfRule>
    <cfRule type="expression" dxfId="2232" priority="14">
      <formula>AND($N179 = 0 * ISNUMBER($N179))</formula>
    </cfRule>
    <cfRule type="expression" dxfId="2231" priority="15">
      <formula>AND($N179 &lt; 0, ISNUMBER($N179))</formula>
    </cfRule>
  </conditionalFormatting>
  <conditionalFormatting sqref="A179:F198">
    <cfRule type="expression" dxfId="2230" priority="22">
      <formula>AND($E179 &gt; 0, ISNUMBER($E179))</formula>
    </cfRule>
    <cfRule type="expression" dxfId="2229" priority="23">
      <formula>AND($E179 = 0 * ISNUMBER($E179))</formula>
    </cfRule>
    <cfRule type="expression" dxfId="2228" priority="24">
      <formula>AND($E179 &lt; 0, ISNUMBER($E179))</formula>
    </cfRule>
  </conditionalFormatting>
  <conditionalFormatting sqref="A179:C198 G179:I198">
    <cfRule type="expression" dxfId="2227" priority="19">
      <formula>AND($H179 &gt; 0, ISNUMBER($H179))</formula>
    </cfRule>
    <cfRule type="expression" dxfId="2226" priority="20">
      <formula>AND($H179 = 0 * ISNUMBER($H179))</formula>
    </cfRule>
    <cfRule type="expression" dxfId="2225" priority="21">
      <formula>AND($H179 &lt; 0, ISNUMBER($H179))</formula>
    </cfRule>
  </conditionalFormatting>
  <conditionalFormatting sqref="A179:C198 J179:L198">
    <cfRule type="expression" dxfId="2224" priority="16">
      <formula>AND($K179 &gt; 0, ISNUMBER($K179))</formula>
    </cfRule>
    <cfRule type="expression" dxfId="2223" priority="17">
      <formula>AND($K179 = 0 * ISNUMBER($K179))</formula>
    </cfRule>
    <cfRule type="expression" dxfId="2222" priority="18">
      <formula>AND($K179 &lt; 0, ISNUMBER($K179))</formula>
    </cfRule>
  </conditionalFormatting>
  <conditionalFormatting sqref="D177:F178 E199:F199">
    <cfRule type="expression" dxfId="2221" priority="10">
      <formula>$E$199 &gt; 0</formula>
    </cfRule>
    <cfRule type="expression" dxfId="2220" priority="11">
      <formula>$E$199 = 0</formula>
    </cfRule>
    <cfRule type="expression" dxfId="2219" priority="12">
      <formula>$E$199 &lt; 0</formula>
    </cfRule>
  </conditionalFormatting>
  <conditionalFormatting sqref="G177:I178 H199:I199">
    <cfRule type="expression" dxfId="2218" priority="7">
      <formula>$H$199 &gt; 0</formula>
    </cfRule>
    <cfRule type="expression" dxfId="2217" priority="8">
      <formula>$H$199 = 0</formula>
    </cfRule>
    <cfRule type="expression" dxfId="2216" priority="9">
      <formula>$H$199 &lt; 0</formula>
    </cfRule>
  </conditionalFormatting>
  <conditionalFormatting sqref="J177:L178 K199:L199">
    <cfRule type="expression" dxfId="2215" priority="4">
      <formula>$K$199 &gt; 0</formula>
    </cfRule>
    <cfRule type="expression" dxfId="2214" priority="5">
      <formula>$K$199 = 0</formula>
    </cfRule>
    <cfRule type="expression" dxfId="2213" priority="6">
      <formula>$K$199 &lt; 0</formula>
    </cfRule>
  </conditionalFormatting>
  <conditionalFormatting sqref="M177:O178 N199:O199">
    <cfRule type="expression" dxfId="2212" priority="1">
      <formula>$N$199 &gt; 0</formula>
    </cfRule>
    <cfRule type="expression" dxfId="2211" priority="2">
      <formula>$N$199 = 0</formula>
    </cfRule>
    <cfRule type="expression" dxfId="221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81</v>
      </c>
      <c r="B2" s="11" t="s">
        <v>82</v>
      </c>
      <c r="C2" s="95">
        <v>3330</v>
      </c>
      <c r="D2" s="92">
        <v>0.13846153850000001</v>
      </c>
      <c r="E2" s="93">
        <v>128942359.22369049</v>
      </c>
      <c r="F2" s="35"/>
      <c r="G2" s="54"/>
      <c r="H2" s="35"/>
      <c r="I2" s="35"/>
    </row>
    <row r="3" spans="1:18" ht="17.25" thickBot="1">
      <c r="A3" s="40" t="s">
        <v>53</v>
      </c>
      <c r="B3" s="11" t="s">
        <v>54</v>
      </c>
      <c r="C3" s="95">
        <v>440</v>
      </c>
      <c r="D3" s="92">
        <v>0.1340206186</v>
      </c>
      <c r="E3" s="93">
        <v>259190652.93132091</v>
      </c>
      <c r="F3" s="35"/>
      <c r="G3" s="262" t="s">
        <v>260</v>
      </c>
      <c r="H3" s="274" t="s">
        <v>330</v>
      </c>
      <c r="I3" s="274"/>
      <c r="K3" s="201" t="s">
        <v>34</v>
      </c>
      <c r="L3" s="202"/>
      <c r="M3" s="202"/>
      <c r="N3" s="203"/>
      <c r="O3" s="201" t="s">
        <v>262</v>
      </c>
      <c r="P3" s="202"/>
      <c r="Q3" s="202"/>
      <c r="R3" s="203"/>
    </row>
    <row r="4" spans="1:18" ht="17.25" thickBot="1">
      <c r="A4" s="40" t="s">
        <v>68</v>
      </c>
      <c r="B4" s="11" t="s">
        <v>69</v>
      </c>
      <c r="C4" s="95">
        <v>15390</v>
      </c>
      <c r="D4" s="92">
        <v>9.4594594599999998E-2</v>
      </c>
      <c r="E4" s="93">
        <v>72992954.313361004</v>
      </c>
      <c r="F4" s="35"/>
      <c r="G4" s="263"/>
      <c r="H4" s="275"/>
      <c r="I4" s="275"/>
      <c r="K4" s="266" t="s">
        <v>55</v>
      </c>
      <c r="L4" s="278">
        <f ca="1">NOW()</f>
        <v>44450.89285196759</v>
      </c>
      <c r="M4" s="279"/>
      <c r="N4" s="280"/>
      <c r="O4" s="269" t="s">
        <v>55</v>
      </c>
      <c r="P4" s="278">
        <f ca="1">NOW()</f>
        <v>44450.89285196759</v>
      </c>
      <c r="Q4" s="279"/>
      <c r="R4" s="280"/>
    </row>
    <row r="5" spans="1:18" ht="17.25" thickBot="1">
      <c r="A5" s="40" t="s">
        <v>139</v>
      </c>
      <c r="B5" s="11" t="s">
        <v>140</v>
      </c>
      <c r="C5" s="95">
        <v>10840</v>
      </c>
      <c r="D5" s="92">
        <v>7.8606965200000004E-2</v>
      </c>
      <c r="E5" s="93">
        <v>12129201.620871671</v>
      </c>
      <c r="F5" s="35"/>
      <c r="K5" s="263"/>
      <c r="L5" s="36" t="s">
        <v>58</v>
      </c>
      <c r="M5" s="73" t="s">
        <v>59</v>
      </c>
      <c r="N5" s="69" t="s">
        <v>264</v>
      </c>
      <c r="O5" s="263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219</v>
      </c>
      <c r="B6" s="11" t="s">
        <v>220</v>
      </c>
      <c r="C6" s="95">
        <v>255</v>
      </c>
      <c r="D6" s="92">
        <v>7.5949367099999998E-2</v>
      </c>
      <c r="E6" s="93">
        <v>136787866.42347586</v>
      </c>
      <c r="F6" s="35"/>
      <c r="G6" s="201" t="s">
        <v>52</v>
      </c>
      <c r="H6" s="202"/>
      <c r="I6" s="203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에이다</v>
      </c>
      <c r="P6" s="38">
        <f t="shared" ref="P6:P25" si="2">_xlfn.IFNA(VLOOKUP(O6, $B$2:$D$200, 2, FALSE), "")</f>
        <v>3330</v>
      </c>
      <c r="Q6" s="76">
        <f t="shared" ref="Q6:Q25" si="3">_xlfn.IFNA(VLOOKUP(O6, $B$2:$D$200, 3, FALSE), "")</f>
        <v>0.13846153850000001</v>
      </c>
      <c r="R6" s="85">
        <f>_xlfn.IFNA(VLOOKUP(O6, $B$2:$E$200, 4, FALSE), "")</f>
        <v>128942359.22369049</v>
      </c>
    </row>
    <row r="7" spans="1:18">
      <c r="A7" s="40" t="s">
        <v>157</v>
      </c>
      <c r="B7" s="11" t="s">
        <v>158</v>
      </c>
      <c r="C7" s="95">
        <v>38360</v>
      </c>
      <c r="D7" s="92">
        <v>7.2107322500000001E-2</v>
      </c>
      <c r="E7" s="93">
        <v>2987842.2787351999</v>
      </c>
      <c r="F7" s="35"/>
      <c r="G7" s="210" t="s">
        <v>36</v>
      </c>
      <c r="H7" s="211"/>
      <c r="I7" s="21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헤데라해시그래프</v>
      </c>
      <c r="P7" s="39">
        <f t="shared" si="2"/>
        <v>440</v>
      </c>
      <c r="Q7" s="77">
        <f t="shared" si="3"/>
        <v>0.1340206186</v>
      </c>
      <c r="R7" s="86">
        <f t="shared" ref="R7:R25" si="5">_xlfn.IFNA(VLOOKUP(O7, $B$2:$E$200, 4, FALSE), "")</f>
        <v>259190652.93132091</v>
      </c>
    </row>
    <row r="8" spans="1:18" ht="17.25" thickBot="1">
      <c r="A8" s="40" t="s">
        <v>229</v>
      </c>
      <c r="B8" s="11" t="s">
        <v>230</v>
      </c>
      <c r="C8" s="95">
        <v>361</v>
      </c>
      <c r="D8" s="92">
        <v>6.4896755200000003E-2</v>
      </c>
      <c r="E8" s="93">
        <v>508121982.20854884</v>
      </c>
      <c r="F8" s="35"/>
      <c r="G8" s="216"/>
      <c r="H8" s="217"/>
      <c r="I8" s="21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세럼</v>
      </c>
      <c r="P8" s="39">
        <f t="shared" si="2"/>
        <v>15390</v>
      </c>
      <c r="Q8" s="77">
        <f t="shared" si="3"/>
        <v>9.4594594599999998E-2</v>
      </c>
      <c r="R8" s="86">
        <f t="shared" si="5"/>
        <v>72992954.313361004</v>
      </c>
    </row>
    <row r="9" spans="1:18" ht="17.25" thickBot="1">
      <c r="A9" s="40" t="s">
        <v>125</v>
      </c>
      <c r="B9" s="11" t="s">
        <v>126</v>
      </c>
      <c r="C9" s="95">
        <v>224850</v>
      </c>
      <c r="D9" s="92">
        <v>5.34082923E-2</v>
      </c>
      <c r="E9" s="93">
        <v>100710.31902982001</v>
      </c>
      <c r="F9" s="35"/>
      <c r="G9" s="9" t="s">
        <v>38</v>
      </c>
      <c r="H9" s="202" t="s">
        <v>37</v>
      </c>
      <c r="I9" s="20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오미세고</v>
      </c>
      <c r="P9" s="39">
        <f t="shared" si="2"/>
        <v>10840</v>
      </c>
      <c r="Q9" s="77">
        <f t="shared" si="3"/>
        <v>7.8606965200000004E-2</v>
      </c>
      <c r="R9" s="86">
        <f t="shared" si="5"/>
        <v>12129201.620871671</v>
      </c>
    </row>
    <row r="10" spans="1:18">
      <c r="A10" s="40" t="s">
        <v>129</v>
      </c>
      <c r="B10" s="11" t="s">
        <v>130</v>
      </c>
      <c r="C10" s="95">
        <v>174</v>
      </c>
      <c r="D10" s="92">
        <v>4.19161677E-2</v>
      </c>
      <c r="E10" s="93">
        <v>487534562.9915027</v>
      </c>
      <c r="F10" s="35"/>
      <c r="G10" s="276">
        <f>_xlfn.IFNA(VLOOKUP(G7, $B$2:$D$200, 3, FALSE), "-")</f>
        <v>2.1442459999999998E-3</v>
      </c>
      <c r="H10" s="270">
        <f>_xlfn.IFNA(VLOOKUP(G7, $B$2:$D$200, 2, FALSE), "-")</f>
        <v>55149000</v>
      </c>
      <c r="I10" s="27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센티넬프로토콜</v>
      </c>
      <c r="P10" s="39">
        <f t="shared" si="2"/>
        <v>255</v>
      </c>
      <c r="Q10" s="77">
        <f t="shared" si="3"/>
        <v>7.5949367099999998E-2</v>
      </c>
      <c r="R10" s="90">
        <f t="shared" si="5"/>
        <v>136787866.42347586</v>
      </c>
    </row>
    <row r="11" spans="1:18" ht="17.25" thickBot="1">
      <c r="A11" s="40" t="s">
        <v>151</v>
      </c>
      <c r="B11" s="11" t="s">
        <v>152</v>
      </c>
      <c r="C11" s="95">
        <v>116</v>
      </c>
      <c r="D11" s="92">
        <v>3.5714285700000001E-2</v>
      </c>
      <c r="E11" s="93">
        <v>367119751.55371839</v>
      </c>
      <c r="F11" s="35"/>
      <c r="G11" s="277"/>
      <c r="H11" s="272"/>
      <c r="I11" s="27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웨이브</v>
      </c>
      <c r="P11" s="45">
        <f t="shared" si="2"/>
        <v>38360</v>
      </c>
      <c r="Q11" s="80">
        <f t="shared" si="3"/>
        <v>7.2107322500000001E-2</v>
      </c>
      <c r="R11" s="99">
        <f t="shared" si="5"/>
        <v>2987842.2787351999</v>
      </c>
    </row>
    <row r="12" spans="1:18" ht="17.25" thickBot="1">
      <c r="A12" s="40" t="s">
        <v>89</v>
      </c>
      <c r="B12" s="11" t="s">
        <v>90</v>
      </c>
      <c r="C12" s="95">
        <v>1340</v>
      </c>
      <c r="D12" s="92">
        <v>3.47490347E-2</v>
      </c>
      <c r="E12" s="93">
        <v>210200783.70928422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왁스</v>
      </c>
      <c r="P12" s="39">
        <f t="shared" si="2"/>
        <v>361</v>
      </c>
      <c r="Q12" s="77">
        <f t="shared" si="3"/>
        <v>6.4896755200000003E-2</v>
      </c>
      <c r="R12" s="86">
        <f t="shared" si="5"/>
        <v>508121982.20854884</v>
      </c>
    </row>
    <row r="13" spans="1:18" ht="17.25" thickBot="1">
      <c r="A13" s="40" t="s">
        <v>249</v>
      </c>
      <c r="B13" s="11" t="s">
        <v>250</v>
      </c>
      <c r="C13" s="95">
        <v>99.3</v>
      </c>
      <c r="D13" s="92">
        <v>3.1152648000000002E-2</v>
      </c>
      <c r="E13" s="93">
        <v>187248841.0433059</v>
      </c>
      <c r="F13" s="35"/>
      <c r="G13" s="201" t="s">
        <v>70</v>
      </c>
      <c r="H13" s="202"/>
      <c r="I13" s="20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라이트코인</v>
      </c>
      <c r="P13" s="39">
        <f t="shared" si="2"/>
        <v>224850</v>
      </c>
      <c r="Q13" s="77">
        <f t="shared" si="3"/>
        <v>5.34082923E-2</v>
      </c>
      <c r="R13" s="86">
        <f t="shared" si="5"/>
        <v>100710.31902982001</v>
      </c>
    </row>
    <row r="14" spans="1:18">
      <c r="A14" s="40" t="s">
        <v>75</v>
      </c>
      <c r="B14" s="11" t="s">
        <v>76</v>
      </c>
      <c r="C14" s="95">
        <v>33360</v>
      </c>
      <c r="D14" s="92">
        <v>2.9629629599999999E-2</v>
      </c>
      <c r="E14" s="93">
        <v>948925.10703297995</v>
      </c>
      <c r="F14" s="35"/>
      <c r="G14" s="210" t="s">
        <v>36</v>
      </c>
      <c r="H14" s="211"/>
      <c r="I14" s="21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오브스</v>
      </c>
      <c r="P14" s="39">
        <f t="shared" si="2"/>
        <v>174</v>
      </c>
      <c r="Q14" s="77">
        <f t="shared" si="3"/>
        <v>4.19161677E-2</v>
      </c>
      <c r="R14" s="86">
        <f t="shared" si="5"/>
        <v>487534562.9915027</v>
      </c>
    </row>
    <row r="15" spans="1:18" ht="17.25" thickBot="1">
      <c r="A15" s="40" t="s">
        <v>83</v>
      </c>
      <c r="B15" s="11" t="s">
        <v>84</v>
      </c>
      <c r="C15" s="95">
        <v>5760</v>
      </c>
      <c r="D15" s="92">
        <v>2.85714286E-2</v>
      </c>
      <c r="E15" s="93">
        <v>7076626.2683873205</v>
      </c>
      <c r="F15" s="35"/>
      <c r="G15" s="216"/>
      <c r="H15" s="217"/>
      <c r="I15" s="21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트론</v>
      </c>
      <c r="P15" s="37">
        <f t="shared" si="2"/>
        <v>116</v>
      </c>
      <c r="Q15" s="79">
        <f t="shared" si="3"/>
        <v>3.5714285700000001E-2</v>
      </c>
      <c r="R15" s="87">
        <f t="shared" si="5"/>
        <v>367119751.55371839</v>
      </c>
    </row>
    <row r="16" spans="1:18" ht="17.25" thickBot="1">
      <c r="A16" s="40" t="s">
        <v>143</v>
      </c>
      <c r="B16" s="11" t="s">
        <v>144</v>
      </c>
      <c r="C16" s="95">
        <v>120</v>
      </c>
      <c r="D16" s="92">
        <v>2.5641025599999999E-2</v>
      </c>
      <c r="E16" s="93">
        <v>47307577.106153272</v>
      </c>
      <c r="F16" s="35"/>
      <c r="G16" s="9" t="s">
        <v>38</v>
      </c>
      <c r="H16" s="202" t="s">
        <v>37</v>
      </c>
      <c r="I16" s="20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리플</v>
      </c>
      <c r="P16" s="38">
        <f t="shared" si="2"/>
        <v>1340</v>
      </c>
      <c r="Q16" s="76">
        <f t="shared" si="3"/>
        <v>3.47490347E-2</v>
      </c>
      <c r="R16" s="85">
        <f t="shared" si="5"/>
        <v>210200783.70928422</v>
      </c>
    </row>
    <row r="17" spans="1:18">
      <c r="A17" s="40" t="s">
        <v>117</v>
      </c>
      <c r="B17" s="11" t="s">
        <v>118</v>
      </c>
      <c r="C17" s="95">
        <v>214</v>
      </c>
      <c r="D17" s="92">
        <v>2.3923445000000002E-2</v>
      </c>
      <c r="E17" s="93">
        <v>19980345.667527471</v>
      </c>
      <c r="F17" s="35"/>
      <c r="G17" s="276">
        <f>_xlfn.IFNA(VLOOKUP(G14, $B$2:$D$200, 3, FALSE), "-")</f>
        <v>2.1442459999999998E-3</v>
      </c>
      <c r="H17" s="270">
        <f>_xlfn.IFNA(VLOOKUP(G14, $B$2:$D$200, 2, FALSE), "-")</f>
        <v>55149000</v>
      </c>
      <c r="I17" s="27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저스트</v>
      </c>
      <c r="P17" s="39">
        <f t="shared" si="2"/>
        <v>99.3</v>
      </c>
      <c r="Q17" s="77">
        <f t="shared" si="3"/>
        <v>3.1152648000000002E-2</v>
      </c>
      <c r="R17" s="86">
        <f t="shared" si="5"/>
        <v>187248841.0433059</v>
      </c>
    </row>
    <row r="18" spans="1:18" ht="17.25" thickBot="1">
      <c r="A18" s="40" t="s">
        <v>50</v>
      </c>
      <c r="B18" s="11" t="s">
        <v>51</v>
      </c>
      <c r="C18" s="95">
        <v>398</v>
      </c>
      <c r="D18" s="92">
        <v>2.3136246799999999E-2</v>
      </c>
      <c r="E18" s="93">
        <v>52842989.092003077</v>
      </c>
      <c r="F18" s="35"/>
      <c r="G18" s="277"/>
      <c r="H18" s="272"/>
      <c r="I18" s="27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체인링크</v>
      </c>
      <c r="P18" s="39">
        <f t="shared" si="2"/>
        <v>33360</v>
      </c>
      <c r="Q18" s="77">
        <f t="shared" si="3"/>
        <v>2.9629629599999999E-2</v>
      </c>
      <c r="R18" s="86">
        <f t="shared" si="5"/>
        <v>948925.10703297995</v>
      </c>
    </row>
    <row r="19" spans="1:18" ht="17.25" thickBot="1">
      <c r="A19" s="40" t="s">
        <v>133</v>
      </c>
      <c r="B19" s="11" t="s">
        <v>134</v>
      </c>
      <c r="C19" s="95">
        <v>36670</v>
      </c>
      <c r="D19" s="92">
        <v>2.28730823E-2</v>
      </c>
      <c r="E19" s="93">
        <v>1422590.4564674599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이오스</v>
      </c>
      <c r="P19" s="39">
        <f t="shared" si="2"/>
        <v>5760</v>
      </c>
      <c r="Q19" s="77">
        <f t="shared" si="3"/>
        <v>2.85714286E-2</v>
      </c>
      <c r="R19" s="86">
        <f t="shared" si="5"/>
        <v>7076626.2683873205</v>
      </c>
    </row>
    <row r="20" spans="1:18" ht="17.25" thickBot="1">
      <c r="A20" s="40" t="s">
        <v>62</v>
      </c>
      <c r="B20" s="11" t="s">
        <v>63</v>
      </c>
      <c r="C20" s="95">
        <v>60330</v>
      </c>
      <c r="D20" s="92">
        <v>2.2715714500000001E-2</v>
      </c>
      <c r="E20" s="93">
        <v>245987.89410363999</v>
      </c>
      <c r="F20" s="35"/>
      <c r="G20" s="201" t="s">
        <v>256</v>
      </c>
      <c r="H20" s="202"/>
      <c r="I20" s="20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앵커</v>
      </c>
      <c r="P20" s="39">
        <f t="shared" si="2"/>
        <v>120</v>
      </c>
      <c r="Q20" s="77">
        <f t="shared" si="3"/>
        <v>2.5641025599999999E-2</v>
      </c>
      <c r="R20" s="90">
        <f t="shared" si="5"/>
        <v>47307577.106153272</v>
      </c>
    </row>
    <row r="21" spans="1:18">
      <c r="A21" s="40" t="s">
        <v>127</v>
      </c>
      <c r="B21" s="11" t="s">
        <v>128</v>
      </c>
      <c r="C21" s="95">
        <v>142</v>
      </c>
      <c r="D21" s="92">
        <v>2.15827338E-2</v>
      </c>
      <c r="E21" s="93">
        <v>195542834.02240312</v>
      </c>
      <c r="F21" s="35"/>
      <c r="G21" s="210" t="s">
        <v>36</v>
      </c>
      <c r="H21" s="211"/>
      <c r="I21" s="21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크립토닷컴체인</v>
      </c>
      <c r="P21" s="45">
        <f t="shared" si="2"/>
        <v>214</v>
      </c>
      <c r="Q21" s="80">
        <f t="shared" si="3"/>
        <v>2.3923445000000002E-2</v>
      </c>
      <c r="R21" s="99">
        <f t="shared" si="5"/>
        <v>19980345.667527471</v>
      </c>
    </row>
    <row r="22" spans="1:18" ht="17.25" thickBot="1">
      <c r="A22" s="40" t="s">
        <v>99</v>
      </c>
      <c r="B22" s="11" t="s">
        <v>100</v>
      </c>
      <c r="C22" s="95">
        <v>70530</v>
      </c>
      <c r="D22" s="92">
        <v>2.0694645399999999E-2</v>
      </c>
      <c r="E22" s="93">
        <v>1078249.2921537</v>
      </c>
      <c r="F22" s="35"/>
      <c r="G22" s="216"/>
      <c r="H22" s="217"/>
      <c r="I22" s="21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스텔라루멘</v>
      </c>
      <c r="P22" s="39">
        <f t="shared" si="2"/>
        <v>398</v>
      </c>
      <c r="Q22" s="77">
        <f t="shared" si="3"/>
        <v>2.3136246799999999E-2</v>
      </c>
      <c r="R22" s="86">
        <f t="shared" si="5"/>
        <v>52842989.092003077</v>
      </c>
    </row>
    <row r="23" spans="1:18" ht="17.25" thickBot="1">
      <c r="A23" s="40" t="s">
        <v>93</v>
      </c>
      <c r="B23" s="11" t="s">
        <v>94</v>
      </c>
      <c r="C23" s="95">
        <v>4017000</v>
      </c>
      <c r="D23" s="92">
        <v>1.8767435999999998E-2</v>
      </c>
      <c r="E23" s="93">
        <v>31609.133394470002</v>
      </c>
      <c r="F23" s="35"/>
      <c r="G23" s="9" t="s">
        <v>38</v>
      </c>
      <c r="H23" s="202" t="s">
        <v>37</v>
      </c>
      <c r="I23" s="20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폴카닷</v>
      </c>
      <c r="P23" s="39">
        <f t="shared" si="2"/>
        <v>36670</v>
      </c>
      <c r="Q23" s="77">
        <f t="shared" si="3"/>
        <v>2.28730823E-2</v>
      </c>
      <c r="R23" s="86">
        <f t="shared" si="5"/>
        <v>1422590.4564674599</v>
      </c>
    </row>
    <row r="24" spans="1:18">
      <c r="A24" s="40" t="s">
        <v>147</v>
      </c>
      <c r="B24" s="11" t="s">
        <v>148</v>
      </c>
      <c r="C24" s="95">
        <v>22.7</v>
      </c>
      <c r="D24" s="92">
        <v>1.79372197E-2</v>
      </c>
      <c r="E24" s="93">
        <v>405264312.86155063</v>
      </c>
      <c r="F24" s="35"/>
      <c r="G24" s="276">
        <f>_xlfn.IFNA(VLOOKUP(G21, $B$2:$D$200, 3, FALSE), "-")</f>
        <v>2.1442459999999998E-3</v>
      </c>
      <c r="H24" s="270">
        <f>_xlfn.IFNA(VLOOKUP(G21, $B$2:$D$200, 2, FALSE), "-")</f>
        <v>55149000</v>
      </c>
      <c r="I24" s="27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네오</v>
      </c>
      <c r="P24" s="39">
        <f t="shared" si="2"/>
        <v>60330</v>
      </c>
      <c r="Q24" s="77">
        <f t="shared" si="3"/>
        <v>2.2715714500000001E-2</v>
      </c>
      <c r="R24" s="86">
        <f t="shared" si="5"/>
        <v>245987.89410363999</v>
      </c>
    </row>
    <row r="25" spans="1:18" ht="17.25" thickBot="1">
      <c r="A25" s="40" t="s">
        <v>179</v>
      </c>
      <c r="B25" s="11" t="s">
        <v>180</v>
      </c>
      <c r="C25" s="95">
        <v>15970</v>
      </c>
      <c r="D25" s="92">
        <v>1.7197452200000001E-2</v>
      </c>
      <c r="E25" s="93">
        <v>3027930.8753146501</v>
      </c>
      <c r="F25" s="35"/>
      <c r="G25" s="277"/>
      <c r="H25" s="272"/>
      <c r="I25" s="273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비체인</v>
      </c>
      <c r="P25" s="37">
        <f t="shared" si="2"/>
        <v>142</v>
      </c>
      <c r="Q25" s="79">
        <f t="shared" si="3"/>
        <v>2.15827338E-2</v>
      </c>
      <c r="R25" s="87">
        <f t="shared" si="5"/>
        <v>195542834.02240312</v>
      </c>
    </row>
    <row r="26" spans="1:18">
      <c r="A26" s="40" t="s">
        <v>109</v>
      </c>
      <c r="B26" s="11" t="s">
        <v>110</v>
      </c>
      <c r="C26" s="95">
        <v>191</v>
      </c>
      <c r="D26" s="92">
        <v>1.59574468E-2</v>
      </c>
      <c r="E26" s="93">
        <v>70565100.674531177</v>
      </c>
      <c r="F26" s="35"/>
    </row>
    <row r="27" spans="1:18" ht="17.25" thickBot="1">
      <c r="A27" s="40" t="s">
        <v>153</v>
      </c>
      <c r="B27" s="11" t="s">
        <v>154</v>
      </c>
      <c r="C27" s="95">
        <v>81520</v>
      </c>
      <c r="D27" s="92">
        <v>1.5193026199999999E-2</v>
      </c>
      <c r="E27" s="93">
        <v>366911.77060449001</v>
      </c>
      <c r="F27" s="35"/>
    </row>
    <row r="28" spans="1:18" ht="17.25" thickBot="1">
      <c r="A28" s="40" t="s">
        <v>95</v>
      </c>
      <c r="B28" s="11" t="s">
        <v>96</v>
      </c>
      <c r="C28" s="95">
        <v>7695</v>
      </c>
      <c r="D28" s="92">
        <v>1.5171504000000001E-2</v>
      </c>
      <c r="E28" s="93">
        <v>38201860.228715926</v>
      </c>
      <c r="F28" s="35"/>
      <c r="G28" s="201" t="s">
        <v>46</v>
      </c>
      <c r="H28" s="202"/>
      <c r="I28" s="202"/>
      <c r="J28" s="203"/>
      <c r="K28" s="201" t="s">
        <v>44</v>
      </c>
      <c r="L28" s="202"/>
      <c r="M28" s="202"/>
      <c r="N28" s="203"/>
      <c r="O28" s="201" t="s">
        <v>45</v>
      </c>
      <c r="P28" s="202"/>
      <c r="Q28" s="202"/>
      <c r="R28" s="203"/>
    </row>
    <row r="29" spans="1:18" ht="17.25" thickBot="1">
      <c r="A29" s="40" t="s">
        <v>193</v>
      </c>
      <c r="B29" s="11" t="s">
        <v>194</v>
      </c>
      <c r="C29" s="95">
        <v>134</v>
      </c>
      <c r="D29" s="92">
        <v>1.51515152E-2</v>
      </c>
      <c r="E29" s="93">
        <v>82203928.997801334</v>
      </c>
      <c r="F29" s="35"/>
      <c r="G29" s="266" t="s">
        <v>55</v>
      </c>
      <c r="H29" s="278">
        <f ca="1">NOW()</f>
        <v>44450.89285196759</v>
      </c>
      <c r="I29" s="279"/>
      <c r="J29" s="280"/>
      <c r="K29" s="269" t="s">
        <v>55</v>
      </c>
      <c r="L29" s="278">
        <f ca="1">NOW()</f>
        <v>44450.89285196759</v>
      </c>
      <c r="M29" s="279"/>
      <c r="N29" s="280"/>
      <c r="O29" s="269" t="s">
        <v>55</v>
      </c>
      <c r="P29" s="278">
        <f ca="1">NOW()</f>
        <v>44450.89285196759</v>
      </c>
      <c r="Q29" s="279"/>
      <c r="R29" s="280"/>
    </row>
    <row r="30" spans="1:18" ht="17.25" thickBot="1">
      <c r="A30" s="40" t="s">
        <v>155</v>
      </c>
      <c r="B30" s="11" t="s">
        <v>156</v>
      </c>
      <c r="C30" s="95">
        <v>2050</v>
      </c>
      <c r="D30" s="92">
        <v>1.4851485100000001E-2</v>
      </c>
      <c r="E30" s="93">
        <v>2162871.4733454101</v>
      </c>
      <c r="F30" s="35"/>
      <c r="G30" s="263"/>
      <c r="H30" s="36" t="s">
        <v>58</v>
      </c>
      <c r="I30" s="73" t="s">
        <v>59</v>
      </c>
      <c r="J30" s="69" t="s">
        <v>264</v>
      </c>
      <c r="K30" s="263"/>
      <c r="L30" s="36" t="s">
        <v>58</v>
      </c>
      <c r="M30" s="73" t="s">
        <v>59</v>
      </c>
      <c r="N30" s="69" t="s">
        <v>264</v>
      </c>
      <c r="O30" s="263"/>
      <c r="P30" s="36" t="s">
        <v>58</v>
      </c>
      <c r="Q30" s="73" t="s">
        <v>59</v>
      </c>
      <c r="R30" s="69" t="s">
        <v>264</v>
      </c>
    </row>
    <row r="31" spans="1:18">
      <c r="A31" s="40" t="s">
        <v>79</v>
      </c>
      <c r="B31" s="11" t="s">
        <v>80</v>
      </c>
      <c r="C31" s="95">
        <v>948</v>
      </c>
      <c r="D31" s="92">
        <v>1.39037433E-2</v>
      </c>
      <c r="E31" s="93">
        <v>2918499.41094968</v>
      </c>
      <c r="F31" s="35"/>
      <c r="G31" s="55" t="str">
        <f ca="1">IFERROR(OFFSET(INDIRECT($H$3 &amp; "!A98"), 0, 0), "")</f>
        <v>아이콘</v>
      </c>
      <c r="H31" s="38">
        <f t="shared" ref="H31:H50" ca="1" si="7">_xlfn.IFNA(VLOOKUP(G31, $B$2:$D$200, 2, FALSE), "")</f>
        <v>2120</v>
      </c>
      <c r="I31" s="76">
        <f t="shared" ref="I31:I50" ca="1" si="8">_xlfn.IFNA(VLOOKUP(G31, $B$2:$D$200, 3, FALSE), "")</f>
        <v>-3.1963470299999998E-2</v>
      </c>
      <c r="J31" s="85">
        <f ca="1">_xlfn.IFNA(VLOOKUP(G31, $B$2:$E$200, 4, FALSE), "")</f>
        <v>15663007.82281257</v>
      </c>
      <c r="K31" s="55" t="str">
        <f ca="1">IFERROR(OFFSET(INDIRECT($H$3 &amp; "!A44"), 0, 0), "")</f>
        <v>쿼크체인</v>
      </c>
      <c r="L31" s="38">
        <f t="shared" ref="L31:L50" ca="1" si="9">_xlfn.IFNA(VLOOKUP(K31, $B$2:$D$200, 2, FALSE), "")</f>
        <v>29.4</v>
      </c>
      <c r="M31" s="76">
        <f t="shared" ref="M31:M50" ca="1" si="10">_xlfn.IFNA(VLOOKUP(K31, $B$2:$D$200, 3, FALSE), "")</f>
        <v>-2.6490066199999999E-2</v>
      </c>
      <c r="N31" s="85">
        <f ca="1">_xlfn.IFNA(VLOOKUP(K31, $B$2:$E$200, 4, FALSE), "")</f>
        <v>311597529.66080791</v>
      </c>
      <c r="O31" s="55" t="str">
        <f ca="1">IFERROR(OFFSET(INDIRECT($H$3 &amp; "!A71"), 0, 0), "")</f>
        <v>파워렛저</v>
      </c>
      <c r="P31" s="38">
        <f t="shared" ref="P31:P50" ca="1" si="11">_xlfn.IFNA(VLOOKUP(O31, $B$2:$D$200, 2, FALSE), "")</f>
        <v>447</v>
      </c>
      <c r="Q31" s="76">
        <f t="shared" ref="Q31:Q50" ca="1" si="12">_xlfn.IFNA(VLOOKUP(O31, $B$2:$D$200, 3, FALSE), "")</f>
        <v>-4.0772532200000003E-2</v>
      </c>
      <c r="R31" s="85">
        <f ca="1">_xlfn.IFNA(VLOOKUP(O31, $B$2:$E$200, 4, FALSE), "")</f>
        <v>23318194.635228802</v>
      </c>
    </row>
    <row r="32" spans="1:18">
      <c r="A32" s="40" t="s">
        <v>56</v>
      </c>
      <c r="B32" s="11" t="s">
        <v>57</v>
      </c>
      <c r="C32" s="95">
        <v>222</v>
      </c>
      <c r="D32" s="92">
        <v>1.3698630099999999E-2</v>
      </c>
      <c r="E32" s="93">
        <v>36387752.404277168</v>
      </c>
      <c r="F32" s="35"/>
      <c r="G32" s="56" t="str">
        <f ca="1">IFERROR(OFFSET(INDIRECT($H$3 &amp; "!A98"), 1, 0), "")</f>
        <v>파워렛저</v>
      </c>
      <c r="H32" s="39">
        <f t="shared" ca="1" si="7"/>
        <v>447</v>
      </c>
      <c r="I32" s="77">
        <f t="shared" ca="1" si="8"/>
        <v>-4.0772532200000003E-2</v>
      </c>
      <c r="J32" s="86">
        <f t="shared" ref="J32:J50" ca="1" si="13">_xlfn.IFNA(VLOOKUP(G32, $B$2:$E$200, 4, FALSE), "")</f>
        <v>23318194.635228802</v>
      </c>
      <c r="K32" s="56" t="str">
        <f ca="1">IFERROR(OFFSET(INDIRECT($H$3 &amp; "!A44"), 1, 0), "")</f>
        <v>메인프레임</v>
      </c>
      <c r="L32" s="39">
        <f t="shared" ca="1" si="9"/>
        <v>14.8</v>
      </c>
      <c r="M32" s="77">
        <f t="shared" ca="1" si="10"/>
        <v>-6.7114093999999999E-3</v>
      </c>
      <c r="N32" s="86">
        <f t="shared" ref="N32:N50" ca="1" si="14">_xlfn.IFNA(VLOOKUP(K32, $B$2:$E$200, 4, FALSE), "")</f>
        <v>195688361.17392182</v>
      </c>
      <c r="O32" s="56" t="str">
        <f ca="1">IFERROR(OFFSET(INDIRECT($H$3 &amp; "!A71"), 1, 0), "")</f>
        <v>질리카</v>
      </c>
      <c r="P32" s="39">
        <f t="shared" ca="1" si="11"/>
        <v>132</v>
      </c>
      <c r="Q32" s="77">
        <f t="shared" ca="1" si="12"/>
        <v>7.6335878000000001E-3</v>
      </c>
      <c r="R32" s="86">
        <f t="shared" ref="R32:R50" ca="1" si="15">_xlfn.IFNA(VLOOKUP(O32, $B$2:$E$200, 4, FALSE), "")</f>
        <v>56649426.290439069</v>
      </c>
    </row>
    <row r="33" spans="1:18">
      <c r="A33" s="40" t="s">
        <v>145</v>
      </c>
      <c r="B33" s="11" t="s">
        <v>146</v>
      </c>
      <c r="C33" s="95">
        <v>3375</v>
      </c>
      <c r="D33" s="92">
        <v>1.3513513499999999E-2</v>
      </c>
      <c r="E33" s="93">
        <v>18436019.12920054</v>
      </c>
      <c r="F33" s="35"/>
      <c r="G33" s="56" t="str">
        <f ca="1">IFERROR(OFFSET(INDIRECT($H$3 &amp; "!A98"), 2, 0), "")</f>
        <v>쿼크체인</v>
      </c>
      <c r="H33" s="39">
        <f t="shared" ca="1" si="7"/>
        <v>29.4</v>
      </c>
      <c r="I33" s="77">
        <f t="shared" ca="1" si="8"/>
        <v>-2.6490066199999999E-2</v>
      </c>
      <c r="J33" s="86">
        <f t="shared" ca="1" si="13"/>
        <v>311597529.66080791</v>
      </c>
      <c r="K33" s="56" t="str">
        <f ca="1">IFERROR(OFFSET(INDIRECT($H$3 &amp; "!A44"), 2, 0), "")</f>
        <v>비트토렌트</v>
      </c>
      <c r="L33" s="39">
        <f t="shared" ca="1" si="9"/>
        <v>4.79</v>
      </c>
      <c r="M33" s="77">
        <f t="shared" ca="1" si="10"/>
        <v>1.2684989400000001E-2</v>
      </c>
      <c r="N33" s="86">
        <f t="shared" ca="1" si="14"/>
        <v>5447805243.6530437</v>
      </c>
      <c r="O33" s="56" t="str">
        <f ca="1">IFERROR(OFFSET(INDIRECT($H$3 &amp; "!A71"), 2, 0), "")</f>
        <v>휴먼스케이프</v>
      </c>
      <c r="P33" s="39">
        <f t="shared" ca="1" si="11"/>
        <v>156</v>
      </c>
      <c r="Q33" s="77">
        <f t="shared" ca="1" si="12"/>
        <v>-3.1055900599999998E-2</v>
      </c>
      <c r="R33" s="86">
        <f t="shared" ca="1" si="15"/>
        <v>144262808.68169215</v>
      </c>
    </row>
    <row r="34" spans="1:18">
      <c r="A34" s="40" t="s">
        <v>97</v>
      </c>
      <c r="B34" s="11" t="s">
        <v>98</v>
      </c>
      <c r="C34" s="95">
        <v>4.79</v>
      </c>
      <c r="D34" s="92">
        <v>1.2684989400000001E-2</v>
      </c>
      <c r="E34" s="93">
        <v>5447805243.6530437</v>
      </c>
      <c r="F34" s="35"/>
      <c r="G34" s="56" t="str">
        <f ca="1">IFERROR(OFFSET(INDIRECT($H$3 &amp; "!A98"), 3, 0), "")</f>
        <v>테조스</v>
      </c>
      <c r="H34" s="39">
        <f t="shared" ca="1" si="7"/>
        <v>7695</v>
      </c>
      <c r="I34" s="77">
        <f t="shared" ca="1" si="8"/>
        <v>1.5171504000000001E-2</v>
      </c>
      <c r="J34" s="86">
        <f t="shared" ca="1" si="13"/>
        <v>38201860.228715926</v>
      </c>
      <c r="K34" s="56" t="str">
        <f ca="1">IFERROR(OFFSET(INDIRECT($H$3 &amp; "!A44"), 3, 0), "")</f>
        <v>에스티피</v>
      </c>
      <c r="L34" s="39">
        <f t="shared" ca="1" si="9"/>
        <v>71.2</v>
      </c>
      <c r="M34" s="77">
        <f t="shared" ca="1" si="10"/>
        <v>-2.9972751999999998E-2</v>
      </c>
      <c r="N34" s="86">
        <f t="shared" ca="1" si="14"/>
        <v>27145654.802114081</v>
      </c>
      <c r="O34" s="56" t="str">
        <f ca="1">IFERROR(OFFSET(INDIRECT($H$3 &amp; "!A71"), 3, 0), "")</f>
        <v>스텔라루멘</v>
      </c>
      <c r="P34" s="39">
        <f t="shared" ca="1" si="11"/>
        <v>398</v>
      </c>
      <c r="Q34" s="77">
        <f t="shared" ca="1" si="12"/>
        <v>2.3136246799999999E-2</v>
      </c>
      <c r="R34" s="86">
        <f t="shared" ca="1" si="15"/>
        <v>52842989.092003077</v>
      </c>
    </row>
    <row r="35" spans="1:18">
      <c r="A35" s="40" t="s">
        <v>77</v>
      </c>
      <c r="B35" s="11" t="s">
        <v>78</v>
      </c>
      <c r="C35" s="95">
        <v>780500</v>
      </c>
      <c r="D35" s="92">
        <v>1.1141339599999999E-2</v>
      </c>
      <c r="E35" s="93">
        <v>17648.272395169999</v>
      </c>
      <c r="F35" s="35"/>
      <c r="G35" s="58" t="str">
        <f ca="1">IFERROR(OFFSET(INDIRECT($H$3 &amp; "!A98"), 4, 0), "")</f>
        <v>아이오타</v>
      </c>
      <c r="H35" s="44">
        <f t="shared" ca="1" si="7"/>
        <v>1875</v>
      </c>
      <c r="I35" s="78">
        <f t="shared" ca="1" si="8"/>
        <v>-1.05540897E-2</v>
      </c>
      <c r="J35" s="90">
        <f t="shared" ca="1" si="13"/>
        <v>5030798.9702498503</v>
      </c>
      <c r="K35" s="58" t="str">
        <f ca="1">IFERROR(OFFSET(INDIRECT($H$3 &amp; "!A44"), 4, 0), "")</f>
        <v>썸씽</v>
      </c>
      <c r="L35" s="44">
        <f t="shared" ca="1" si="9"/>
        <v>88.9</v>
      </c>
      <c r="M35" s="78">
        <f t="shared" ca="1" si="10"/>
        <v>-1.5503876E-2</v>
      </c>
      <c r="N35" s="90">
        <f t="shared" ca="1" si="14"/>
        <v>69792712.103104353</v>
      </c>
      <c r="O35" s="58" t="str">
        <f ca="1">IFERROR(OFFSET(INDIRECT($H$3 &amp; "!A71"), 4, 0), "")</f>
        <v>스팀</v>
      </c>
      <c r="P35" s="44">
        <f t="shared" ca="1" si="11"/>
        <v>753</v>
      </c>
      <c r="Q35" s="78">
        <f t="shared" ca="1" si="12"/>
        <v>-5.63909774E-2</v>
      </c>
      <c r="R35" s="90">
        <f t="shared" ca="1" si="15"/>
        <v>12597954.624577019</v>
      </c>
    </row>
    <row r="36" spans="1:18">
      <c r="A36" s="40" t="s">
        <v>265</v>
      </c>
      <c r="B36" s="11" t="s">
        <v>266</v>
      </c>
      <c r="C36" s="95">
        <v>298</v>
      </c>
      <c r="D36" s="92">
        <v>1.0169491500000001E-2</v>
      </c>
      <c r="E36" s="93">
        <v>313817827.23648822</v>
      </c>
      <c r="F36" s="35"/>
      <c r="G36" s="56" t="str">
        <f ca="1">IFERROR(OFFSET(INDIRECT($H$3 &amp; "!A98"), 5, 0), "")</f>
        <v>질리카</v>
      </c>
      <c r="H36" s="39">
        <f t="shared" ca="1" si="7"/>
        <v>132</v>
      </c>
      <c r="I36" s="77">
        <f t="shared" ca="1" si="8"/>
        <v>7.6335878000000001E-3</v>
      </c>
      <c r="J36" s="99">
        <f t="shared" ca="1" si="13"/>
        <v>56649426.290439069</v>
      </c>
      <c r="K36" s="56" t="str">
        <f ca="1">IFERROR(OFFSET(INDIRECT($H$3 &amp; "!A44"), 5, 0), "")</f>
        <v>무비블록</v>
      </c>
      <c r="L36" s="39">
        <f t="shared" ca="1" si="9"/>
        <v>11.7</v>
      </c>
      <c r="M36" s="77">
        <f t="shared" ca="1" si="10"/>
        <v>8.6206896999999998E-3</v>
      </c>
      <c r="N36" s="99">
        <f t="shared" ca="1" si="14"/>
        <v>761175676.09675169</v>
      </c>
      <c r="O36" s="56" t="str">
        <f ca="1">IFERROR(OFFSET(INDIRECT($H$3 &amp; "!A71"), 5, 0), "")</f>
        <v>트론</v>
      </c>
      <c r="P36" s="39">
        <f t="shared" ca="1" si="11"/>
        <v>116</v>
      </c>
      <c r="Q36" s="77">
        <f t="shared" ca="1" si="12"/>
        <v>3.5714285700000001E-2</v>
      </c>
      <c r="R36" s="99">
        <f t="shared" ca="1" si="15"/>
        <v>367119751.55371839</v>
      </c>
    </row>
    <row r="37" spans="1:18">
      <c r="A37" s="40" t="s">
        <v>60</v>
      </c>
      <c r="B37" s="11" t="s">
        <v>61</v>
      </c>
      <c r="C37" s="95">
        <v>1015</v>
      </c>
      <c r="D37" s="92">
        <v>9.9502488000000004E-3</v>
      </c>
      <c r="E37" s="93">
        <v>10000527.312481999</v>
      </c>
      <c r="F37" s="35"/>
      <c r="G37" s="56" t="str">
        <f ca="1">IFERROR(OFFSET(INDIRECT($H$3 &amp; "!A98"), 6, 0), "")</f>
        <v>카이버네트워크</v>
      </c>
      <c r="H37" s="39">
        <f t="shared" ca="1" si="7"/>
        <v>2290</v>
      </c>
      <c r="I37" s="77">
        <f t="shared" ca="1" si="8"/>
        <v>-2.1786492E-3</v>
      </c>
      <c r="J37" s="86">
        <f t="shared" ca="1" si="13"/>
        <v>4598486.8659871398</v>
      </c>
      <c r="K37" s="56" t="str">
        <f ca="1">IFERROR(OFFSET(INDIRECT($H$3 &amp; "!A44"), 6, 0), "")</f>
        <v>메디블록</v>
      </c>
      <c r="L37" s="39">
        <f t="shared" ca="1" si="9"/>
        <v>89.5</v>
      </c>
      <c r="M37" s="77">
        <f t="shared" ca="1" si="10"/>
        <v>0</v>
      </c>
      <c r="N37" s="86">
        <f t="shared" ca="1" si="14"/>
        <v>169368636.3057391</v>
      </c>
      <c r="O37" s="56" t="str">
        <f ca="1">IFERROR(OFFSET(INDIRECT($H$3 &amp; "!A71"), 6, 0), "")</f>
        <v>도지코인</v>
      </c>
      <c r="P37" s="39">
        <f t="shared" ca="1" si="11"/>
        <v>298</v>
      </c>
      <c r="Q37" s="77">
        <f t="shared" ca="1" si="12"/>
        <v>1.0169491500000001E-2</v>
      </c>
      <c r="R37" s="86">
        <f t="shared" ca="1" si="15"/>
        <v>313817827.23648822</v>
      </c>
    </row>
    <row r="38" spans="1:18">
      <c r="A38" s="40" t="s">
        <v>111</v>
      </c>
      <c r="B38" s="11" t="s">
        <v>112</v>
      </c>
      <c r="C38" s="95">
        <v>8010</v>
      </c>
      <c r="D38" s="92">
        <v>9.4517957999999992E-3</v>
      </c>
      <c r="E38" s="93">
        <v>912329.53199637996</v>
      </c>
      <c r="F38" s="35"/>
      <c r="G38" s="56" t="str">
        <f ca="1">IFERROR(OFFSET(INDIRECT($H$3 &amp; "!A98"), 7, 0), "")</f>
        <v>스트라티스</v>
      </c>
      <c r="H38" s="39">
        <f t="shared" ca="1" si="7"/>
        <v>3065</v>
      </c>
      <c r="I38" s="77">
        <f t="shared" ca="1" si="8"/>
        <v>-3.00632911E-2</v>
      </c>
      <c r="J38" s="86">
        <f t="shared" ca="1" si="13"/>
        <v>6343798.1617654804</v>
      </c>
      <c r="K38" s="56" t="str">
        <f ca="1">IFERROR(OFFSET(INDIRECT($H$3 &amp; "!A44"), 7, 0), "")</f>
        <v>시아코인</v>
      </c>
      <c r="L38" s="39">
        <f t="shared" ca="1" si="9"/>
        <v>22.7</v>
      </c>
      <c r="M38" s="77">
        <f t="shared" ca="1" si="10"/>
        <v>1.79372197E-2</v>
      </c>
      <c r="N38" s="86">
        <f t="shared" ca="1" si="14"/>
        <v>405264312.86155063</v>
      </c>
      <c r="O38" s="56" t="str">
        <f ca="1">IFERROR(OFFSET(INDIRECT($H$3 &amp; "!A71"), 7, 0), "")</f>
        <v>디카르고</v>
      </c>
      <c r="P38" s="39">
        <f t="shared" ca="1" si="11"/>
        <v>191</v>
      </c>
      <c r="Q38" s="77">
        <f t="shared" ca="1" si="12"/>
        <v>1.59574468E-2</v>
      </c>
      <c r="R38" s="86">
        <f t="shared" ca="1" si="15"/>
        <v>70565100.674531177</v>
      </c>
    </row>
    <row r="39" spans="1:18">
      <c r="A39" s="40" t="s">
        <v>161</v>
      </c>
      <c r="B39" s="11" t="s">
        <v>162</v>
      </c>
      <c r="C39" s="95">
        <v>112</v>
      </c>
      <c r="D39" s="92">
        <v>9.0090090000000001E-3</v>
      </c>
      <c r="E39" s="93">
        <v>139793601.3079606</v>
      </c>
      <c r="F39" s="35"/>
      <c r="G39" s="56" t="str">
        <f ca="1">IFERROR(OFFSET(INDIRECT($H$3 &amp; "!A98"), 8, 0), "")</f>
        <v>메인프레임</v>
      </c>
      <c r="H39" s="39">
        <f t="shared" ca="1" si="7"/>
        <v>14.8</v>
      </c>
      <c r="I39" s="77">
        <f t="shared" ca="1" si="8"/>
        <v>-6.7114093999999999E-3</v>
      </c>
      <c r="J39" s="86">
        <f t="shared" ca="1" si="13"/>
        <v>195688361.17392182</v>
      </c>
      <c r="K39" s="56" t="str">
        <f ca="1">IFERROR(OFFSET(INDIRECT($H$3 &amp; "!A44"), 8, 0), "")</f>
        <v>저스트</v>
      </c>
      <c r="L39" s="39">
        <f t="shared" ca="1" si="9"/>
        <v>99.3</v>
      </c>
      <c r="M39" s="77">
        <f t="shared" ca="1" si="10"/>
        <v>3.1152648000000002E-2</v>
      </c>
      <c r="N39" s="86">
        <f t="shared" ca="1" si="14"/>
        <v>187248841.0433059</v>
      </c>
      <c r="O39" s="56" t="str">
        <f ca="1">IFERROR(OFFSET(INDIRECT($H$3 &amp; "!A71"), 8, 0), "")</f>
        <v>크립토닷컴체인</v>
      </c>
      <c r="P39" s="39">
        <f t="shared" ca="1" si="11"/>
        <v>214</v>
      </c>
      <c r="Q39" s="77">
        <f t="shared" ca="1" si="12"/>
        <v>2.3923445000000002E-2</v>
      </c>
      <c r="R39" s="86">
        <f t="shared" ca="1" si="15"/>
        <v>19980345.667527471</v>
      </c>
    </row>
    <row r="40" spans="1:18" ht="17.25" thickBot="1">
      <c r="A40" s="40" t="s">
        <v>165</v>
      </c>
      <c r="B40" s="11" t="s">
        <v>166</v>
      </c>
      <c r="C40" s="95">
        <v>232</v>
      </c>
      <c r="D40" s="92">
        <v>8.6956522000000008E-3</v>
      </c>
      <c r="E40" s="93">
        <v>50833835.675440617</v>
      </c>
      <c r="F40" s="35"/>
      <c r="G40" s="57" t="str">
        <f ca="1">IFERROR(OFFSET(INDIRECT($H$3 &amp; "!A98"), 9, 0), "")</f>
        <v>비트코인</v>
      </c>
      <c r="H40" s="37">
        <f t="shared" ca="1" si="7"/>
        <v>55149000</v>
      </c>
      <c r="I40" s="79">
        <f t="shared" ca="1" si="8"/>
        <v>2.1442459999999998E-3</v>
      </c>
      <c r="J40" s="87">
        <f t="shared" ca="1" si="13"/>
        <v>2951.3524031900001</v>
      </c>
      <c r="K40" s="57" t="str">
        <f ca="1">IFERROR(OFFSET(INDIRECT($H$3 &amp; "!A44"), 9, 0), "")</f>
        <v>캐리프로토콜</v>
      </c>
      <c r="L40" s="37">
        <f t="shared" ca="1" si="9"/>
        <v>13.7</v>
      </c>
      <c r="M40" s="79">
        <f t="shared" ca="1" si="10"/>
        <v>7.3529412000000001E-3</v>
      </c>
      <c r="N40" s="87">
        <f t="shared" ca="1" si="14"/>
        <v>343296079.56837082</v>
      </c>
      <c r="O40" s="57" t="str">
        <f ca="1">IFERROR(OFFSET(INDIRECT($H$3 &amp; "!A71"), 9, 0), "")</f>
        <v>칠리즈</v>
      </c>
      <c r="P40" s="37">
        <f t="shared" ca="1" si="11"/>
        <v>405</v>
      </c>
      <c r="Q40" s="79">
        <f t="shared" ca="1" si="12"/>
        <v>4.9627791999999997E-3</v>
      </c>
      <c r="R40" s="87">
        <f t="shared" ca="1" si="15"/>
        <v>21740857.23882477</v>
      </c>
    </row>
    <row r="41" spans="1:18">
      <c r="A41" s="40" t="s">
        <v>215</v>
      </c>
      <c r="B41" s="11" t="s">
        <v>216</v>
      </c>
      <c r="C41" s="95">
        <v>11.7</v>
      </c>
      <c r="D41" s="92">
        <v>8.6206896999999998E-3</v>
      </c>
      <c r="E41" s="93">
        <v>761175676.09675169</v>
      </c>
      <c r="F41" s="35"/>
      <c r="G41" s="59" t="str">
        <f ca="1">IFERROR(OFFSET(INDIRECT($H$3 &amp; "!A98"), 10, 0), "")</f>
        <v>휴먼스케이프</v>
      </c>
      <c r="H41" s="38">
        <f t="shared" ca="1" si="7"/>
        <v>156</v>
      </c>
      <c r="I41" s="76">
        <f t="shared" ca="1" si="8"/>
        <v>-3.1055900599999998E-2</v>
      </c>
      <c r="J41" s="85">
        <f t="shared" ca="1" si="13"/>
        <v>144262808.68169215</v>
      </c>
      <c r="K41" s="55" t="str">
        <f ca="1">IFERROR(OFFSET(INDIRECT($H$3 &amp; "!A44"), 10, 0), "")</f>
        <v>에브리피디아</v>
      </c>
      <c r="L41" s="38">
        <f t="shared" ca="1" si="9"/>
        <v>19.2</v>
      </c>
      <c r="M41" s="76">
        <f t="shared" ca="1" si="10"/>
        <v>-2.0408163300000001E-2</v>
      </c>
      <c r="N41" s="85">
        <f t="shared" ca="1" si="14"/>
        <v>134606798.84077039</v>
      </c>
      <c r="O41" s="55" t="str">
        <f ca="1">IFERROR(OFFSET(INDIRECT($H$3 &amp; "!A71"), 10, 0), "")</f>
        <v>비체인</v>
      </c>
      <c r="P41" s="38">
        <f t="shared" ca="1" si="11"/>
        <v>142</v>
      </c>
      <c r="Q41" s="76">
        <f t="shared" ca="1" si="12"/>
        <v>2.15827338E-2</v>
      </c>
      <c r="R41" s="85">
        <f t="shared" ca="1" si="15"/>
        <v>195542834.02240312</v>
      </c>
    </row>
    <row r="42" spans="1:18">
      <c r="A42" s="40" t="s">
        <v>101</v>
      </c>
      <c r="B42" s="11" t="s">
        <v>102</v>
      </c>
      <c r="C42" s="95">
        <v>1185</v>
      </c>
      <c r="D42" s="92">
        <v>8.5106382999999997E-3</v>
      </c>
      <c r="E42" s="93">
        <v>3572497.9594064001</v>
      </c>
      <c r="F42" s="35"/>
      <c r="G42" s="56" t="str">
        <f ca="1">IFERROR(OFFSET(INDIRECT($H$3 &amp; "!A98"), 11, 0), "")</f>
        <v>폴카닷</v>
      </c>
      <c r="H42" s="39">
        <f t="shared" ca="1" si="7"/>
        <v>36670</v>
      </c>
      <c r="I42" s="77">
        <f t="shared" ca="1" si="8"/>
        <v>2.28730823E-2</v>
      </c>
      <c r="J42" s="86">
        <f t="shared" ca="1" si="13"/>
        <v>1422590.4564674599</v>
      </c>
      <c r="K42" s="56" t="str">
        <f ca="1">IFERROR(OFFSET(INDIRECT($H$3 &amp; "!A44"), 11, 0), "")</f>
        <v>아하토큰</v>
      </c>
      <c r="L42" s="39">
        <f t="shared" ca="1" si="9"/>
        <v>15.2</v>
      </c>
      <c r="M42" s="77">
        <f t="shared" ca="1" si="10"/>
        <v>-1.9354838700000002E-2</v>
      </c>
      <c r="N42" s="86">
        <f t="shared" ca="1" si="14"/>
        <v>214205640.66917816</v>
      </c>
      <c r="O42" s="56" t="str">
        <f ca="1">IFERROR(OFFSET(INDIRECT($H$3 &amp; "!A71"), 11, 0), "")</f>
        <v>룸네트워크</v>
      </c>
      <c r="P42" s="39">
        <f t="shared" ca="1" si="11"/>
        <v>127</v>
      </c>
      <c r="Q42" s="77">
        <f t="shared" ca="1" si="12"/>
        <v>-7.8125E-3</v>
      </c>
      <c r="R42" s="86">
        <f t="shared" ca="1" si="15"/>
        <v>52364042.35096132</v>
      </c>
    </row>
    <row r="43" spans="1:18">
      <c r="A43" s="40" t="s">
        <v>131</v>
      </c>
      <c r="B43" s="11" t="s">
        <v>132</v>
      </c>
      <c r="C43" s="95">
        <v>132</v>
      </c>
      <c r="D43" s="92">
        <v>7.6335878000000001E-3</v>
      </c>
      <c r="E43" s="93">
        <v>56649426.290439069</v>
      </c>
      <c r="F43" s="35"/>
      <c r="G43" s="56" t="str">
        <f ca="1">IFERROR(OFFSET(INDIRECT($H$3 &amp; "!A98"), 12, 0), "")</f>
        <v>리플</v>
      </c>
      <c r="H43" s="39">
        <f t="shared" ca="1" si="7"/>
        <v>1340</v>
      </c>
      <c r="I43" s="77">
        <f t="shared" ca="1" si="8"/>
        <v>3.47490347E-2</v>
      </c>
      <c r="J43" s="86">
        <f t="shared" ca="1" si="13"/>
        <v>210200783.70928422</v>
      </c>
      <c r="K43" s="56" t="str">
        <f ca="1">IFERROR(OFFSET(INDIRECT($H$3 &amp; "!A44"), 12, 0), "")</f>
        <v>썬더토큰</v>
      </c>
      <c r="L43" s="39">
        <f t="shared" ca="1" si="9"/>
        <v>14.5</v>
      </c>
      <c r="M43" s="77">
        <f t="shared" ca="1" si="10"/>
        <v>-1.36054422E-2</v>
      </c>
      <c r="N43" s="86">
        <f t="shared" ca="1" si="14"/>
        <v>191938107.07834071</v>
      </c>
      <c r="O43" s="56" t="str">
        <f ca="1">IFERROR(OFFSET(INDIRECT($H$3 &amp; "!A71"), 12, 0), "")</f>
        <v>베이직어텐션토큰</v>
      </c>
      <c r="P43" s="39">
        <f t="shared" ca="1" si="11"/>
        <v>948</v>
      </c>
      <c r="Q43" s="77">
        <f t="shared" ca="1" si="12"/>
        <v>1.39037433E-2</v>
      </c>
      <c r="R43" s="86">
        <f t="shared" ca="1" si="15"/>
        <v>2918499.41094968</v>
      </c>
    </row>
    <row r="44" spans="1:18">
      <c r="A44" s="40" t="s">
        <v>149</v>
      </c>
      <c r="B44" s="11" t="s">
        <v>150</v>
      </c>
      <c r="C44" s="95">
        <v>13.7</v>
      </c>
      <c r="D44" s="92">
        <v>7.3529412000000001E-3</v>
      </c>
      <c r="E44" s="93">
        <v>343296079.56837082</v>
      </c>
      <c r="F44" s="35"/>
      <c r="G44" s="56" t="str">
        <f ca="1">IFERROR(OFFSET(INDIRECT($H$3 &amp; "!A98"), 13, 0), "")</f>
        <v>라이트코인</v>
      </c>
      <c r="H44" s="39">
        <f t="shared" ca="1" si="7"/>
        <v>224850</v>
      </c>
      <c r="I44" s="77">
        <f t="shared" ca="1" si="8"/>
        <v>5.34082923E-2</v>
      </c>
      <c r="J44" s="86">
        <f t="shared" ca="1" si="13"/>
        <v>100710.31902982001</v>
      </c>
      <c r="K44" s="56" t="str">
        <f ca="1">IFERROR(OFFSET(INDIRECT($H$3 &amp; "!A44"), 13, 0), "")</f>
        <v>엠블</v>
      </c>
      <c r="L44" s="39">
        <f t="shared" ca="1" si="9"/>
        <v>19</v>
      </c>
      <c r="M44" s="77">
        <f t="shared" ca="1" si="10"/>
        <v>0</v>
      </c>
      <c r="N44" s="86">
        <f t="shared" ca="1" si="14"/>
        <v>393965791.73952574</v>
      </c>
      <c r="O44" s="56" t="str">
        <f ca="1">IFERROR(OFFSET(INDIRECT($H$3 &amp; "!A71"), 13, 0), "")</f>
        <v>앵커</v>
      </c>
      <c r="P44" s="39">
        <f t="shared" ca="1" si="11"/>
        <v>120</v>
      </c>
      <c r="Q44" s="77">
        <f t="shared" ca="1" si="12"/>
        <v>2.5641025599999999E-2</v>
      </c>
      <c r="R44" s="86">
        <f t="shared" ca="1" si="15"/>
        <v>47307577.106153272</v>
      </c>
    </row>
    <row r="45" spans="1:18">
      <c r="A45" s="40" t="s">
        <v>91</v>
      </c>
      <c r="B45" s="11" t="s">
        <v>92</v>
      </c>
      <c r="C45" s="95">
        <v>79880</v>
      </c>
      <c r="D45" s="92">
        <v>6.8061507000000002E-3</v>
      </c>
      <c r="E45" s="93">
        <v>109927.53955037</v>
      </c>
      <c r="F45" s="35"/>
      <c r="G45" s="58" t="str">
        <f ca="1">IFERROR(OFFSET(INDIRECT($H$3 &amp; "!A98"), 14, 0), "")</f>
        <v>스텔라루멘</v>
      </c>
      <c r="H45" s="44">
        <f t="shared" ca="1" si="7"/>
        <v>398</v>
      </c>
      <c r="I45" s="78">
        <f t="shared" ca="1" si="8"/>
        <v>2.3136246799999999E-2</v>
      </c>
      <c r="J45" s="90">
        <f t="shared" ca="1" si="13"/>
        <v>52842989.092003077</v>
      </c>
      <c r="K45" s="58" t="str">
        <f ca="1">IFERROR(OFFSET(INDIRECT($H$3 &amp; "!A44"), 14, 0), "")</f>
        <v>리퍼리움</v>
      </c>
      <c r="L45" s="44">
        <f t="shared" ca="1" si="9"/>
        <v>18.100000000000001</v>
      </c>
      <c r="M45" s="78">
        <f t="shared" ca="1" si="10"/>
        <v>-3.2085561499999998E-2</v>
      </c>
      <c r="N45" s="90">
        <f t="shared" ca="1" si="14"/>
        <v>870537041.2437582</v>
      </c>
      <c r="O45" s="58" t="str">
        <f ca="1">IFERROR(OFFSET(INDIRECT($H$3 &amp; "!A71"), 14, 0), "")</f>
        <v>메타디움</v>
      </c>
      <c r="P45" s="44">
        <f t="shared" ca="1" si="11"/>
        <v>134</v>
      </c>
      <c r="Q45" s="78">
        <f t="shared" ca="1" si="12"/>
        <v>1.51515152E-2</v>
      </c>
      <c r="R45" s="90">
        <f t="shared" ca="1" si="15"/>
        <v>82203928.997801334</v>
      </c>
    </row>
    <row r="46" spans="1:18">
      <c r="A46" s="40" t="s">
        <v>167</v>
      </c>
      <c r="B46" s="11" t="s">
        <v>168</v>
      </c>
      <c r="C46" s="95">
        <v>1705</v>
      </c>
      <c r="D46" s="92">
        <v>5.8997049999999999E-3</v>
      </c>
      <c r="E46" s="93">
        <v>5944953.24333758</v>
      </c>
      <c r="F46" s="35"/>
      <c r="G46" s="56" t="str">
        <f ca="1">IFERROR(OFFSET(INDIRECT($H$3 &amp; "!A98"), 15, 0), "")</f>
        <v>비트코인캐시</v>
      </c>
      <c r="H46" s="39">
        <f t="shared" ca="1" si="7"/>
        <v>780500</v>
      </c>
      <c r="I46" s="77">
        <f t="shared" ca="1" si="8"/>
        <v>1.1141339599999999E-2</v>
      </c>
      <c r="J46" s="99">
        <f t="shared" ca="1" si="13"/>
        <v>17648.272395169999</v>
      </c>
      <c r="K46" s="56" t="str">
        <f ca="1">IFERROR(OFFSET(INDIRECT($H$3 &amp; "!A44"), 15, 0), "")</f>
        <v>아이오에스티</v>
      </c>
      <c r="L46" s="39">
        <f t="shared" ca="1" si="9"/>
        <v>90</v>
      </c>
      <c r="M46" s="77">
        <f t="shared" ca="1" si="10"/>
        <v>-1.7467248899999999E-2</v>
      </c>
      <c r="N46" s="99">
        <f t="shared" ca="1" si="14"/>
        <v>2003527521.6974006</v>
      </c>
      <c r="O46" s="56" t="str">
        <f ca="1">IFERROR(OFFSET(INDIRECT($H$3 &amp; "!A71"), 15, 0), "")</f>
        <v>디센트럴랜드</v>
      </c>
      <c r="P46" s="39">
        <f t="shared" ca="1" si="11"/>
        <v>1015</v>
      </c>
      <c r="Q46" s="77">
        <f t="shared" ca="1" si="12"/>
        <v>9.9502488000000004E-3</v>
      </c>
      <c r="R46" s="99">
        <f t="shared" ca="1" si="15"/>
        <v>10000527.312481999</v>
      </c>
    </row>
    <row r="47" spans="1:18">
      <c r="A47" s="40" t="s">
        <v>85</v>
      </c>
      <c r="B47" s="11" t="s">
        <v>86</v>
      </c>
      <c r="C47" s="95">
        <v>405</v>
      </c>
      <c r="D47" s="92">
        <v>4.9627791999999997E-3</v>
      </c>
      <c r="E47" s="93">
        <v>21740857.23882477</v>
      </c>
      <c r="F47" s="35"/>
      <c r="G47" s="56" t="str">
        <f ca="1">IFERROR(OFFSET(INDIRECT($H$3 &amp; "!A98"), 16, 0), "")</f>
        <v>스팀</v>
      </c>
      <c r="H47" s="39">
        <f t="shared" ca="1" si="7"/>
        <v>753</v>
      </c>
      <c r="I47" s="77">
        <f t="shared" ca="1" si="8"/>
        <v>-5.63909774E-2</v>
      </c>
      <c r="J47" s="86">
        <f t="shared" ca="1" si="13"/>
        <v>12597954.624577019</v>
      </c>
      <c r="K47" s="56" t="str">
        <f ca="1">IFERROR(OFFSET(INDIRECT($H$3 &amp; "!A44"), 16, 0), "")</f>
        <v>스톰엑스</v>
      </c>
      <c r="L47" s="39">
        <f t="shared" ca="1" si="9"/>
        <v>42.2</v>
      </c>
      <c r="M47" s="77">
        <f t="shared" ca="1" si="10"/>
        <v>-2.3148148100000002E-2</v>
      </c>
      <c r="N47" s="86">
        <f t="shared" ca="1" si="14"/>
        <v>160024513.72535238</v>
      </c>
      <c r="O47" s="56" t="str">
        <f ca="1">IFERROR(OFFSET(INDIRECT($H$3 &amp; "!A71"), 16, 0), "")</f>
        <v>쎄타퓨엘</v>
      </c>
      <c r="P47" s="39">
        <f t="shared" ca="1" si="11"/>
        <v>379</v>
      </c>
      <c r="Q47" s="77">
        <f t="shared" ca="1" si="12"/>
        <v>2.6455025999999999E-3</v>
      </c>
      <c r="R47" s="86">
        <f t="shared" ca="1" si="15"/>
        <v>16438258.629028089</v>
      </c>
    </row>
    <row r="48" spans="1:18">
      <c r="A48" s="40" t="s">
        <v>123</v>
      </c>
      <c r="B48" s="11" t="s">
        <v>124</v>
      </c>
      <c r="C48" s="95">
        <v>652</v>
      </c>
      <c r="D48" s="92">
        <v>4.6224960999999998E-3</v>
      </c>
      <c r="E48" s="93">
        <v>36062388.865278743</v>
      </c>
      <c r="F48" s="35"/>
      <c r="G48" s="56" t="str">
        <f ca="1">IFERROR(OFFSET(INDIRECT($H$3 &amp; "!A98"), 17, 0), "")</f>
        <v>코스모스</v>
      </c>
      <c r="H48" s="39">
        <f t="shared" ca="1" si="7"/>
        <v>34050</v>
      </c>
      <c r="I48" s="77">
        <f t="shared" ca="1" si="8"/>
        <v>-5.7308970100000002E-2</v>
      </c>
      <c r="J48" s="86">
        <f t="shared" ca="1" si="13"/>
        <v>3979680.9462734601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넴</v>
      </c>
      <c r="P48" s="39">
        <f t="shared" ca="1" si="11"/>
        <v>222</v>
      </c>
      <c r="Q48" s="77">
        <f t="shared" ca="1" si="12"/>
        <v>1.3698630099999999E-2</v>
      </c>
      <c r="R48" s="86">
        <f t="shared" ca="1" si="15"/>
        <v>36387752.404277168</v>
      </c>
    </row>
    <row r="49" spans="1:18">
      <c r="A49" s="40" t="s">
        <v>211</v>
      </c>
      <c r="B49" s="11" t="s">
        <v>212</v>
      </c>
      <c r="C49" s="95">
        <v>1360</v>
      </c>
      <c r="D49" s="92">
        <v>3.6900369000000001E-3</v>
      </c>
      <c r="E49" s="93">
        <v>10910595.34329444</v>
      </c>
      <c r="F49" s="35"/>
      <c r="G49" s="56" t="str">
        <f ca="1">IFERROR(OFFSET(INDIRECT($H$3 &amp; "!A98"), 18, 0), "")</f>
        <v>이더리움</v>
      </c>
      <c r="H49" s="39">
        <f t="shared" ca="1" si="7"/>
        <v>4017000</v>
      </c>
      <c r="I49" s="77">
        <f t="shared" ca="1" si="8"/>
        <v>1.8767435999999998E-2</v>
      </c>
      <c r="J49" s="86">
        <f t="shared" ca="1" si="13"/>
        <v>31609.133394470002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스테이터스네트워크토큰</v>
      </c>
      <c r="P49" s="39">
        <f t="shared" ca="1" si="11"/>
        <v>112</v>
      </c>
      <c r="Q49" s="77">
        <f t="shared" ca="1" si="12"/>
        <v>9.0090090000000001E-3</v>
      </c>
      <c r="R49" s="86">
        <f t="shared" ca="1" si="15"/>
        <v>139793601.3079606</v>
      </c>
    </row>
    <row r="50" spans="1:18" ht="17.25" thickBot="1">
      <c r="A50" s="40" t="s">
        <v>137</v>
      </c>
      <c r="B50" s="11" t="s">
        <v>138</v>
      </c>
      <c r="C50" s="95">
        <v>379</v>
      </c>
      <c r="D50" s="92">
        <v>2.6455025999999999E-3</v>
      </c>
      <c r="E50" s="93">
        <v>16438258.629028089</v>
      </c>
      <c r="F50" s="35"/>
      <c r="G50" s="57" t="str">
        <f ca="1">IFERROR(OFFSET(INDIRECT($H$3 &amp; "!A98"), 19, 0), "")</f>
        <v>트론</v>
      </c>
      <c r="H50" s="37">
        <f t="shared" ca="1" si="7"/>
        <v>116</v>
      </c>
      <c r="I50" s="79">
        <f t="shared" ca="1" si="8"/>
        <v>3.5714285700000001E-2</v>
      </c>
      <c r="J50" s="87">
        <f t="shared" ca="1" si="13"/>
        <v>367119751.55371839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엘프</v>
      </c>
      <c r="P50" s="37">
        <f t="shared" ca="1" si="11"/>
        <v>973</v>
      </c>
      <c r="Q50" s="79">
        <f t="shared" ca="1" si="12"/>
        <v>-3.1840795999999998E-2</v>
      </c>
      <c r="R50" s="87">
        <f t="shared" ca="1" si="15"/>
        <v>57388444.068371639</v>
      </c>
    </row>
    <row r="51" spans="1:18">
      <c r="A51" s="40" t="s">
        <v>225</v>
      </c>
      <c r="B51" s="11" t="s">
        <v>226</v>
      </c>
      <c r="C51" s="95">
        <v>1935</v>
      </c>
      <c r="D51" s="92">
        <v>2.5906736000000001E-3</v>
      </c>
      <c r="E51" s="93">
        <v>2933131.5947260899</v>
      </c>
      <c r="F51" s="35"/>
    </row>
    <row r="52" spans="1:18" ht="17.25" thickBot="1">
      <c r="A52" s="40" t="s">
        <v>48</v>
      </c>
      <c r="B52" s="11" t="s">
        <v>49</v>
      </c>
      <c r="C52" s="95">
        <v>55149000</v>
      </c>
      <c r="D52" s="92">
        <v>2.1442459999999998E-3</v>
      </c>
      <c r="E52" s="93">
        <v>2951.3524031900001</v>
      </c>
      <c r="F52" s="35"/>
    </row>
    <row r="53" spans="1:18" ht="17.25" thickBot="1">
      <c r="A53" s="40" t="s">
        <v>119</v>
      </c>
      <c r="B53" s="11" t="s">
        <v>120</v>
      </c>
      <c r="C53" s="95">
        <v>4860</v>
      </c>
      <c r="D53" s="92">
        <v>2.0618556999999998E-3</v>
      </c>
      <c r="E53" s="93">
        <v>1278585.4797998101</v>
      </c>
      <c r="F53" s="35"/>
      <c r="G53" s="201" t="s">
        <v>255</v>
      </c>
      <c r="H53" s="202"/>
      <c r="I53" s="202"/>
      <c r="J53" s="203"/>
      <c r="K53" s="201" t="s">
        <v>258</v>
      </c>
      <c r="L53" s="202"/>
      <c r="M53" s="202"/>
      <c r="N53" s="203"/>
      <c r="O53" s="201" t="s">
        <v>259</v>
      </c>
      <c r="P53" s="202"/>
      <c r="Q53" s="202"/>
      <c r="R53" s="203"/>
    </row>
    <row r="54" spans="1:18" ht="17.25" thickBot="1">
      <c r="A54" s="40" t="s">
        <v>103</v>
      </c>
      <c r="B54" s="11" t="s">
        <v>104</v>
      </c>
      <c r="C54" s="95">
        <v>1240</v>
      </c>
      <c r="D54" s="92">
        <v>0</v>
      </c>
      <c r="E54" s="93">
        <v>2644675.2612393601</v>
      </c>
      <c r="F54" s="35"/>
      <c r="G54" s="266" t="s">
        <v>55</v>
      </c>
      <c r="H54" s="278">
        <f ca="1">NOW()</f>
        <v>44450.89285196759</v>
      </c>
      <c r="I54" s="279"/>
      <c r="J54" s="280"/>
      <c r="K54" s="269" t="s">
        <v>55</v>
      </c>
      <c r="L54" s="278">
        <f ca="1">NOW()</f>
        <v>44450.89285196759</v>
      </c>
      <c r="M54" s="279"/>
      <c r="N54" s="280"/>
      <c r="O54" s="269" t="s">
        <v>55</v>
      </c>
      <c r="P54" s="278">
        <f ca="1">NOW()</f>
        <v>44450.89285196759</v>
      </c>
      <c r="Q54" s="279"/>
      <c r="R54" s="280"/>
    </row>
    <row r="55" spans="1:18" ht="17.25" thickBot="1">
      <c r="A55" s="40" t="s">
        <v>201</v>
      </c>
      <c r="B55" s="11" t="s">
        <v>202</v>
      </c>
      <c r="C55" s="95">
        <v>89.5</v>
      </c>
      <c r="D55" s="92">
        <v>0</v>
      </c>
      <c r="E55" s="93">
        <v>169368636.3057391</v>
      </c>
      <c r="F55" s="35"/>
      <c r="G55" s="263"/>
      <c r="H55" s="36" t="s">
        <v>58</v>
      </c>
      <c r="I55" s="73" t="s">
        <v>59</v>
      </c>
      <c r="J55" s="69" t="s">
        <v>264</v>
      </c>
      <c r="K55" s="263"/>
      <c r="L55" s="36" t="s">
        <v>58</v>
      </c>
      <c r="M55" s="73" t="s">
        <v>59</v>
      </c>
      <c r="N55" s="69" t="s">
        <v>264</v>
      </c>
      <c r="O55" s="263"/>
      <c r="P55" s="36" t="s">
        <v>58</v>
      </c>
      <c r="Q55" s="73" t="s">
        <v>59</v>
      </c>
      <c r="R55" s="69" t="s">
        <v>264</v>
      </c>
    </row>
    <row r="56" spans="1:18">
      <c r="A56" s="40" t="s">
        <v>189</v>
      </c>
      <c r="B56" s="11" t="s">
        <v>190</v>
      </c>
      <c r="C56" s="95">
        <v>19</v>
      </c>
      <c r="D56" s="92">
        <v>0</v>
      </c>
      <c r="E56" s="93">
        <v>393965791.73952574</v>
      </c>
      <c r="F56" s="35"/>
      <c r="G56" s="55" t="str">
        <f ca="1">IFERROR(OFFSET(INDIRECT($H$3 &amp; "!A179"), 0, 0), "")</f>
        <v>온톨로지가스</v>
      </c>
      <c r="H56" s="38">
        <f t="shared" ref="H56:H65" ca="1" si="16">_xlfn.IFNA(VLOOKUP(G56, $B$2:$D$200, 2, FALSE), "")</f>
        <v>1325</v>
      </c>
      <c r="I56" s="76">
        <f t="shared" ref="I56:I65" ca="1" si="17">_xlfn.IFNA(VLOOKUP(G56, $B$2:$D$200, 3, FALSE), "")</f>
        <v>-2.9304029299999999E-2</v>
      </c>
      <c r="J56" s="85">
        <f ca="1">_xlfn.IFNA(VLOOKUP(G56, $B$2:$E$200, 4, FALSE), "")</f>
        <v>4103885.2727949498</v>
      </c>
      <c r="K56" s="55" t="str">
        <f ca="1">IFERROR(OFFSET(INDIRECT($H$3 &amp; "!A125"), 0, 0), "")</f>
        <v>쿼크체인</v>
      </c>
      <c r="L56" s="38">
        <f t="shared" ref="L56:L75" ca="1" si="18">_xlfn.IFNA(VLOOKUP(K56, $B$2:$D$200, 2, FALSE), "")</f>
        <v>29.4</v>
      </c>
      <c r="M56" s="76">
        <f t="shared" ref="M56:M75" ca="1" si="19">_xlfn.IFNA(VLOOKUP(K56, $B$2:$D$200, 3, FALSE), "")</f>
        <v>-2.6490066199999999E-2</v>
      </c>
      <c r="N56" s="85">
        <f ca="1">_xlfn.IFNA(VLOOKUP(K56, $B$2:$E$200, 4, FALSE), "")</f>
        <v>311597529.66080791</v>
      </c>
      <c r="O56" s="55" t="str">
        <f ca="1">IFERROR(OFFSET(INDIRECT($H$3 &amp; "!A152"), 0, 0), "")</f>
        <v>디센트럴랜드</v>
      </c>
      <c r="P56" s="38">
        <f t="shared" ref="P56:P75" ca="1" si="20">_xlfn.IFNA(VLOOKUP(O56, $B$2:$D$200, 2, FALSE), "")</f>
        <v>1015</v>
      </c>
      <c r="Q56" s="76">
        <f t="shared" ref="Q56:Q75" ca="1" si="21">_xlfn.IFNA(VLOOKUP(O56, $B$2:$D$200, 3, FALSE), "")</f>
        <v>9.9502488000000004E-3</v>
      </c>
      <c r="R56" s="85">
        <f ca="1">_xlfn.IFNA(VLOOKUP(O56, $B$2:$E$200, 4, FALSE), "")</f>
        <v>10000527.312481999</v>
      </c>
    </row>
    <row r="57" spans="1:18">
      <c r="A57" s="40" t="s">
        <v>195</v>
      </c>
      <c r="B57" s="11" t="s">
        <v>196</v>
      </c>
      <c r="C57" s="95">
        <v>4120</v>
      </c>
      <c r="D57" s="92">
        <v>0</v>
      </c>
      <c r="E57" s="93">
        <v>2231622.3752785502</v>
      </c>
      <c r="F57" s="35"/>
      <c r="G57" s="56" t="str">
        <f ca="1">IFERROR(OFFSET(INDIRECT($H$3 &amp; "!A179"), 1, 0), "")</f>
        <v>오미세고</v>
      </c>
      <c r="H57" s="39">
        <f t="shared" ca="1" si="16"/>
        <v>10840</v>
      </c>
      <c r="I57" s="77">
        <f t="shared" ca="1" si="17"/>
        <v>7.8606965200000004E-2</v>
      </c>
      <c r="J57" s="86">
        <f t="shared" ref="J57:J75" ca="1" si="22">_xlfn.IFNA(VLOOKUP(G57, $B$2:$E$200, 4, FALSE), "")</f>
        <v>12129201.620871671</v>
      </c>
      <c r="K57" s="56" t="str">
        <f ca="1">IFERROR(OFFSET(INDIRECT($H$3 &amp; "!A125"), 1, 0), "")</f>
        <v>메인프레임</v>
      </c>
      <c r="L57" s="39">
        <f t="shared" ca="1" si="18"/>
        <v>14.8</v>
      </c>
      <c r="M57" s="77">
        <f t="shared" ca="1" si="19"/>
        <v>-6.7114093999999999E-3</v>
      </c>
      <c r="N57" s="86">
        <f t="shared" ref="N57:N75" ca="1" si="23">_xlfn.IFNA(VLOOKUP(K57, $B$2:$E$200, 4, FALSE), "")</f>
        <v>195688361.17392182</v>
      </c>
      <c r="O57" s="56" t="str">
        <f ca="1">IFERROR(OFFSET(INDIRECT($H$3 &amp; "!A152"), 1, 0), "")</f>
        <v>쎄타퓨엘</v>
      </c>
      <c r="P57" s="39">
        <f t="shared" ca="1" si="20"/>
        <v>379</v>
      </c>
      <c r="Q57" s="77">
        <f t="shared" ca="1" si="21"/>
        <v>2.6455025999999999E-3</v>
      </c>
      <c r="R57" s="86">
        <f t="shared" ref="R57:R75" ca="1" si="24">_xlfn.IFNA(VLOOKUP(O57, $B$2:$E$200, 4, FALSE), "")</f>
        <v>16438258.629028089</v>
      </c>
    </row>
    <row r="58" spans="1:18">
      <c r="A58" s="40" t="s">
        <v>135</v>
      </c>
      <c r="B58" s="11" t="s">
        <v>136</v>
      </c>
      <c r="C58" s="95">
        <v>2290</v>
      </c>
      <c r="D58" s="92">
        <v>-2.1786492E-3</v>
      </c>
      <c r="E58" s="93">
        <v>4598486.8659871398</v>
      </c>
      <c r="F58" s="35"/>
      <c r="G58" s="56" t="str">
        <f ca="1">IFERROR(OFFSET(INDIRECT($H$3 &amp; "!A179"), 2, 0), "")</f>
        <v>보라</v>
      </c>
      <c r="H58" s="39">
        <f t="shared" ca="1" si="16"/>
        <v>232</v>
      </c>
      <c r="I58" s="77">
        <f t="shared" ca="1" si="17"/>
        <v>8.6956522000000008E-3</v>
      </c>
      <c r="J58" s="86">
        <f t="shared" ca="1" si="22"/>
        <v>50833835.675440617</v>
      </c>
      <c r="K58" s="56" t="str">
        <f ca="1">IFERROR(OFFSET(INDIRECT($H$3 &amp; "!A125"), 2, 0), "")</f>
        <v>비트토렌트</v>
      </c>
      <c r="L58" s="39">
        <f t="shared" ca="1" si="18"/>
        <v>4.79</v>
      </c>
      <c r="M58" s="77">
        <f t="shared" ca="1" si="19"/>
        <v>1.2684989400000001E-2</v>
      </c>
      <c r="N58" s="86">
        <f t="shared" ca="1" si="23"/>
        <v>5447805243.6530437</v>
      </c>
      <c r="O58" s="56" t="str">
        <f ca="1">IFERROR(OFFSET(INDIRECT($H$3 &amp; "!A152"), 2, 0), "")</f>
        <v>넴</v>
      </c>
      <c r="P58" s="39">
        <f t="shared" ca="1" si="20"/>
        <v>222</v>
      </c>
      <c r="Q58" s="77">
        <f t="shared" ca="1" si="21"/>
        <v>1.3698630099999999E-2</v>
      </c>
      <c r="R58" s="86">
        <f t="shared" ca="1" si="24"/>
        <v>36387752.404277168</v>
      </c>
    </row>
    <row r="59" spans="1:18">
      <c r="A59" s="40" t="s">
        <v>171</v>
      </c>
      <c r="B59" s="11" t="s">
        <v>172</v>
      </c>
      <c r="C59" s="95">
        <v>3930</v>
      </c>
      <c r="D59" s="92">
        <v>-6.3211125E-3</v>
      </c>
      <c r="E59" s="93">
        <v>2141977.9518776</v>
      </c>
      <c r="F59" s="35"/>
      <c r="G59" s="56" t="str">
        <f ca="1">IFERROR(OFFSET(INDIRECT($H$3 &amp; "!A179"), 3, 0), "")</f>
        <v>왁스</v>
      </c>
      <c r="H59" s="39">
        <f t="shared" ca="1" si="16"/>
        <v>361</v>
      </c>
      <c r="I59" s="77">
        <f t="shared" ca="1" si="17"/>
        <v>6.4896755200000003E-2</v>
      </c>
      <c r="J59" s="86">
        <f t="shared" ca="1" si="22"/>
        <v>508121982.20854884</v>
      </c>
      <c r="K59" s="56" t="str">
        <f ca="1">IFERROR(OFFSET(INDIRECT($H$3 &amp; "!A125"), 3, 0), "")</f>
        <v>에스티피</v>
      </c>
      <c r="L59" s="39">
        <f t="shared" ca="1" si="18"/>
        <v>71.2</v>
      </c>
      <c r="M59" s="77">
        <f t="shared" ca="1" si="19"/>
        <v>-2.9972751999999998E-2</v>
      </c>
      <c r="N59" s="86">
        <f t="shared" ca="1" si="23"/>
        <v>27145654.802114081</v>
      </c>
      <c r="O59" s="56" t="str">
        <f ca="1">IFERROR(OFFSET(INDIRECT($H$3 &amp; "!A152"), 3, 0), "")</f>
        <v>스테이터스네트워크토큰</v>
      </c>
      <c r="P59" s="39">
        <f t="shared" ca="1" si="20"/>
        <v>112</v>
      </c>
      <c r="Q59" s="77">
        <f t="shared" ca="1" si="21"/>
        <v>9.0090090000000001E-3</v>
      </c>
      <c r="R59" s="86">
        <f t="shared" ca="1" si="24"/>
        <v>139793601.3079606</v>
      </c>
    </row>
    <row r="60" spans="1:18">
      <c r="A60" s="40" t="s">
        <v>197</v>
      </c>
      <c r="B60" s="11" t="s">
        <v>198</v>
      </c>
      <c r="C60" s="95">
        <v>24530</v>
      </c>
      <c r="D60" s="92">
        <v>-6.4803563999999998E-3</v>
      </c>
      <c r="E60" s="93">
        <v>828287.92937022995</v>
      </c>
      <c r="F60" s="35"/>
      <c r="G60" s="56" t="str">
        <f ca="1">IFERROR(OFFSET(INDIRECT($H$3 &amp; "!A179"), 4, 0), "")</f>
        <v>아더</v>
      </c>
      <c r="H60" s="39">
        <f t="shared" ca="1" si="16"/>
        <v>406</v>
      </c>
      <c r="I60" s="77">
        <f t="shared" ca="1" si="17"/>
        <v>-4.4705882400000001E-2</v>
      </c>
      <c r="J60" s="90">
        <f t="shared" ca="1" si="22"/>
        <v>12525650.282224551</v>
      </c>
      <c r="K60" s="58" t="str">
        <f ca="1">IFERROR(OFFSET(INDIRECT($H$3 &amp; "!A125"), 4, 0), "")</f>
        <v>썸씽</v>
      </c>
      <c r="L60" s="44">
        <f t="shared" ca="1" si="18"/>
        <v>88.9</v>
      </c>
      <c r="M60" s="78">
        <f t="shared" ca="1" si="19"/>
        <v>-1.5503876E-2</v>
      </c>
      <c r="N60" s="90">
        <f t="shared" ca="1" si="23"/>
        <v>69792712.103104353</v>
      </c>
      <c r="O60" s="58" t="str">
        <f ca="1">IFERROR(OFFSET(INDIRECT($H$3 &amp; "!A152"), 4, 0), "")</f>
        <v>엘프</v>
      </c>
      <c r="P60" s="44">
        <f t="shared" ca="1" si="20"/>
        <v>973</v>
      </c>
      <c r="Q60" s="78">
        <f t="shared" ca="1" si="21"/>
        <v>-3.1840795999999998E-2</v>
      </c>
      <c r="R60" s="90">
        <f t="shared" ca="1" si="24"/>
        <v>57388444.068371639</v>
      </c>
    </row>
    <row r="61" spans="1:18">
      <c r="A61" s="40" t="s">
        <v>207</v>
      </c>
      <c r="B61" s="11" t="s">
        <v>208</v>
      </c>
      <c r="C61" s="95">
        <v>14.8</v>
      </c>
      <c r="D61" s="92">
        <v>-6.7114093999999999E-3</v>
      </c>
      <c r="E61" s="93">
        <v>195688361.17392182</v>
      </c>
      <c r="F61" s="35"/>
      <c r="G61" s="60" t="str">
        <f ca="1">IFERROR(OFFSET(INDIRECT($H$3 &amp; "!A179"), 5, 0), "")</f>
        <v>리퍼리움</v>
      </c>
      <c r="H61" s="45">
        <f t="shared" ca="1" si="16"/>
        <v>18.100000000000001</v>
      </c>
      <c r="I61" s="80">
        <f t="shared" ca="1" si="17"/>
        <v>-3.2085561499999998E-2</v>
      </c>
      <c r="J61" s="99">
        <f t="shared" ca="1" si="22"/>
        <v>870537041.2437582</v>
      </c>
      <c r="K61" s="56" t="str">
        <f ca="1">IFERROR(OFFSET(INDIRECT($H$3 &amp; "!A125"), 5, 0), "")</f>
        <v>무비블록</v>
      </c>
      <c r="L61" s="39">
        <f t="shared" ca="1" si="18"/>
        <v>11.7</v>
      </c>
      <c r="M61" s="77">
        <f t="shared" ca="1" si="19"/>
        <v>8.6206896999999998E-3</v>
      </c>
      <c r="N61" s="99">
        <f t="shared" ca="1" si="23"/>
        <v>761175676.09675169</v>
      </c>
      <c r="O61" s="56" t="str">
        <f ca="1">IFERROR(OFFSET(INDIRECT($H$3 &amp; "!A152"), 5, 0), "")</f>
        <v>센티넬프로토콜</v>
      </c>
      <c r="P61" s="39">
        <f t="shared" ca="1" si="20"/>
        <v>255</v>
      </c>
      <c r="Q61" s="77">
        <f t="shared" ca="1" si="21"/>
        <v>7.5949367099999998E-2</v>
      </c>
      <c r="R61" s="99">
        <f t="shared" ca="1" si="24"/>
        <v>136787866.42347586</v>
      </c>
    </row>
    <row r="62" spans="1:18">
      <c r="A62" s="40" t="s">
        <v>237</v>
      </c>
      <c r="B62" s="11" t="s">
        <v>238</v>
      </c>
      <c r="C62" s="95">
        <v>127</v>
      </c>
      <c r="D62" s="92">
        <v>-7.8125E-3</v>
      </c>
      <c r="E62" s="93">
        <v>52364042.35096132</v>
      </c>
      <c r="F62" s="35"/>
      <c r="G62" s="56" t="str">
        <f ca="1">IFERROR(OFFSET(INDIRECT($H$3 &amp; "!A179"), 6, 0), "")</f>
        <v>플레이댑</v>
      </c>
      <c r="H62" s="39">
        <f t="shared" ca="1" si="16"/>
        <v>1095</v>
      </c>
      <c r="I62" s="77">
        <f t="shared" ca="1" si="17"/>
        <v>-1.3513513499999999E-2</v>
      </c>
      <c r="J62" s="86">
        <f t="shared" ca="1" si="22"/>
        <v>21245527.45921256</v>
      </c>
      <c r="K62" s="56" t="str">
        <f ca="1">IFERROR(OFFSET(INDIRECT($H$3 &amp; "!A125"), 6, 0), "")</f>
        <v>메디블록</v>
      </c>
      <c r="L62" s="39">
        <f t="shared" ca="1" si="18"/>
        <v>89.5</v>
      </c>
      <c r="M62" s="77">
        <f t="shared" ca="1" si="19"/>
        <v>0</v>
      </c>
      <c r="N62" s="86">
        <f t="shared" ca="1" si="23"/>
        <v>169368636.3057391</v>
      </c>
      <c r="O62" s="56" t="str">
        <f ca="1">IFERROR(OFFSET(INDIRECT($H$3 &amp; "!A152"), 6, 0), "")</f>
        <v>헤데라해시그래프</v>
      </c>
      <c r="P62" s="39">
        <f t="shared" ca="1" si="20"/>
        <v>440</v>
      </c>
      <c r="Q62" s="77">
        <f t="shared" ca="1" si="21"/>
        <v>0.1340206186</v>
      </c>
      <c r="R62" s="86">
        <f t="shared" ca="1" si="24"/>
        <v>259190652.93132091</v>
      </c>
    </row>
    <row r="63" spans="1:18">
      <c r="A63" s="40" t="s">
        <v>115</v>
      </c>
      <c r="B63" s="11" t="s">
        <v>116</v>
      </c>
      <c r="C63" s="95">
        <v>7715</v>
      </c>
      <c r="D63" s="92">
        <v>-8.3547558000000004E-3</v>
      </c>
      <c r="E63" s="93">
        <v>1566995.05016869</v>
      </c>
      <c r="F63" s="35"/>
      <c r="G63" s="56" t="str">
        <f ca="1">IFERROR(OFFSET(INDIRECT($H$3 &amp; "!A179"), 7, 0), "")</f>
        <v>오브스</v>
      </c>
      <c r="H63" s="39">
        <f t="shared" ca="1" si="16"/>
        <v>174</v>
      </c>
      <c r="I63" s="77">
        <f t="shared" ca="1" si="17"/>
        <v>4.19161677E-2</v>
      </c>
      <c r="J63" s="86">
        <f t="shared" ca="1" si="22"/>
        <v>487534562.9915027</v>
      </c>
      <c r="K63" s="56" t="str">
        <f ca="1">IFERROR(OFFSET(INDIRECT($H$3 &amp; "!A125"), 7, 0), "")</f>
        <v>시아코인</v>
      </c>
      <c r="L63" s="39">
        <f t="shared" ca="1" si="18"/>
        <v>22.7</v>
      </c>
      <c r="M63" s="77">
        <f t="shared" ca="1" si="19"/>
        <v>1.79372197E-2</v>
      </c>
      <c r="N63" s="86">
        <f t="shared" ca="1" si="23"/>
        <v>405264312.86155063</v>
      </c>
      <c r="O63" s="56" t="str">
        <f ca="1">IFERROR(OFFSET(INDIRECT($H$3 &amp; "!A152"), 7, 0), "")</f>
        <v>골렘</v>
      </c>
      <c r="P63" s="39">
        <f t="shared" ca="1" si="20"/>
        <v>627</v>
      </c>
      <c r="Q63" s="77">
        <f t="shared" ca="1" si="21"/>
        <v>-1.2598425200000001E-2</v>
      </c>
      <c r="R63" s="86">
        <f t="shared" ca="1" si="24"/>
        <v>3441462.8847495602</v>
      </c>
    </row>
    <row r="64" spans="1:18">
      <c r="A64" s="40" t="s">
        <v>141</v>
      </c>
      <c r="B64" s="11" t="s">
        <v>142</v>
      </c>
      <c r="C64" s="95">
        <v>11560</v>
      </c>
      <c r="D64" s="92">
        <v>-1.02739726E-2</v>
      </c>
      <c r="E64" s="93">
        <v>294124.26132408</v>
      </c>
      <c r="F64" s="35"/>
      <c r="G64" s="56" t="str">
        <f ca="1">IFERROR(OFFSET(INDIRECT($H$3 &amp; "!A179"), 8, 0), "")</f>
        <v>아크</v>
      </c>
      <c r="H64" s="39">
        <f t="shared" ca="1" si="16"/>
        <v>1875</v>
      </c>
      <c r="I64" s="77">
        <f t="shared" ca="1" si="17"/>
        <v>-4.3367346899999999E-2</v>
      </c>
      <c r="J64" s="86">
        <f t="shared" ca="1" si="22"/>
        <v>4981508.9366870001</v>
      </c>
      <c r="K64" s="56" t="str">
        <f ca="1">IFERROR(OFFSET(INDIRECT($H$3 &amp; "!A125"), 8, 0), "")</f>
        <v>저스트</v>
      </c>
      <c r="L64" s="39">
        <f t="shared" ca="1" si="18"/>
        <v>99.3</v>
      </c>
      <c r="M64" s="77">
        <f t="shared" ca="1" si="19"/>
        <v>3.1152648000000002E-2</v>
      </c>
      <c r="N64" s="86">
        <f t="shared" ca="1" si="23"/>
        <v>187248841.0433059</v>
      </c>
      <c r="O64" s="56" t="str">
        <f ca="1">IFERROR(OFFSET(INDIRECT($H$3 &amp; "!A152"), 8, 0), "")</f>
        <v>보라</v>
      </c>
      <c r="P64" s="39">
        <f t="shared" ca="1" si="20"/>
        <v>232</v>
      </c>
      <c r="Q64" s="77">
        <f t="shared" ca="1" si="21"/>
        <v>8.6956522000000008E-3</v>
      </c>
      <c r="R64" s="86">
        <f t="shared" ca="1" si="24"/>
        <v>50833835.675440617</v>
      </c>
    </row>
    <row r="65" spans="1:18" ht="17.25" thickBot="1">
      <c r="A65" s="40" t="s">
        <v>221</v>
      </c>
      <c r="B65" s="11" t="s">
        <v>222</v>
      </c>
      <c r="C65" s="95">
        <v>189</v>
      </c>
      <c r="D65" s="92">
        <v>-1.0471204200000001E-2</v>
      </c>
      <c r="E65" s="93">
        <v>85698955.546312764</v>
      </c>
      <c r="F65" s="35"/>
      <c r="G65" s="57" t="str">
        <f ca="1">IFERROR(OFFSET(INDIRECT($H$3 &amp; "!A179"), 9, 0), "")</f>
        <v>샌드박스</v>
      </c>
      <c r="H65" s="37">
        <f t="shared" ca="1" si="16"/>
        <v>951</v>
      </c>
      <c r="I65" s="79">
        <f t="shared" ca="1" si="17"/>
        <v>-1.2461059199999999E-2</v>
      </c>
      <c r="J65" s="87">
        <f t="shared" ca="1" si="22"/>
        <v>32441485.155022331</v>
      </c>
      <c r="K65" s="57" t="str">
        <f ca="1">IFERROR(OFFSET(INDIRECT($H$3 &amp; "!A125"), 9, 0), "")</f>
        <v>캐리프로토콜</v>
      </c>
      <c r="L65" s="37">
        <f t="shared" ca="1" si="18"/>
        <v>13.7</v>
      </c>
      <c r="M65" s="79">
        <f t="shared" ca="1" si="19"/>
        <v>7.3529412000000001E-3</v>
      </c>
      <c r="N65" s="87">
        <f t="shared" ca="1" si="23"/>
        <v>343296079.56837082</v>
      </c>
      <c r="O65" s="57" t="str">
        <f ca="1">IFERROR(OFFSET(INDIRECT($H$3 &amp; "!A152"), 9, 0), "")</f>
        <v>왁스</v>
      </c>
      <c r="P65" s="37">
        <f t="shared" ca="1" si="20"/>
        <v>361</v>
      </c>
      <c r="Q65" s="79">
        <f t="shared" ca="1" si="21"/>
        <v>6.4896755200000003E-2</v>
      </c>
      <c r="R65" s="87">
        <f t="shared" ca="1" si="24"/>
        <v>508121982.20854884</v>
      </c>
    </row>
    <row r="66" spans="1:18">
      <c r="A66" s="40" t="s">
        <v>175</v>
      </c>
      <c r="B66" s="11" t="s">
        <v>176</v>
      </c>
      <c r="C66" s="95">
        <v>1875</v>
      </c>
      <c r="D66" s="92">
        <v>-1.05540897E-2</v>
      </c>
      <c r="E66" s="93">
        <v>5030798.9702498503</v>
      </c>
      <c r="F66" s="35"/>
      <c r="G66" s="56" t="str">
        <f ca="1">IFERROR(OFFSET(INDIRECT($H$3 &amp; "!A179"), 10, 0), "")</f>
        <v>시빅</v>
      </c>
      <c r="H66" s="38">
        <f t="shared" ref="H66:H75" ca="1" si="25">_xlfn.IFNA(VLOOKUP(G66, $B$2:$D$200, 2, FALSE), "")</f>
        <v>652</v>
      </c>
      <c r="I66" s="76">
        <f t="shared" ref="I66:I75" ca="1" si="26">_xlfn.IFNA(VLOOKUP(G66, $B$2:$D$200, 3, FALSE), "")</f>
        <v>4.6224960999999998E-3</v>
      </c>
      <c r="J66" s="85">
        <f t="shared" ca="1" si="22"/>
        <v>36062388.865278743</v>
      </c>
      <c r="K66" s="55" t="str">
        <f ca="1">IFERROR(OFFSET(INDIRECT($H$3 &amp; "!A125"), 10, 0), "")</f>
        <v>에브리피디아</v>
      </c>
      <c r="L66" s="38">
        <f t="shared" ca="1" si="18"/>
        <v>19.2</v>
      </c>
      <c r="M66" s="76">
        <f t="shared" ca="1" si="19"/>
        <v>-2.0408163300000001E-2</v>
      </c>
      <c r="N66" s="85">
        <f t="shared" ca="1" si="23"/>
        <v>134606798.84077039</v>
      </c>
      <c r="O66" s="55" t="str">
        <f ca="1">IFERROR(OFFSET(INDIRECT($H$3 &amp; "!A152"), 10, 0), "")</f>
        <v>아더</v>
      </c>
      <c r="P66" s="38">
        <f t="shared" ca="1" si="20"/>
        <v>406</v>
      </c>
      <c r="Q66" s="76">
        <f t="shared" ca="1" si="21"/>
        <v>-4.4705882400000001E-2</v>
      </c>
      <c r="R66" s="85">
        <f t="shared" ca="1" si="24"/>
        <v>12525650.282224551</v>
      </c>
    </row>
    <row r="67" spans="1:18">
      <c r="A67" s="40" t="s">
        <v>113</v>
      </c>
      <c r="B67" s="11" t="s">
        <v>114</v>
      </c>
      <c r="C67" s="95">
        <v>951</v>
      </c>
      <c r="D67" s="92">
        <v>-1.2461059199999999E-2</v>
      </c>
      <c r="E67" s="93">
        <v>32441485.155022331</v>
      </c>
      <c r="F67" s="35"/>
      <c r="G67" s="56" t="str">
        <f ca="1">IFERROR(OFFSET(INDIRECT($H$3 &amp; "!A179"), 11, 0), "")</f>
        <v>폴리매쓰</v>
      </c>
      <c r="H67" s="39">
        <f t="shared" ca="1" si="25"/>
        <v>786</v>
      </c>
      <c r="I67" s="77">
        <f t="shared" ca="1" si="26"/>
        <v>-3.4398034399999999E-2</v>
      </c>
      <c r="J67" s="86">
        <f t="shared" ca="1" si="22"/>
        <v>15623547.449402349</v>
      </c>
      <c r="K67" s="56" t="str">
        <f ca="1">IFERROR(OFFSET(INDIRECT($H$3 &amp; "!A125"), 11, 0), "")</f>
        <v>아하토큰</v>
      </c>
      <c r="L67" s="39">
        <f t="shared" ca="1" si="18"/>
        <v>15.2</v>
      </c>
      <c r="M67" s="77">
        <f t="shared" ca="1" si="19"/>
        <v>-1.9354838700000002E-2</v>
      </c>
      <c r="N67" s="86">
        <f t="shared" ca="1" si="23"/>
        <v>214205640.66917816</v>
      </c>
      <c r="O67" s="56" t="str">
        <f ca="1">IFERROR(OFFSET(INDIRECT($H$3 &amp; "!A152"), 11, 0), "")</f>
        <v>오브스</v>
      </c>
      <c r="P67" s="39">
        <f t="shared" ca="1" si="20"/>
        <v>174</v>
      </c>
      <c r="Q67" s="77">
        <f t="shared" ca="1" si="21"/>
        <v>4.19161677E-2</v>
      </c>
      <c r="R67" s="86">
        <f t="shared" ca="1" si="24"/>
        <v>487534562.9915027</v>
      </c>
    </row>
    <row r="68" spans="1:18">
      <c r="A68" s="40" t="s">
        <v>241</v>
      </c>
      <c r="B68" s="11" t="s">
        <v>242</v>
      </c>
      <c r="C68" s="95">
        <v>627</v>
      </c>
      <c r="D68" s="92">
        <v>-1.2598425200000001E-2</v>
      </c>
      <c r="E68" s="93">
        <v>3441462.8847495602</v>
      </c>
      <c r="F68" s="35"/>
      <c r="G68" s="56" t="str">
        <f ca="1">IFERROR(OFFSET(INDIRECT($H$3 &amp; "!A179"), 12, 0), "")</f>
        <v>스토리지</v>
      </c>
      <c r="H68" s="39">
        <f t="shared" ca="1" si="25"/>
        <v>1705</v>
      </c>
      <c r="I68" s="77">
        <f t="shared" ca="1" si="26"/>
        <v>-3.3994334299999998E-2</v>
      </c>
      <c r="J68" s="86">
        <f t="shared" ca="1" si="22"/>
        <v>2860244.14612685</v>
      </c>
      <c r="K68" s="56" t="str">
        <f ca="1">IFERROR(OFFSET(INDIRECT($H$3 &amp; "!A125"), 12, 0), "")</f>
        <v>썬더토큰</v>
      </c>
      <c r="L68" s="39">
        <f t="shared" ca="1" si="18"/>
        <v>14.5</v>
      </c>
      <c r="M68" s="77">
        <f t="shared" ca="1" si="19"/>
        <v>-1.36054422E-2</v>
      </c>
      <c r="N68" s="86">
        <f t="shared" ca="1" si="23"/>
        <v>191938107.07834071</v>
      </c>
      <c r="O68" s="56" t="str">
        <f ca="1">IFERROR(OFFSET(INDIRECT($H$3 &amp; "!A152"), 12, 0), "")</f>
        <v>샌드박스</v>
      </c>
      <c r="P68" s="39">
        <f t="shared" ca="1" si="20"/>
        <v>951</v>
      </c>
      <c r="Q68" s="77">
        <f t="shared" ca="1" si="21"/>
        <v>-1.2461059199999999E-2</v>
      </c>
      <c r="R68" s="86">
        <f t="shared" ca="1" si="24"/>
        <v>32441485.155022331</v>
      </c>
    </row>
    <row r="69" spans="1:18">
      <c r="A69" s="40" t="s">
        <v>169</v>
      </c>
      <c r="B69" s="11" t="s">
        <v>170</v>
      </c>
      <c r="C69" s="95">
        <v>30530</v>
      </c>
      <c r="D69" s="92">
        <v>-1.3251454399999999E-2</v>
      </c>
      <c r="E69" s="93">
        <v>152404.80861536</v>
      </c>
      <c r="F69" s="35"/>
      <c r="G69" s="56" t="str">
        <f ca="1">IFERROR(OFFSET(INDIRECT($H$3 &amp; "!A179"), 13, 0), "")</f>
        <v>아이오에스티</v>
      </c>
      <c r="H69" s="39">
        <f t="shared" ca="1" si="25"/>
        <v>90</v>
      </c>
      <c r="I69" s="77">
        <f t="shared" ca="1" si="26"/>
        <v>-1.7467248899999999E-2</v>
      </c>
      <c r="J69" s="86">
        <f t="shared" ca="1" si="22"/>
        <v>2003527521.6974006</v>
      </c>
      <c r="K69" s="56" t="str">
        <f ca="1">IFERROR(OFFSET(INDIRECT($H$3 &amp; "!A125"), 13, 0), "")</f>
        <v>엠블</v>
      </c>
      <c r="L69" s="39">
        <f t="shared" ca="1" si="18"/>
        <v>19</v>
      </c>
      <c r="M69" s="77">
        <f t="shared" ca="1" si="19"/>
        <v>0</v>
      </c>
      <c r="N69" s="86">
        <f t="shared" ca="1" si="23"/>
        <v>393965791.73952574</v>
      </c>
      <c r="O69" s="56" t="str">
        <f ca="1">IFERROR(OFFSET(INDIRECT($H$3 &amp; "!A152"), 13, 0), "")</f>
        <v>시빅</v>
      </c>
      <c r="P69" s="39">
        <f t="shared" ca="1" si="20"/>
        <v>652</v>
      </c>
      <c r="Q69" s="77">
        <f t="shared" ca="1" si="21"/>
        <v>4.6224960999999998E-3</v>
      </c>
      <c r="R69" s="86">
        <f t="shared" ca="1" si="24"/>
        <v>36062388.865278743</v>
      </c>
    </row>
    <row r="70" spans="1:18">
      <c r="A70" s="40" t="s">
        <v>213</v>
      </c>
      <c r="B70" s="11" t="s">
        <v>214</v>
      </c>
      <c r="C70" s="95">
        <v>1095</v>
      </c>
      <c r="D70" s="92">
        <v>-1.3513513499999999E-2</v>
      </c>
      <c r="E70" s="93">
        <v>21245527.45921256</v>
      </c>
      <c r="F70" s="35"/>
      <c r="G70" s="56" t="str">
        <f ca="1">IFERROR(OFFSET(INDIRECT($H$3 &amp; "!A179"), 14, 0), "")</f>
        <v>하이브</v>
      </c>
      <c r="H70" s="39">
        <f t="shared" ca="1" si="25"/>
        <v>894</v>
      </c>
      <c r="I70" s="77">
        <f t="shared" ca="1" si="26"/>
        <v>-3.8709677400000003E-2</v>
      </c>
      <c r="J70" s="90">
        <f t="shared" ca="1" si="22"/>
        <v>14252042.93560653</v>
      </c>
      <c r="K70" s="58" t="str">
        <f ca="1">IFERROR(OFFSET(INDIRECT($H$3 &amp; "!A125"), 14, 0), "")</f>
        <v>리퍼리움</v>
      </c>
      <c r="L70" s="44">
        <f t="shared" ca="1" si="18"/>
        <v>18.100000000000001</v>
      </c>
      <c r="M70" s="78">
        <f t="shared" ca="1" si="19"/>
        <v>-3.2085561499999998E-2</v>
      </c>
      <c r="N70" s="90">
        <f t="shared" ca="1" si="23"/>
        <v>870537041.2437582</v>
      </c>
      <c r="O70" s="58" t="str">
        <f ca="1">IFERROR(OFFSET(INDIRECT($H$3 &amp; "!A152"), 14, 0), "")</f>
        <v>폴리매쓰</v>
      </c>
      <c r="P70" s="44">
        <f t="shared" ca="1" si="20"/>
        <v>786</v>
      </c>
      <c r="Q70" s="78">
        <f t="shared" ca="1" si="21"/>
        <v>-3.4398034399999999E-2</v>
      </c>
      <c r="R70" s="90">
        <f t="shared" ca="1" si="24"/>
        <v>15623547.449402349</v>
      </c>
    </row>
    <row r="71" spans="1:18">
      <c r="A71" s="40" t="s">
        <v>187</v>
      </c>
      <c r="B71" s="11" t="s">
        <v>188</v>
      </c>
      <c r="C71" s="95">
        <v>14.5</v>
      </c>
      <c r="D71" s="92">
        <v>-1.36054422E-2</v>
      </c>
      <c r="E71" s="93">
        <v>191938107.07834071</v>
      </c>
      <c r="F71" s="35"/>
      <c r="G71" s="60" t="str">
        <f ca="1">IFERROR(OFFSET(INDIRECT($H$3 &amp; "!A179"), 15, 0), "")</f>
        <v>모스코인</v>
      </c>
      <c r="H71" s="45">
        <f t="shared" ca="1" si="25"/>
        <v>189</v>
      </c>
      <c r="I71" s="80">
        <f t="shared" ca="1" si="26"/>
        <v>-1.0471204200000001E-2</v>
      </c>
      <c r="J71" s="99">
        <f t="shared" ca="1" si="22"/>
        <v>85698955.546312764</v>
      </c>
      <c r="K71" s="56" t="str">
        <f ca="1">IFERROR(OFFSET(INDIRECT($H$3 &amp; "!A125"), 15, 0), "")</f>
        <v>아이오에스티</v>
      </c>
      <c r="L71" s="39">
        <f t="shared" ca="1" si="18"/>
        <v>90</v>
      </c>
      <c r="M71" s="77">
        <f t="shared" ca="1" si="19"/>
        <v>-1.7467248899999999E-2</v>
      </c>
      <c r="N71" s="99">
        <f t="shared" ca="1" si="23"/>
        <v>2003527521.6974006</v>
      </c>
      <c r="O71" s="56" t="str">
        <f ca="1">IFERROR(OFFSET(INDIRECT($H$3 &amp; "!A152"), 15, 0), "")</f>
        <v>하이브</v>
      </c>
      <c r="P71" s="39">
        <f t="shared" ca="1" si="20"/>
        <v>894</v>
      </c>
      <c r="Q71" s="77">
        <f t="shared" ca="1" si="21"/>
        <v>-3.8709677400000003E-2</v>
      </c>
      <c r="R71" s="99">
        <f t="shared" ca="1" si="24"/>
        <v>14252042.93560653</v>
      </c>
    </row>
    <row r="72" spans="1:18">
      <c r="A72" s="40" t="s">
        <v>87</v>
      </c>
      <c r="B72" s="11" t="s">
        <v>88</v>
      </c>
      <c r="C72" s="95">
        <v>235650</v>
      </c>
      <c r="D72" s="92">
        <v>-1.4635166200000001E-2</v>
      </c>
      <c r="E72" s="93">
        <v>22892.508551800001</v>
      </c>
      <c r="F72" s="35"/>
      <c r="G72" s="56" t="str">
        <f ca="1">IFERROR(OFFSET(INDIRECT($H$3 &amp; "!A179"), 16, 0), "")</f>
        <v>스톰엑스</v>
      </c>
      <c r="H72" s="39">
        <f t="shared" ca="1" si="25"/>
        <v>42.2</v>
      </c>
      <c r="I72" s="77">
        <f t="shared" ca="1" si="26"/>
        <v>-2.3148148100000002E-2</v>
      </c>
      <c r="J72" s="86">
        <f t="shared" ca="1" si="22"/>
        <v>160024513.72535238</v>
      </c>
      <c r="K72" s="56" t="str">
        <f ca="1">IFERROR(OFFSET(INDIRECT($H$3 &amp; "!A125"), 16, 0), "")</f>
        <v>스톰엑스</v>
      </c>
      <c r="L72" s="39">
        <f t="shared" ca="1" si="18"/>
        <v>42.2</v>
      </c>
      <c r="M72" s="77">
        <f t="shared" ca="1" si="19"/>
        <v>-2.3148148100000002E-2</v>
      </c>
      <c r="N72" s="86">
        <f t="shared" ca="1" si="23"/>
        <v>160024513.72535238</v>
      </c>
      <c r="O72" s="56" t="str">
        <f ca="1">IFERROR(OFFSET(INDIRECT($H$3 &amp; "!A152"), 16, 0), "")</f>
        <v>모스코인</v>
      </c>
      <c r="P72" s="39">
        <f t="shared" ca="1" si="20"/>
        <v>189</v>
      </c>
      <c r="Q72" s="77">
        <f t="shared" ca="1" si="21"/>
        <v>-1.0471204200000001E-2</v>
      </c>
      <c r="R72" s="86">
        <f t="shared" ca="1" si="24"/>
        <v>85698955.546312764</v>
      </c>
    </row>
    <row r="73" spans="1:18">
      <c r="A73" s="40" t="s">
        <v>185</v>
      </c>
      <c r="B73" s="11" t="s">
        <v>186</v>
      </c>
      <c r="C73" s="95">
        <v>10050</v>
      </c>
      <c r="D73" s="92">
        <v>-1.47058824E-2</v>
      </c>
      <c r="E73" s="93">
        <v>657066.44064595003</v>
      </c>
      <c r="F73" s="35"/>
      <c r="G73" s="56" t="str">
        <f ca="1">IFERROR(OFFSET(INDIRECT($H$3 &amp; "!A179"), 17, 0), "")</f>
        <v>피르마체인</v>
      </c>
      <c r="H73" s="39">
        <f t="shared" ca="1" si="25"/>
        <v>225</v>
      </c>
      <c r="I73" s="77">
        <f t="shared" ca="1" si="26"/>
        <v>-3.8461538500000003E-2</v>
      </c>
      <c r="J73" s="86">
        <f t="shared" ca="1" si="22"/>
        <v>52926210.958158813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피르마체인</v>
      </c>
      <c r="P73" s="39">
        <f t="shared" ca="1" si="20"/>
        <v>225</v>
      </c>
      <c r="Q73" s="77">
        <f t="shared" ca="1" si="21"/>
        <v>-3.8461538500000003E-2</v>
      </c>
      <c r="R73" s="86">
        <f t="shared" ca="1" si="24"/>
        <v>52926210.958158813</v>
      </c>
    </row>
    <row r="74" spans="1:18">
      <c r="A74" s="40" t="s">
        <v>66</v>
      </c>
      <c r="B74" s="11" t="s">
        <v>67</v>
      </c>
      <c r="C74" s="95">
        <v>4850</v>
      </c>
      <c r="D74" s="92">
        <v>-1.52284264E-2</v>
      </c>
      <c r="E74" s="93">
        <v>831912.03395293001</v>
      </c>
      <c r="F74" s="35"/>
      <c r="G74" s="56" t="str">
        <f ca="1">IFERROR(OFFSET(INDIRECT($H$3 &amp; "!A179"), 18, 0), "")</f>
        <v>아르고</v>
      </c>
      <c r="H74" s="39">
        <f t="shared" ca="1" si="25"/>
        <v>346</v>
      </c>
      <c r="I74" s="77">
        <f t="shared" ca="1" si="26"/>
        <v>-2.5352112699999999E-2</v>
      </c>
      <c r="J74" s="86">
        <f t="shared" ca="1" si="22"/>
        <v>22904719.22386964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아르고</v>
      </c>
      <c r="P74" s="39">
        <f t="shared" ca="1" si="20"/>
        <v>346</v>
      </c>
      <c r="Q74" s="77">
        <f t="shared" ca="1" si="21"/>
        <v>-2.5352112699999999E-2</v>
      </c>
      <c r="R74" s="86">
        <f t="shared" ca="1" si="24"/>
        <v>22904719.22386964</v>
      </c>
    </row>
    <row r="75" spans="1:18" ht="17.25" thickBot="1">
      <c r="A75" s="40" t="s">
        <v>233</v>
      </c>
      <c r="B75" s="11" t="s">
        <v>234</v>
      </c>
      <c r="C75" s="95">
        <v>88.9</v>
      </c>
      <c r="D75" s="92">
        <v>-1.5503876E-2</v>
      </c>
      <c r="E75" s="93">
        <v>69792712.103104353</v>
      </c>
      <c r="F75" s="35"/>
      <c r="G75" s="57" t="str">
        <f ca="1">IFERROR(OFFSET(INDIRECT($H$3 &amp; "!A179"), 19, 0), "")</f>
        <v>헌트</v>
      </c>
      <c r="H75" s="37">
        <f t="shared" ca="1" si="25"/>
        <v>937</v>
      </c>
      <c r="I75" s="79">
        <f t="shared" ca="1" si="26"/>
        <v>-7.6847290600000007E-2</v>
      </c>
      <c r="J75" s="87">
        <f t="shared" ca="1" si="22"/>
        <v>62020765.055320293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헌트</v>
      </c>
      <c r="P75" s="37">
        <f t="shared" ca="1" si="20"/>
        <v>937</v>
      </c>
      <c r="Q75" s="79">
        <f t="shared" ca="1" si="21"/>
        <v>-7.6847290600000007E-2</v>
      </c>
      <c r="R75" s="87">
        <f t="shared" ca="1" si="24"/>
        <v>62020765.055320293</v>
      </c>
    </row>
    <row r="76" spans="1:18">
      <c r="A76" s="40" t="s">
        <v>64</v>
      </c>
      <c r="B76" s="11" t="s">
        <v>65</v>
      </c>
      <c r="C76" s="95">
        <v>90</v>
      </c>
      <c r="D76" s="92">
        <v>-1.7467248899999999E-2</v>
      </c>
      <c r="E76" s="93">
        <v>2003527521.6974006</v>
      </c>
      <c r="F76" s="35"/>
      <c r="G76" s="35"/>
      <c r="H76" s="35"/>
      <c r="I76" s="35"/>
    </row>
    <row r="77" spans="1:18">
      <c r="A77" s="40" t="s">
        <v>209</v>
      </c>
      <c r="B77" s="11" t="s">
        <v>210</v>
      </c>
      <c r="C77" s="95">
        <v>15.2</v>
      </c>
      <c r="D77" s="92">
        <v>-1.9354838700000002E-2</v>
      </c>
      <c r="E77" s="93">
        <v>214205640.66917816</v>
      </c>
      <c r="F77" s="35"/>
      <c r="G77" s="35"/>
      <c r="H77" s="35"/>
      <c r="I77" s="35"/>
    </row>
    <row r="78" spans="1:18">
      <c r="A78" s="40" t="s">
        <v>177</v>
      </c>
      <c r="B78" s="11" t="s">
        <v>178</v>
      </c>
      <c r="C78" s="95">
        <v>19.2</v>
      </c>
      <c r="D78" s="92">
        <v>-2.0408163300000001E-2</v>
      </c>
      <c r="E78" s="93">
        <v>134606798.84077039</v>
      </c>
      <c r="F78" s="35"/>
      <c r="G78" s="35"/>
      <c r="H78" s="35"/>
      <c r="I78" s="35"/>
    </row>
    <row r="79" spans="1:18">
      <c r="A79" s="40" t="s">
        <v>223</v>
      </c>
      <c r="B79" s="11" t="s">
        <v>224</v>
      </c>
      <c r="C79" s="95">
        <v>4830</v>
      </c>
      <c r="D79" s="92">
        <v>-2.1276595700000001E-2</v>
      </c>
      <c r="E79" s="93">
        <v>840366.89379623998</v>
      </c>
      <c r="F79" s="35"/>
      <c r="G79" s="35"/>
      <c r="H79" s="35"/>
      <c r="I79" s="35"/>
    </row>
    <row r="80" spans="1:18">
      <c r="A80" s="40" t="s">
        <v>121</v>
      </c>
      <c r="B80" s="11" t="s">
        <v>122</v>
      </c>
      <c r="C80" s="95">
        <v>42.2</v>
      </c>
      <c r="D80" s="92">
        <v>-2.3148148100000002E-2</v>
      </c>
      <c r="E80" s="93">
        <v>160024513.72535238</v>
      </c>
      <c r="F80" s="35"/>
      <c r="G80" s="35"/>
      <c r="H80" s="35"/>
      <c r="I80" s="35"/>
    </row>
    <row r="81" spans="1:9">
      <c r="A81" s="40" t="s">
        <v>191</v>
      </c>
      <c r="B81" s="11" t="s">
        <v>192</v>
      </c>
      <c r="C81" s="95">
        <v>346</v>
      </c>
      <c r="D81" s="92">
        <v>-2.5352112699999999E-2</v>
      </c>
      <c r="E81" s="93">
        <v>22904719.22386964</v>
      </c>
      <c r="F81" s="35"/>
      <c r="G81" s="35"/>
      <c r="H81" s="35"/>
      <c r="I81" s="35"/>
    </row>
    <row r="82" spans="1:9">
      <c r="A82" s="40" t="s">
        <v>71</v>
      </c>
      <c r="B82" s="11" t="s">
        <v>72</v>
      </c>
      <c r="C82" s="95">
        <v>29.4</v>
      </c>
      <c r="D82" s="92">
        <v>-2.6490066199999999E-2</v>
      </c>
      <c r="E82" s="93">
        <v>311597529.66080791</v>
      </c>
      <c r="F82" s="35"/>
      <c r="G82" s="35"/>
      <c r="H82" s="35"/>
      <c r="I82" s="35"/>
    </row>
    <row r="83" spans="1:9">
      <c r="A83" s="40" t="s">
        <v>183</v>
      </c>
      <c r="B83" s="11" t="s">
        <v>184</v>
      </c>
      <c r="C83" s="95">
        <v>1325</v>
      </c>
      <c r="D83" s="92">
        <v>-2.9304029299999999E-2</v>
      </c>
      <c r="E83" s="93">
        <v>4103885.2727949498</v>
      </c>
      <c r="F83" s="35"/>
      <c r="G83" s="35"/>
      <c r="H83" s="35"/>
      <c r="I83" s="35"/>
    </row>
    <row r="84" spans="1:9">
      <c r="A84" s="40" t="s">
        <v>239</v>
      </c>
      <c r="B84" s="11" t="s">
        <v>240</v>
      </c>
      <c r="C84" s="95">
        <v>71.2</v>
      </c>
      <c r="D84" s="92">
        <v>-2.9972751999999998E-2</v>
      </c>
      <c r="E84" s="93">
        <v>27145654.802114081</v>
      </c>
      <c r="F84" s="35"/>
      <c r="G84" s="35"/>
      <c r="H84" s="35"/>
      <c r="I84" s="35"/>
    </row>
    <row r="85" spans="1:9">
      <c r="A85" s="40" t="s">
        <v>247</v>
      </c>
      <c r="B85" s="11" t="s">
        <v>248</v>
      </c>
      <c r="C85" s="95">
        <v>3065</v>
      </c>
      <c r="D85" s="92">
        <v>-3.00632911E-2</v>
      </c>
      <c r="E85" s="93">
        <v>6343798.1617654804</v>
      </c>
      <c r="F85" s="35"/>
      <c r="G85" s="35"/>
      <c r="H85" s="35"/>
      <c r="I85" s="35"/>
    </row>
    <row r="86" spans="1:9">
      <c r="A86" s="40" t="s">
        <v>217</v>
      </c>
      <c r="B86" s="11" t="s">
        <v>218</v>
      </c>
      <c r="C86" s="95">
        <v>156</v>
      </c>
      <c r="D86" s="92">
        <v>-3.1055900599999998E-2</v>
      </c>
      <c r="E86" s="93">
        <v>144262808.68169215</v>
      </c>
      <c r="F86" s="35"/>
      <c r="G86" s="35"/>
      <c r="H86" s="35"/>
      <c r="I86" s="35"/>
    </row>
    <row r="87" spans="1:9">
      <c r="A87" s="40" t="s">
        <v>245</v>
      </c>
      <c r="B87" s="11" t="s">
        <v>246</v>
      </c>
      <c r="C87" s="95">
        <v>9020</v>
      </c>
      <c r="D87" s="92">
        <v>-3.1149301800000001E-2</v>
      </c>
      <c r="E87" s="93">
        <v>405198.82119848998</v>
      </c>
      <c r="F87" s="35"/>
      <c r="G87" s="35"/>
      <c r="H87" s="35"/>
      <c r="I87" s="35"/>
    </row>
    <row r="88" spans="1:9">
      <c r="A88" s="40" t="s">
        <v>163</v>
      </c>
      <c r="B88" s="11" t="s">
        <v>164</v>
      </c>
      <c r="C88" s="95">
        <v>973</v>
      </c>
      <c r="D88" s="92">
        <v>-3.1840795999999998E-2</v>
      </c>
      <c r="E88" s="93">
        <v>57388444.068371639</v>
      </c>
      <c r="F88" s="35"/>
      <c r="G88" s="35"/>
      <c r="H88" s="35"/>
      <c r="I88" s="35"/>
    </row>
    <row r="89" spans="1:9">
      <c r="A89" s="40" t="s">
        <v>107</v>
      </c>
      <c r="B89" s="11" t="s">
        <v>108</v>
      </c>
      <c r="C89" s="95">
        <v>2120</v>
      </c>
      <c r="D89" s="92">
        <v>-3.1963470299999998E-2</v>
      </c>
      <c r="E89" s="93">
        <v>15663007.82281257</v>
      </c>
      <c r="F89" s="35"/>
      <c r="G89" s="35"/>
      <c r="H89" s="35"/>
      <c r="I89" s="35"/>
    </row>
    <row r="90" spans="1:9">
      <c r="A90" s="40" t="s">
        <v>203</v>
      </c>
      <c r="B90" s="11" t="s">
        <v>204</v>
      </c>
      <c r="C90" s="95">
        <v>18.100000000000001</v>
      </c>
      <c r="D90" s="92">
        <v>-3.2085561499999998E-2</v>
      </c>
      <c r="E90" s="93">
        <v>870537041.2437582</v>
      </c>
      <c r="F90" s="35"/>
      <c r="G90" s="35"/>
      <c r="H90" s="35"/>
      <c r="I90" s="35"/>
    </row>
    <row r="91" spans="1:9">
      <c r="A91" s="40" t="s">
        <v>251</v>
      </c>
      <c r="B91" s="11" t="s">
        <v>252</v>
      </c>
      <c r="C91" s="95">
        <v>1160</v>
      </c>
      <c r="D91" s="92">
        <v>-3.3333333299999997E-2</v>
      </c>
      <c r="E91" s="93">
        <v>2750443.05423006</v>
      </c>
      <c r="F91" s="35"/>
      <c r="G91" s="35"/>
      <c r="H91" s="35"/>
      <c r="I91" s="35"/>
    </row>
    <row r="92" spans="1:9">
      <c r="A92" s="40" t="s">
        <v>159</v>
      </c>
      <c r="B92" s="11" t="s">
        <v>160</v>
      </c>
      <c r="C92" s="95">
        <v>1705</v>
      </c>
      <c r="D92" s="92">
        <v>-3.3994334299999998E-2</v>
      </c>
      <c r="E92" s="93">
        <v>2860244.14612685</v>
      </c>
      <c r="F92" s="35"/>
      <c r="G92" s="35"/>
      <c r="H92" s="35"/>
      <c r="I92" s="35"/>
    </row>
    <row r="93" spans="1:9">
      <c r="A93" s="40" t="s">
        <v>205</v>
      </c>
      <c r="B93" s="11" t="s">
        <v>206</v>
      </c>
      <c r="C93" s="95">
        <v>786</v>
      </c>
      <c r="D93" s="92">
        <v>-3.4398034399999999E-2</v>
      </c>
      <c r="E93" s="93">
        <v>15623547.449402349</v>
      </c>
      <c r="F93" s="35"/>
      <c r="G93" s="35"/>
      <c r="H93" s="35"/>
      <c r="I93" s="35"/>
    </row>
    <row r="94" spans="1:9">
      <c r="A94" s="40" t="s">
        <v>181</v>
      </c>
      <c r="B94" s="11" t="s">
        <v>182</v>
      </c>
      <c r="C94" s="95">
        <v>70720</v>
      </c>
      <c r="D94" s="92">
        <v>-3.6118304499999997E-2</v>
      </c>
      <c r="E94" s="93">
        <v>73424.67979337</v>
      </c>
      <c r="F94" s="35"/>
      <c r="G94" s="35"/>
      <c r="H94" s="35"/>
      <c r="I94" s="35"/>
    </row>
    <row r="95" spans="1:9">
      <c r="A95" s="40" t="s">
        <v>199</v>
      </c>
      <c r="B95" s="11" t="s">
        <v>200</v>
      </c>
      <c r="C95" s="95">
        <v>225</v>
      </c>
      <c r="D95" s="92">
        <v>-3.8461538500000003E-2</v>
      </c>
      <c r="E95" s="93">
        <v>52926210.958158813</v>
      </c>
      <c r="F95" s="35"/>
      <c r="G95" s="35"/>
      <c r="H95" s="35"/>
      <c r="I95" s="35"/>
    </row>
    <row r="96" spans="1:9">
      <c r="A96" s="40" t="s">
        <v>231</v>
      </c>
      <c r="B96" s="11" t="s">
        <v>232</v>
      </c>
      <c r="C96" s="95">
        <v>894</v>
      </c>
      <c r="D96" s="92">
        <v>-3.8709677400000003E-2</v>
      </c>
      <c r="E96" s="93">
        <v>14252042.93560653</v>
      </c>
      <c r="F96" s="35"/>
      <c r="G96" s="35"/>
      <c r="H96" s="35"/>
      <c r="I96" s="35"/>
    </row>
    <row r="97" spans="1:9">
      <c r="A97" s="40" t="s">
        <v>173</v>
      </c>
      <c r="B97" s="11" t="s">
        <v>174</v>
      </c>
      <c r="C97" s="95">
        <v>447</v>
      </c>
      <c r="D97" s="92">
        <v>-4.0772532200000003E-2</v>
      </c>
      <c r="E97" s="93">
        <v>23318194.635228802</v>
      </c>
      <c r="F97" s="35"/>
      <c r="G97" s="35"/>
      <c r="H97" s="35"/>
      <c r="I97" s="35"/>
    </row>
    <row r="98" spans="1:9">
      <c r="A98" s="40" t="s">
        <v>243</v>
      </c>
      <c r="B98" s="11" t="s">
        <v>244</v>
      </c>
      <c r="C98" s="95">
        <v>1875</v>
      </c>
      <c r="D98" s="92">
        <v>-4.3367346899999999E-2</v>
      </c>
      <c r="E98" s="93">
        <v>4981508.9366870001</v>
      </c>
      <c r="F98" s="35"/>
      <c r="G98" s="35"/>
      <c r="H98" s="35"/>
      <c r="I98" s="35"/>
    </row>
    <row r="99" spans="1:9">
      <c r="A99" s="40" t="s">
        <v>253</v>
      </c>
      <c r="B99" s="11" t="s">
        <v>254</v>
      </c>
      <c r="C99" s="95">
        <v>406</v>
      </c>
      <c r="D99" s="92">
        <v>-4.4705882400000001E-2</v>
      </c>
      <c r="E99" s="93">
        <v>12525650.282224551</v>
      </c>
      <c r="F99" s="35"/>
      <c r="G99" s="35"/>
      <c r="H99" s="35"/>
      <c r="I99" s="35"/>
    </row>
    <row r="100" spans="1:9">
      <c r="A100" s="40" t="s">
        <v>235</v>
      </c>
      <c r="B100" s="11" t="s">
        <v>236</v>
      </c>
      <c r="C100" s="95">
        <v>753</v>
      </c>
      <c r="D100" s="92">
        <v>-5.63909774E-2</v>
      </c>
      <c r="E100" s="93">
        <v>12597954.624577019</v>
      </c>
      <c r="F100" s="35"/>
      <c r="G100" s="35"/>
      <c r="H100" s="35"/>
      <c r="I100" s="35"/>
    </row>
    <row r="101" spans="1:9">
      <c r="A101" s="40" t="s">
        <v>73</v>
      </c>
      <c r="B101" s="11" t="s">
        <v>74</v>
      </c>
      <c r="C101" s="95">
        <v>34050</v>
      </c>
      <c r="D101" s="92">
        <v>-5.7308970100000002E-2</v>
      </c>
      <c r="E101" s="93">
        <v>3979680.9462734601</v>
      </c>
      <c r="F101" s="35"/>
      <c r="G101" s="35"/>
      <c r="H101" s="35"/>
      <c r="I101" s="35"/>
    </row>
    <row r="102" spans="1:9">
      <c r="A102" s="40" t="s">
        <v>105</v>
      </c>
      <c r="B102" s="11" t="s">
        <v>106</v>
      </c>
      <c r="C102" s="95">
        <v>273550</v>
      </c>
      <c r="D102" s="92">
        <v>-5.8671713700000003E-2</v>
      </c>
      <c r="E102" s="93">
        <v>951194.11363902001</v>
      </c>
      <c r="F102" s="35"/>
      <c r="G102" s="35"/>
      <c r="H102" s="35"/>
      <c r="I102" s="35"/>
    </row>
    <row r="103" spans="1:9">
      <c r="A103" s="40" t="s">
        <v>227</v>
      </c>
      <c r="B103" s="11" t="s">
        <v>228</v>
      </c>
      <c r="C103" s="95">
        <v>937</v>
      </c>
      <c r="D103" s="92">
        <v>-7.6847290600000007E-2</v>
      </c>
      <c r="E103" s="93">
        <v>62020765.055320293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81</v>
      </c>
      <c r="B2" s="11" t="s">
        <v>82</v>
      </c>
      <c r="C2" s="95">
        <v>3330</v>
      </c>
      <c r="D2" s="92">
        <v>0.13846153850000001</v>
      </c>
      <c r="E2" s="93">
        <v>128942359.22369049</v>
      </c>
      <c r="F2" s="35"/>
      <c r="G2" s="54"/>
      <c r="H2" s="35"/>
      <c r="I2" s="35"/>
    </row>
    <row r="3" spans="1:18" ht="17.25" thickBot="1">
      <c r="A3" s="40" t="s">
        <v>53</v>
      </c>
      <c r="B3" s="11" t="s">
        <v>54</v>
      </c>
      <c r="C3" s="95">
        <v>440</v>
      </c>
      <c r="D3" s="92">
        <v>0.1340206186</v>
      </c>
      <c r="E3" s="93">
        <v>259190652.93132091</v>
      </c>
      <c r="F3" s="35"/>
      <c r="G3" s="262" t="s">
        <v>260</v>
      </c>
      <c r="H3" s="274" t="s">
        <v>330</v>
      </c>
      <c r="I3" s="274"/>
      <c r="K3" s="201" t="s">
        <v>34</v>
      </c>
      <c r="L3" s="202"/>
      <c r="M3" s="202"/>
      <c r="N3" s="203"/>
      <c r="O3" s="201" t="s">
        <v>261</v>
      </c>
      <c r="P3" s="202"/>
      <c r="Q3" s="202"/>
      <c r="R3" s="203"/>
    </row>
    <row r="4" spans="1:18" ht="17.25" thickBot="1">
      <c r="A4" s="40" t="s">
        <v>68</v>
      </c>
      <c r="B4" s="11" t="s">
        <v>69</v>
      </c>
      <c r="C4" s="95">
        <v>15390</v>
      </c>
      <c r="D4" s="92">
        <v>9.4594594599999998E-2</v>
      </c>
      <c r="E4" s="93">
        <v>72992954.313361004</v>
      </c>
      <c r="F4" s="35"/>
      <c r="G4" s="263"/>
      <c r="H4" s="275"/>
      <c r="I4" s="275"/>
      <c r="K4" s="266" t="s">
        <v>55</v>
      </c>
      <c r="L4" s="278">
        <f ca="1">NOW()</f>
        <v>44450.89285196759</v>
      </c>
      <c r="M4" s="279"/>
      <c r="N4" s="280"/>
      <c r="O4" s="269" t="s">
        <v>55</v>
      </c>
      <c r="P4" s="278">
        <f ca="1">NOW()</f>
        <v>44450.89285196759</v>
      </c>
      <c r="Q4" s="279"/>
      <c r="R4" s="280"/>
    </row>
    <row r="5" spans="1:18" ht="17.25" thickBot="1">
      <c r="A5" s="40" t="s">
        <v>139</v>
      </c>
      <c r="B5" s="11" t="s">
        <v>140</v>
      </c>
      <c r="C5" s="95">
        <v>10840</v>
      </c>
      <c r="D5" s="92">
        <v>7.8606965200000004E-2</v>
      </c>
      <c r="E5" s="93">
        <v>12129201.620871671</v>
      </c>
      <c r="F5" s="35"/>
      <c r="K5" s="263"/>
      <c r="L5" s="51" t="s">
        <v>58</v>
      </c>
      <c r="M5" s="73" t="s">
        <v>59</v>
      </c>
      <c r="N5" s="69" t="s">
        <v>264</v>
      </c>
      <c r="O5" s="218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219</v>
      </c>
      <c r="B6" s="11" t="s">
        <v>220</v>
      </c>
      <c r="C6" s="95">
        <v>255</v>
      </c>
      <c r="D6" s="92">
        <v>7.5949367099999998E-2</v>
      </c>
      <c r="E6" s="93">
        <v>136787866.42347586</v>
      </c>
      <c r="F6" s="35"/>
      <c r="G6" s="201" t="s">
        <v>52</v>
      </c>
      <c r="H6" s="202"/>
      <c r="I6" s="203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82</v>
      </c>
      <c r="P6" s="38">
        <f t="shared" ref="P6:P25" si="2">_xlfn.IFNA(VLOOKUP(O6, $B$2:$D$200, 2, FALSE), "")</f>
        <v>3330</v>
      </c>
      <c r="Q6" s="76">
        <f t="shared" ref="Q6:Q25" si="3">_xlfn.IFNA(VLOOKUP(O6, $B$2:$D$200, 3, FALSE), "")</f>
        <v>0.13846153850000001</v>
      </c>
      <c r="R6" s="85">
        <f>_xlfn.IFNA(VLOOKUP(O6, $B$2:$E$200, 4, FALSE), "")</f>
        <v>128942359.22369049</v>
      </c>
    </row>
    <row r="7" spans="1:18">
      <c r="A7" s="40" t="s">
        <v>157</v>
      </c>
      <c r="B7" s="11" t="s">
        <v>158</v>
      </c>
      <c r="C7" s="95">
        <v>38360</v>
      </c>
      <c r="D7" s="92">
        <v>7.2107322500000001E-2</v>
      </c>
      <c r="E7" s="93">
        <v>2987842.2787351999</v>
      </c>
      <c r="F7" s="35"/>
      <c r="G7" s="210" t="s">
        <v>36</v>
      </c>
      <c r="H7" s="211"/>
      <c r="I7" s="21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54</v>
      </c>
      <c r="P7" s="39">
        <f t="shared" si="2"/>
        <v>440</v>
      </c>
      <c r="Q7" s="77">
        <f t="shared" si="3"/>
        <v>0.1340206186</v>
      </c>
      <c r="R7" s="86">
        <f t="shared" ref="R7:R25" si="5">_xlfn.IFNA(VLOOKUP(O7, $B$2:$E$200, 4, FALSE), "")</f>
        <v>259190652.93132091</v>
      </c>
    </row>
    <row r="8" spans="1:18" ht="17.25" thickBot="1">
      <c r="A8" s="40" t="s">
        <v>229</v>
      </c>
      <c r="B8" s="11" t="s">
        <v>230</v>
      </c>
      <c r="C8" s="95">
        <v>361</v>
      </c>
      <c r="D8" s="92">
        <v>6.4896755200000003E-2</v>
      </c>
      <c r="E8" s="93">
        <v>508121982.20854884</v>
      </c>
      <c r="F8" s="35"/>
      <c r="G8" s="216"/>
      <c r="H8" s="217"/>
      <c r="I8" s="21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69</v>
      </c>
      <c r="P8" s="39">
        <f t="shared" si="2"/>
        <v>15390</v>
      </c>
      <c r="Q8" s="77">
        <f t="shared" si="3"/>
        <v>9.4594594599999998E-2</v>
      </c>
      <c r="R8" s="86">
        <f t="shared" si="5"/>
        <v>72992954.313361004</v>
      </c>
    </row>
    <row r="9" spans="1:18" ht="17.25" thickBot="1">
      <c r="A9" s="40" t="s">
        <v>125</v>
      </c>
      <c r="B9" s="11" t="s">
        <v>126</v>
      </c>
      <c r="C9" s="95">
        <v>224850</v>
      </c>
      <c r="D9" s="92">
        <v>5.34082923E-2</v>
      </c>
      <c r="E9" s="93">
        <v>100710.31902982001</v>
      </c>
      <c r="F9" s="35"/>
      <c r="G9" s="50" t="s">
        <v>38</v>
      </c>
      <c r="H9" s="202" t="s">
        <v>37</v>
      </c>
      <c r="I9" s="20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140</v>
      </c>
      <c r="P9" s="39">
        <f t="shared" si="2"/>
        <v>10840</v>
      </c>
      <c r="Q9" s="77">
        <f t="shared" si="3"/>
        <v>7.8606965200000004E-2</v>
      </c>
      <c r="R9" s="86">
        <f t="shared" si="5"/>
        <v>12129201.620871671</v>
      </c>
    </row>
    <row r="10" spans="1:18">
      <c r="A10" s="40" t="s">
        <v>129</v>
      </c>
      <c r="B10" s="11" t="s">
        <v>130</v>
      </c>
      <c r="C10" s="95">
        <v>174</v>
      </c>
      <c r="D10" s="92">
        <v>4.19161677E-2</v>
      </c>
      <c r="E10" s="93">
        <v>487534562.9915027</v>
      </c>
      <c r="F10" s="35"/>
      <c r="G10" s="276">
        <f>_xlfn.IFNA(VLOOKUP(G7, $B$2:$D$200, 3, FALSE), "-")</f>
        <v>2.1442459999999998E-3</v>
      </c>
      <c r="H10" s="270">
        <f>_xlfn.IFNA(VLOOKUP(G7, $B$2:$D$200, 2, FALSE), "-")</f>
        <v>55149000</v>
      </c>
      <c r="I10" s="27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220</v>
      </c>
      <c r="P10" s="39">
        <f t="shared" si="2"/>
        <v>255</v>
      </c>
      <c r="Q10" s="77">
        <f t="shared" si="3"/>
        <v>7.5949367099999998E-2</v>
      </c>
      <c r="R10" s="90">
        <f t="shared" si="5"/>
        <v>136787866.42347586</v>
      </c>
    </row>
    <row r="11" spans="1:18" ht="17.25" thickBot="1">
      <c r="A11" s="40" t="s">
        <v>151</v>
      </c>
      <c r="B11" s="11" t="s">
        <v>152</v>
      </c>
      <c r="C11" s="95">
        <v>116</v>
      </c>
      <c r="D11" s="92">
        <v>3.5714285700000001E-2</v>
      </c>
      <c r="E11" s="93">
        <v>367119751.55371839</v>
      </c>
      <c r="F11" s="35"/>
      <c r="G11" s="277"/>
      <c r="H11" s="272"/>
      <c r="I11" s="27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158</v>
      </c>
      <c r="P11" s="45">
        <f t="shared" si="2"/>
        <v>38360</v>
      </c>
      <c r="Q11" s="80">
        <f t="shared" si="3"/>
        <v>7.2107322500000001E-2</v>
      </c>
      <c r="R11" s="99">
        <f t="shared" si="5"/>
        <v>2987842.2787351999</v>
      </c>
    </row>
    <row r="12" spans="1:18" ht="17.25" thickBot="1">
      <c r="A12" s="40" t="s">
        <v>89</v>
      </c>
      <c r="B12" s="11" t="s">
        <v>90</v>
      </c>
      <c r="C12" s="95">
        <v>1340</v>
      </c>
      <c r="D12" s="92">
        <v>3.47490347E-2</v>
      </c>
      <c r="E12" s="93">
        <v>210200783.70928422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230</v>
      </c>
      <c r="P12" s="39">
        <f t="shared" si="2"/>
        <v>361</v>
      </c>
      <c r="Q12" s="77">
        <f t="shared" si="3"/>
        <v>6.4896755200000003E-2</v>
      </c>
      <c r="R12" s="86">
        <f t="shared" si="5"/>
        <v>508121982.20854884</v>
      </c>
    </row>
    <row r="13" spans="1:18" ht="17.25" thickBot="1">
      <c r="A13" s="40" t="s">
        <v>249</v>
      </c>
      <c r="B13" s="11" t="s">
        <v>250</v>
      </c>
      <c r="C13" s="95">
        <v>99.3</v>
      </c>
      <c r="D13" s="92">
        <v>3.1152648000000002E-2</v>
      </c>
      <c r="E13" s="93">
        <v>187248841.0433059</v>
      </c>
      <c r="F13" s="35"/>
      <c r="G13" s="201" t="s">
        <v>70</v>
      </c>
      <c r="H13" s="202"/>
      <c r="I13" s="20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126</v>
      </c>
      <c r="P13" s="39">
        <f t="shared" si="2"/>
        <v>224850</v>
      </c>
      <c r="Q13" s="77">
        <f t="shared" si="3"/>
        <v>5.34082923E-2</v>
      </c>
      <c r="R13" s="86">
        <f t="shared" si="5"/>
        <v>100710.31902982001</v>
      </c>
    </row>
    <row r="14" spans="1:18">
      <c r="A14" s="40" t="s">
        <v>75</v>
      </c>
      <c r="B14" s="11" t="s">
        <v>76</v>
      </c>
      <c r="C14" s="95">
        <v>33360</v>
      </c>
      <c r="D14" s="92">
        <v>2.9629629599999999E-2</v>
      </c>
      <c r="E14" s="93">
        <v>948925.10703297995</v>
      </c>
      <c r="F14" s="35"/>
      <c r="G14" s="210" t="s">
        <v>36</v>
      </c>
      <c r="H14" s="211"/>
      <c r="I14" s="21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130</v>
      </c>
      <c r="P14" s="39">
        <f t="shared" si="2"/>
        <v>174</v>
      </c>
      <c r="Q14" s="77">
        <f t="shared" si="3"/>
        <v>4.19161677E-2</v>
      </c>
      <c r="R14" s="86">
        <f t="shared" si="5"/>
        <v>487534562.9915027</v>
      </c>
    </row>
    <row r="15" spans="1:18" ht="17.25" thickBot="1">
      <c r="A15" s="40" t="s">
        <v>83</v>
      </c>
      <c r="B15" s="11" t="s">
        <v>84</v>
      </c>
      <c r="C15" s="95">
        <v>5760</v>
      </c>
      <c r="D15" s="92">
        <v>2.85714286E-2</v>
      </c>
      <c r="E15" s="93">
        <v>7076626.2683873205</v>
      </c>
      <c r="F15" s="35"/>
      <c r="G15" s="216"/>
      <c r="H15" s="217"/>
      <c r="I15" s="21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152</v>
      </c>
      <c r="P15" s="37">
        <f t="shared" si="2"/>
        <v>116</v>
      </c>
      <c r="Q15" s="79">
        <f t="shared" si="3"/>
        <v>3.5714285700000001E-2</v>
      </c>
      <c r="R15" s="87">
        <f t="shared" si="5"/>
        <v>367119751.55371839</v>
      </c>
    </row>
    <row r="16" spans="1:18" ht="17.25" thickBot="1">
      <c r="A16" s="40" t="s">
        <v>143</v>
      </c>
      <c r="B16" s="11" t="s">
        <v>144</v>
      </c>
      <c r="C16" s="95">
        <v>120</v>
      </c>
      <c r="D16" s="92">
        <v>2.5641025599999999E-2</v>
      </c>
      <c r="E16" s="93">
        <v>47307577.106153272</v>
      </c>
      <c r="F16" s="35"/>
      <c r="G16" s="50" t="s">
        <v>38</v>
      </c>
      <c r="H16" s="202" t="s">
        <v>37</v>
      </c>
      <c r="I16" s="20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90</v>
      </c>
      <c r="P16" s="38">
        <f t="shared" si="2"/>
        <v>1340</v>
      </c>
      <c r="Q16" s="76">
        <f t="shared" si="3"/>
        <v>3.47490347E-2</v>
      </c>
      <c r="R16" s="85">
        <f t="shared" si="5"/>
        <v>210200783.70928422</v>
      </c>
    </row>
    <row r="17" spans="1:18">
      <c r="A17" s="40" t="s">
        <v>117</v>
      </c>
      <c r="B17" s="11" t="s">
        <v>118</v>
      </c>
      <c r="C17" s="95">
        <v>214</v>
      </c>
      <c r="D17" s="92">
        <v>2.3923445000000002E-2</v>
      </c>
      <c r="E17" s="93">
        <v>19980345.667527471</v>
      </c>
      <c r="F17" s="35"/>
      <c r="G17" s="276">
        <f>_xlfn.IFNA(VLOOKUP(G14, $B$2:$D$200, 3, FALSE), "-")</f>
        <v>2.1442459999999998E-3</v>
      </c>
      <c r="H17" s="270">
        <f>_xlfn.IFNA(VLOOKUP(G14, $B$2:$D$200, 2, FALSE), "-")</f>
        <v>55149000</v>
      </c>
      <c r="I17" s="27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250</v>
      </c>
      <c r="P17" s="39">
        <f t="shared" si="2"/>
        <v>99.3</v>
      </c>
      <c r="Q17" s="77">
        <f t="shared" si="3"/>
        <v>3.1152648000000002E-2</v>
      </c>
      <c r="R17" s="86">
        <f t="shared" si="5"/>
        <v>187248841.0433059</v>
      </c>
    </row>
    <row r="18" spans="1:18" ht="17.25" thickBot="1">
      <c r="A18" s="40" t="s">
        <v>50</v>
      </c>
      <c r="B18" s="11" t="s">
        <v>51</v>
      </c>
      <c r="C18" s="95">
        <v>398</v>
      </c>
      <c r="D18" s="92">
        <v>2.3136246799999999E-2</v>
      </c>
      <c r="E18" s="93">
        <v>52842989.092003077</v>
      </c>
      <c r="F18" s="35"/>
      <c r="G18" s="277"/>
      <c r="H18" s="272"/>
      <c r="I18" s="27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76</v>
      </c>
      <c r="P18" s="39">
        <f t="shared" si="2"/>
        <v>33360</v>
      </c>
      <c r="Q18" s="77">
        <f t="shared" si="3"/>
        <v>2.9629629599999999E-2</v>
      </c>
      <c r="R18" s="86">
        <f t="shared" si="5"/>
        <v>948925.10703297995</v>
      </c>
    </row>
    <row r="19" spans="1:18" ht="17.25" thickBot="1">
      <c r="A19" s="40" t="s">
        <v>133</v>
      </c>
      <c r="B19" s="11" t="s">
        <v>134</v>
      </c>
      <c r="C19" s="95">
        <v>36670</v>
      </c>
      <c r="D19" s="92">
        <v>2.28730823E-2</v>
      </c>
      <c r="E19" s="93">
        <v>1422590.4564674599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84</v>
      </c>
      <c r="P19" s="39">
        <f t="shared" si="2"/>
        <v>5760</v>
      </c>
      <c r="Q19" s="77">
        <f t="shared" si="3"/>
        <v>2.85714286E-2</v>
      </c>
      <c r="R19" s="86">
        <f t="shared" si="5"/>
        <v>7076626.2683873205</v>
      </c>
    </row>
    <row r="20" spans="1:18" ht="17.25" thickBot="1">
      <c r="A20" s="40" t="s">
        <v>62</v>
      </c>
      <c r="B20" s="11" t="s">
        <v>63</v>
      </c>
      <c r="C20" s="95">
        <v>60330</v>
      </c>
      <c r="D20" s="92">
        <v>2.2715714500000001E-2</v>
      </c>
      <c r="E20" s="93">
        <v>245987.89410363999</v>
      </c>
      <c r="F20" s="35"/>
      <c r="G20" s="201" t="s">
        <v>256</v>
      </c>
      <c r="H20" s="202"/>
      <c r="I20" s="20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144</v>
      </c>
      <c r="P20" s="39">
        <f t="shared" si="2"/>
        <v>120</v>
      </c>
      <c r="Q20" s="77">
        <f t="shared" si="3"/>
        <v>2.5641025599999999E-2</v>
      </c>
      <c r="R20" s="90">
        <f t="shared" si="5"/>
        <v>47307577.106153272</v>
      </c>
    </row>
    <row r="21" spans="1:18">
      <c r="A21" s="40" t="s">
        <v>127</v>
      </c>
      <c r="B21" s="11" t="s">
        <v>128</v>
      </c>
      <c r="C21" s="95">
        <v>142</v>
      </c>
      <c r="D21" s="92">
        <v>2.15827338E-2</v>
      </c>
      <c r="E21" s="93">
        <v>195542834.02240312</v>
      </c>
      <c r="F21" s="35"/>
      <c r="G21" s="210" t="s">
        <v>36</v>
      </c>
      <c r="H21" s="211"/>
      <c r="I21" s="21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118</v>
      </c>
      <c r="P21" s="45">
        <f t="shared" si="2"/>
        <v>214</v>
      </c>
      <c r="Q21" s="80">
        <f t="shared" si="3"/>
        <v>2.3923445000000002E-2</v>
      </c>
      <c r="R21" s="99">
        <f t="shared" si="5"/>
        <v>19980345.667527471</v>
      </c>
    </row>
    <row r="22" spans="1:18" ht="17.25" thickBot="1">
      <c r="A22" s="40" t="s">
        <v>99</v>
      </c>
      <c r="B22" s="11" t="s">
        <v>100</v>
      </c>
      <c r="C22" s="95">
        <v>70530</v>
      </c>
      <c r="D22" s="92">
        <v>2.0694645399999999E-2</v>
      </c>
      <c r="E22" s="93">
        <v>1078249.2921537</v>
      </c>
      <c r="F22" s="35"/>
      <c r="G22" s="216"/>
      <c r="H22" s="217"/>
      <c r="I22" s="21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51</v>
      </c>
      <c r="P22" s="39">
        <f t="shared" si="2"/>
        <v>398</v>
      </c>
      <c r="Q22" s="77">
        <f t="shared" si="3"/>
        <v>2.3136246799999999E-2</v>
      </c>
      <c r="R22" s="86">
        <f t="shared" si="5"/>
        <v>52842989.092003077</v>
      </c>
    </row>
    <row r="23" spans="1:18" ht="17.25" thickBot="1">
      <c r="A23" s="40" t="s">
        <v>93</v>
      </c>
      <c r="B23" s="11" t="s">
        <v>94</v>
      </c>
      <c r="C23" s="95">
        <v>4017000</v>
      </c>
      <c r="D23" s="92">
        <v>1.8767435999999998E-2</v>
      </c>
      <c r="E23" s="93">
        <v>31609.133394470002</v>
      </c>
      <c r="F23" s="35"/>
      <c r="G23" s="50" t="s">
        <v>38</v>
      </c>
      <c r="H23" s="202" t="s">
        <v>37</v>
      </c>
      <c r="I23" s="20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134</v>
      </c>
      <c r="P23" s="39">
        <f t="shared" si="2"/>
        <v>36670</v>
      </c>
      <c r="Q23" s="77">
        <f t="shared" si="3"/>
        <v>2.28730823E-2</v>
      </c>
      <c r="R23" s="86">
        <f t="shared" si="5"/>
        <v>1422590.4564674599</v>
      </c>
    </row>
    <row r="24" spans="1:18">
      <c r="A24" s="40" t="s">
        <v>147</v>
      </c>
      <c r="B24" s="11" t="s">
        <v>148</v>
      </c>
      <c r="C24" s="95">
        <v>22.7</v>
      </c>
      <c r="D24" s="92">
        <v>1.79372197E-2</v>
      </c>
      <c r="E24" s="93">
        <v>405264312.86155063</v>
      </c>
      <c r="F24" s="35"/>
      <c r="G24" s="276">
        <f>_xlfn.IFNA(VLOOKUP(G21, $B$2:$D$200, 3, FALSE), "-")</f>
        <v>2.1442459999999998E-3</v>
      </c>
      <c r="H24" s="270">
        <f>_xlfn.IFNA(VLOOKUP(G21, $B$2:$D$200, 2, FALSE), "-")</f>
        <v>55149000</v>
      </c>
      <c r="I24" s="27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63</v>
      </c>
      <c r="P24" s="39">
        <f t="shared" si="2"/>
        <v>60330</v>
      </c>
      <c r="Q24" s="77">
        <f t="shared" si="3"/>
        <v>2.2715714500000001E-2</v>
      </c>
      <c r="R24" s="86">
        <f t="shared" si="5"/>
        <v>245987.89410363999</v>
      </c>
    </row>
    <row r="25" spans="1:18" ht="17.25" thickBot="1">
      <c r="A25" s="40" t="s">
        <v>179</v>
      </c>
      <c r="B25" s="11" t="s">
        <v>180</v>
      </c>
      <c r="C25" s="95">
        <v>15970</v>
      </c>
      <c r="D25" s="92">
        <v>1.7197452200000001E-2</v>
      </c>
      <c r="E25" s="93">
        <v>3027930.8753146501</v>
      </c>
      <c r="F25" s="35"/>
      <c r="G25" s="277"/>
      <c r="H25" s="272"/>
      <c r="I25" s="273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128</v>
      </c>
      <c r="P25" s="37">
        <f t="shared" si="2"/>
        <v>142</v>
      </c>
      <c r="Q25" s="79">
        <f t="shared" si="3"/>
        <v>2.15827338E-2</v>
      </c>
      <c r="R25" s="87">
        <f t="shared" si="5"/>
        <v>195542834.02240312</v>
      </c>
    </row>
    <row r="26" spans="1:18">
      <c r="A26" s="40" t="s">
        <v>109</v>
      </c>
      <c r="B26" s="11" t="s">
        <v>110</v>
      </c>
      <c r="C26" s="95">
        <v>191</v>
      </c>
      <c r="D26" s="92">
        <v>1.59574468E-2</v>
      </c>
      <c r="E26" s="93">
        <v>70565100.674531177</v>
      </c>
      <c r="F26" s="35"/>
    </row>
    <row r="27" spans="1:18" ht="17.25" thickBot="1">
      <c r="A27" s="40" t="s">
        <v>153</v>
      </c>
      <c r="B27" s="11" t="s">
        <v>154</v>
      </c>
      <c r="C27" s="95">
        <v>81520</v>
      </c>
      <c r="D27" s="92">
        <v>1.5193026199999999E-2</v>
      </c>
      <c r="E27" s="93">
        <v>366911.77060449001</v>
      </c>
      <c r="F27" s="35"/>
    </row>
    <row r="28" spans="1:18" ht="17.25" thickBot="1">
      <c r="A28" s="40" t="s">
        <v>95</v>
      </c>
      <c r="B28" s="11" t="s">
        <v>96</v>
      </c>
      <c r="C28" s="95">
        <v>7695</v>
      </c>
      <c r="D28" s="92">
        <v>1.5171504000000001E-2</v>
      </c>
      <c r="E28" s="93">
        <v>38201860.228715926</v>
      </c>
      <c r="F28" s="35"/>
      <c r="G28" s="201" t="s">
        <v>46</v>
      </c>
      <c r="H28" s="202"/>
      <c r="I28" s="202"/>
      <c r="J28" s="203"/>
      <c r="K28" s="201" t="s">
        <v>44</v>
      </c>
      <c r="L28" s="202"/>
      <c r="M28" s="202"/>
      <c r="N28" s="203"/>
      <c r="O28" s="201" t="s">
        <v>45</v>
      </c>
      <c r="P28" s="202"/>
      <c r="Q28" s="202"/>
      <c r="R28" s="203"/>
    </row>
    <row r="29" spans="1:18" ht="17.25" thickBot="1">
      <c r="A29" s="40" t="s">
        <v>193</v>
      </c>
      <c r="B29" s="11" t="s">
        <v>194</v>
      </c>
      <c r="C29" s="95">
        <v>134</v>
      </c>
      <c r="D29" s="92">
        <v>1.51515152E-2</v>
      </c>
      <c r="E29" s="93">
        <v>82203928.997801334</v>
      </c>
      <c r="F29" s="35"/>
      <c r="G29" s="266" t="s">
        <v>55</v>
      </c>
      <c r="H29" s="278">
        <f ca="1">NOW()</f>
        <v>44450.89285196759</v>
      </c>
      <c r="I29" s="279"/>
      <c r="J29" s="280"/>
      <c r="K29" s="269" t="s">
        <v>55</v>
      </c>
      <c r="L29" s="278">
        <f ca="1">NOW()</f>
        <v>44450.89285196759</v>
      </c>
      <c r="M29" s="279"/>
      <c r="N29" s="280"/>
      <c r="O29" s="269" t="s">
        <v>55</v>
      </c>
      <c r="P29" s="278">
        <f ca="1">NOW()</f>
        <v>44450.89285196759</v>
      </c>
      <c r="Q29" s="279"/>
      <c r="R29" s="280"/>
    </row>
    <row r="30" spans="1:18" ht="17.25" thickBot="1">
      <c r="A30" s="40" t="s">
        <v>155</v>
      </c>
      <c r="B30" s="11" t="s">
        <v>156</v>
      </c>
      <c r="C30" s="95">
        <v>2050</v>
      </c>
      <c r="D30" s="92">
        <v>1.4851485100000001E-2</v>
      </c>
      <c r="E30" s="93">
        <v>2162871.4733454101</v>
      </c>
      <c r="F30" s="35"/>
      <c r="G30" s="263"/>
      <c r="H30" s="51" t="s">
        <v>58</v>
      </c>
      <c r="I30" s="73" t="s">
        <v>59</v>
      </c>
      <c r="J30" s="69" t="s">
        <v>264</v>
      </c>
      <c r="K30" s="218"/>
      <c r="L30" s="51" t="s">
        <v>58</v>
      </c>
      <c r="M30" s="73" t="s">
        <v>59</v>
      </c>
      <c r="N30" s="91" t="s">
        <v>264</v>
      </c>
      <c r="O30" s="218"/>
      <c r="P30" s="51" t="s">
        <v>58</v>
      </c>
      <c r="Q30" s="73" t="s">
        <v>59</v>
      </c>
      <c r="R30" s="91" t="s">
        <v>264</v>
      </c>
    </row>
    <row r="31" spans="1:18">
      <c r="A31" s="40" t="s">
        <v>79</v>
      </c>
      <c r="B31" s="11" t="s">
        <v>80</v>
      </c>
      <c r="C31" s="95">
        <v>948</v>
      </c>
      <c r="D31" s="92">
        <v>1.39037433E-2</v>
      </c>
      <c r="E31" s="93">
        <v>2918499.41094968</v>
      </c>
      <c r="F31" s="35"/>
      <c r="G31" s="52" t="s">
        <v>82</v>
      </c>
      <c r="H31" s="38">
        <f t="shared" ref="H31:H50" si="6">_xlfn.IFNA(VLOOKUP(G31, $B$2:$D$200, 2, FALSE), "")</f>
        <v>3330</v>
      </c>
      <c r="I31" s="76">
        <f t="shared" ref="I31:I50" si="7">_xlfn.IFNA(VLOOKUP(G31, $B$2:$D$200, 3, FALSE), "")</f>
        <v>0.13846153850000001</v>
      </c>
      <c r="J31" s="85">
        <f>_xlfn.IFNA(VLOOKUP(G31, $B$2:$E$200, 4, FALSE), "")</f>
        <v>128942359.22369049</v>
      </c>
      <c r="K31" s="81" t="s">
        <v>250</v>
      </c>
      <c r="L31" s="38">
        <f t="shared" ref="L31:L50" si="8">_xlfn.IFNA(VLOOKUP(K31, $B$2:$D$200, 2, FALSE), "")</f>
        <v>99.3</v>
      </c>
      <c r="M31" s="76">
        <f t="shared" ref="M31:M50" si="9">_xlfn.IFNA(VLOOKUP(K31, $B$2:$D$200, 3, FALSE), "")</f>
        <v>3.1152648000000002E-2</v>
      </c>
      <c r="N31" s="85">
        <f>_xlfn.IFNA(VLOOKUP(K31, $B$2:$E$200, 4, FALSE), "")</f>
        <v>187248841.0433059</v>
      </c>
      <c r="O31" s="81" t="s">
        <v>54</v>
      </c>
      <c r="P31" s="38">
        <f t="shared" ref="P31:P50" si="10">_xlfn.IFNA(VLOOKUP(O31, $B$2:$D$200, 2, FALSE), "")</f>
        <v>440</v>
      </c>
      <c r="Q31" s="76">
        <f t="shared" ref="Q31:Q50" si="11">_xlfn.IFNA(VLOOKUP(O31, $B$2:$D$200, 3, FALSE), "")</f>
        <v>0.1340206186</v>
      </c>
      <c r="R31" s="85">
        <f>_xlfn.IFNA(VLOOKUP(O31, $B$2:$E$200, 4, FALSE), "")</f>
        <v>259190652.93132091</v>
      </c>
    </row>
    <row r="32" spans="1:18">
      <c r="A32" s="40" t="s">
        <v>56</v>
      </c>
      <c r="B32" s="11" t="s">
        <v>57</v>
      </c>
      <c r="C32" s="95">
        <v>222</v>
      </c>
      <c r="D32" s="92">
        <v>1.3698630099999999E-2</v>
      </c>
      <c r="E32" s="93">
        <v>36387752.404277168</v>
      </c>
      <c r="F32" s="35"/>
      <c r="G32" s="47" t="s">
        <v>54</v>
      </c>
      <c r="H32" s="39">
        <f t="shared" si="6"/>
        <v>440</v>
      </c>
      <c r="I32" s="77">
        <f t="shared" si="7"/>
        <v>0.1340206186</v>
      </c>
      <c r="J32" s="86">
        <f t="shared" ref="J32:J50" si="12">_xlfn.IFNA(VLOOKUP(G32, $B$2:$E$200, 4, FALSE), "")</f>
        <v>259190652.93132091</v>
      </c>
      <c r="K32" s="82" t="s">
        <v>148</v>
      </c>
      <c r="L32" s="39">
        <f t="shared" si="8"/>
        <v>22.7</v>
      </c>
      <c r="M32" s="77">
        <f t="shared" si="9"/>
        <v>1.79372197E-2</v>
      </c>
      <c r="N32" s="86">
        <f t="shared" ref="N32:N50" si="13">_xlfn.IFNA(VLOOKUP(K32, $B$2:$E$200, 4, FALSE), "")</f>
        <v>405264312.86155063</v>
      </c>
      <c r="O32" s="82" t="s">
        <v>220</v>
      </c>
      <c r="P32" s="39">
        <f t="shared" si="10"/>
        <v>255</v>
      </c>
      <c r="Q32" s="77">
        <f t="shared" si="11"/>
        <v>7.5949367099999998E-2</v>
      </c>
      <c r="R32" s="86">
        <f t="shared" ref="R32:R50" si="14">_xlfn.IFNA(VLOOKUP(O32, $B$2:$E$200, 4, FALSE), "")</f>
        <v>136787866.42347586</v>
      </c>
    </row>
    <row r="33" spans="1:18">
      <c r="A33" s="40" t="s">
        <v>145</v>
      </c>
      <c r="B33" s="11" t="s">
        <v>146</v>
      </c>
      <c r="C33" s="95">
        <v>3375</v>
      </c>
      <c r="D33" s="92">
        <v>1.3513513499999999E-2</v>
      </c>
      <c r="E33" s="93">
        <v>18436019.12920054</v>
      </c>
      <c r="F33" s="35"/>
      <c r="G33" s="47" t="s">
        <v>69</v>
      </c>
      <c r="H33" s="39">
        <f t="shared" si="6"/>
        <v>15390</v>
      </c>
      <c r="I33" s="77">
        <f t="shared" si="7"/>
        <v>9.4594594599999998E-2</v>
      </c>
      <c r="J33" s="86">
        <f t="shared" si="12"/>
        <v>72992954.313361004</v>
      </c>
      <c r="K33" s="82" t="s">
        <v>98</v>
      </c>
      <c r="L33" s="39">
        <f t="shared" si="8"/>
        <v>4.79</v>
      </c>
      <c r="M33" s="77">
        <f t="shared" si="9"/>
        <v>1.2684989400000001E-2</v>
      </c>
      <c r="N33" s="86">
        <f t="shared" si="13"/>
        <v>5447805243.6530437</v>
      </c>
      <c r="O33" s="82" t="s">
        <v>230</v>
      </c>
      <c r="P33" s="39">
        <f t="shared" si="10"/>
        <v>361</v>
      </c>
      <c r="Q33" s="77">
        <f t="shared" si="11"/>
        <v>6.4896755200000003E-2</v>
      </c>
      <c r="R33" s="86">
        <f t="shared" si="14"/>
        <v>508121982.20854884</v>
      </c>
    </row>
    <row r="34" spans="1:18">
      <c r="A34" s="40" t="s">
        <v>97</v>
      </c>
      <c r="B34" s="11" t="s">
        <v>98</v>
      </c>
      <c r="C34" s="95">
        <v>4.79</v>
      </c>
      <c r="D34" s="92">
        <v>1.2684989400000001E-2</v>
      </c>
      <c r="E34" s="93">
        <v>5447805243.6530437</v>
      </c>
      <c r="F34" s="35"/>
      <c r="G34" s="47" t="s">
        <v>140</v>
      </c>
      <c r="H34" s="39">
        <f t="shared" si="6"/>
        <v>10840</v>
      </c>
      <c r="I34" s="77">
        <f t="shared" si="7"/>
        <v>7.8606965200000004E-2</v>
      </c>
      <c r="J34" s="86">
        <f t="shared" si="12"/>
        <v>12129201.620871671</v>
      </c>
      <c r="K34" s="82" t="s">
        <v>216</v>
      </c>
      <c r="L34" s="39">
        <f t="shared" si="8"/>
        <v>11.7</v>
      </c>
      <c r="M34" s="77">
        <f t="shared" si="9"/>
        <v>8.6206896999999998E-3</v>
      </c>
      <c r="N34" s="86">
        <f t="shared" si="13"/>
        <v>761175676.09675169</v>
      </c>
      <c r="O34" s="82" t="s">
        <v>130</v>
      </c>
      <c r="P34" s="39">
        <f t="shared" si="10"/>
        <v>174</v>
      </c>
      <c r="Q34" s="77">
        <f t="shared" si="11"/>
        <v>4.19161677E-2</v>
      </c>
      <c r="R34" s="86">
        <f t="shared" si="14"/>
        <v>487534562.9915027</v>
      </c>
    </row>
    <row r="35" spans="1:18">
      <c r="A35" s="40" t="s">
        <v>77</v>
      </c>
      <c r="B35" s="11" t="s">
        <v>78</v>
      </c>
      <c r="C35" s="95">
        <v>780500</v>
      </c>
      <c r="D35" s="92">
        <v>1.1141339599999999E-2</v>
      </c>
      <c r="E35" s="93">
        <v>17648.272395169999</v>
      </c>
      <c r="F35" s="35"/>
      <c r="G35" s="47" t="s">
        <v>220</v>
      </c>
      <c r="H35" s="44">
        <f t="shared" si="6"/>
        <v>255</v>
      </c>
      <c r="I35" s="78">
        <f t="shared" si="7"/>
        <v>7.5949367099999998E-2</v>
      </c>
      <c r="J35" s="90">
        <f t="shared" si="12"/>
        <v>136787866.42347586</v>
      </c>
      <c r="K35" s="83" t="s">
        <v>150</v>
      </c>
      <c r="L35" s="44">
        <f t="shared" si="8"/>
        <v>13.7</v>
      </c>
      <c r="M35" s="78">
        <f t="shared" si="9"/>
        <v>7.3529412000000001E-3</v>
      </c>
      <c r="N35" s="90">
        <f t="shared" si="13"/>
        <v>343296079.56837082</v>
      </c>
      <c r="O35" s="83" t="s">
        <v>152</v>
      </c>
      <c r="P35" s="44">
        <f t="shared" si="10"/>
        <v>116</v>
      </c>
      <c r="Q35" s="78">
        <f t="shared" si="11"/>
        <v>3.5714285700000001E-2</v>
      </c>
      <c r="R35" s="90">
        <f t="shared" si="14"/>
        <v>367119751.55371839</v>
      </c>
    </row>
    <row r="36" spans="1:18">
      <c r="A36" s="40" t="s">
        <v>265</v>
      </c>
      <c r="B36" s="11" t="s">
        <v>266</v>
      </c>
      <c r="C36" s="95">
        <v>298</v>
      </c>
      <c r="D36" s="92">
        <v>1.0169491500000001E-2</v>
      </c>
      <c r="E36" s="93">
        <v>313817827.23648822</v>
      </c>
      <c r="F36" s="35"/>
      <c r="G36" s="49" t="s">
        <v>158</v>
      </c>
      <c r="H36" s="39">
        <f t="shared" si="6"/>
        <v>38360</v>
      </c>
      <c r="I36" s="77">
        <f t="shared" si="7"/>
        <v>7.2107322500000001E-2</v>
      </c>
      <c r="J36" s="99">
        <f t="shared" si="12"/>
        <v>2987842.2787351999</v>
      </c>
      <c r="K36" s="82" t="s">
        <v>202</v>
      </c>
      <c r="L36" s="39">
        <f t="shared" si="8"/>
        <v>89.5</v>
      </c>
      <c r="M36" s="77">
        <f t="shared" si="9"/>
        <v>0</v>
      </c>
      <c r="N36" s="99">
        <f t="shared" si="13"/>
        <v>169368636.3057391</v>
      </c>
      <c r="O36" s="82" t="s">
        <v>144</v>
      </c>
      <c r="P36" s="39">
        <f t="shared" si="10"/>
        <v>120</v>
      </c>
      <c r="Q36" s="77">
        <f t="shared" si="11"/>
        <v>2.5641025599999999E-2</v>
      </c>
      <c r="R36" s="99">
        <f t="shared" si="14"/>
        <v>47307577.106153272</v>
      </c>
    </row>
    <row r="37" spans="1:18">
      <c r="A37" s="40" t="s">
        <v>60</v>
      </c>
      <c r="B37" s="11" t="s">
        <v>61</v>
      </c>
      <c r="C37" s="95">
        <v>1015</v>
      </c>
      <c r="D37" s="92">
        <v>9.9502488000000004E-3</v>
      </c>
      <c r="E37" s="93">
        <v>10000527.312481999</v>
      </c>
      <c r="F37" s="35"/>
      <c r="G37" s="47" t="s">
        <v>230</v>
      </c>
      <c r="H37" s="39">
        <f t="shared" si="6"/>
        <v>361</v>
      </c>
      <c r="I37" s="77">
        <f t="shared" si="7"/>
        <v>6.4896755200000003E-2</v>
      </c>
      <c r="J37" s="86">
        <f t="shared" si="12"/>
        <v>508121982.20854884</v>
      </c>
      <c r="K37" s="82" t="s">
        <v>190</v>
      </c>
      <c r="L37" s="39">
        <f t="shared" si="8"/>
        <v>19</v>
      </c>
      <c r="M37" s="77">
        <f t="shared" si="9"/>
        <v>0</v>
      </c>
      <c r="N37" s="86">
        <f t="shared" si="13"/>
        <v>393965791.73952574</v>
      </c>
      <c r="O37" s="82" t="s">
        <v>118</v>
      </c>
      <c r="P37" s="39">
        <f t="shared" si="10"/>
        <v>214</v>
      </c>
      <c r="Q37" s="77">
        <f t="shared" si="11"/>
        <v>2.3923445000000002E-2</v>
      </c>
      <c r="R37" s="86">
        <f t="shared" si="14"/>
        <v>19980345.667527471</v>
      </c>
    </row>
    <row r="38" spans="1:18">
      <c r="A38" s="40" t="s">
        <v>111</v>
      </c>
      <c r="B38" s="11" t="s">
        <v>112</v>
      </c>
      <c r="C38" s="95">
        <v>8010</v>
      </c>
      <c r="D38" s="92">
        <v>9.4517957999999992E-3</v>
      </c>
      <c r="E38" s="93">
        <v>912329.53199637996</v>
      </c>
      <c r="F38" s="35"/>
      <c r="G38" s="47" t="s">
        <v>126</v>
      </c>
      <c r="H38" s="39">
        <f t="shared" si="6"/>
        <v>224850</v>
      </c>
      <c r="I38" s="77">
        <f t="shared" si="7"/>
        <v>5.34082923E-2</v>
      </c>
      <c r="J38" s="86">
        <f t="shared" si="12"/>
        <v>100710.31902982001</v>
      </c>
      <c r="K38" s="82" t="s">
        <v>208</v>
      </c>
      <c r="L38" s="39">
        <f t="shared" si="8"/>
        <v>14.8</v>
      </c>
      <c r="M38" s="77">
        <f t="shared" si="9"/>
        <v>-6.7114093999999999E-3</v>
      </c>
      <c r="N38" s="86">
        <f t="shared" si="13"/>
        <v>195688361.17392182</v>
      </c>
      <c r="O38" s="82" t="s">
        <v>51</v>
      </c>
      <c r="P38" s="39">
        <f t="shared" si="10"/>
        <v>398</v>
      </c>
      <c r="Q38" s="77">
        <f t="shared" si="11"/>
        <v>2.3136246799999999E-2</v>
      </c>
      <c r="R38" s="86">
        <f t="shared" si="14"/>
        <v>52842989.092003077</v>
      </c>
    </row>
    <row r="39" spans="1:18">
      <c r="A39" s="40" t="s">
        <v>161</v>
      </c>
      <c r="B39" s="11" t="s">
        <v>162</v>
      </c>
      <c r="C39" s="95">
        <v>112</v>
      </c>
      <c r="D39" s="92">
        <v>9.0090090000000001E-3</v>
      </c>
      <c r="E39" s="93">
        <v>139793601.3079606</v>
      </c>
      <c r="F39" s="35"/>
      <c r="G39" s="47" t="s">
        <v>130</v>
      </c>
      <c r="H39" s="39">
        <f t="shared" si="6"/>
        <v>174</v>
      </c>
      <c r="I39" s="77">
        <f t="shared" si="7"/>
        <v>4.19161677E-2</v>
      </c>
      <c r="J39" s="86">
        <f t="shared" si="12"/>
        <v>487534562.9915027</v>
      </c>
      <c r="K39" s="82" t="s">
        <v>188</v>
      </c>
      <c r="L39" s="39">
        <f t="shared" si="8"/>
        <v>14.5</v>
      </c>
      <c r="M39" s="77">
        <f t="shared" si="9"/>
        <v>-1.36054422E-2</v>
      </c>
      <c r="N39" s="86">
        <f t="shared" si="13"/>
        <v>191938107.07834071</v>
      </c>
      <c r="O39" s="82" t="s">
        <v>128</v>
      </c>
      <c r="P39" s="39">
        <f t="shared" si="10"/>
        <v>142</v>
      </c>
      <c r="Q39" s="77">
        <f t="shared" si="11"/>
        <v>2.15827338E-2</v>
      </c>
      <c r="R39" s="86">
        <f t="shared" si="14"/>
        <v>195542834.02240312</v>
      </c>
    </row>
    <row r="40" spans="1:18" ht="17.25" thickBot="1">
      <c r="A40" s="40" t="s">
        <v>165</v>
      </c>
      <c r="B40" s="11" t="s">
        <v>166</v>
      </c>
      <c r="C40" s="95">
        <v>232</v>
      </c>
      <c r="D40" s="92">
        <v>8.6956522000000008E-3</v>
      </c>
      <c r="E40" s="93">
        <v>50833835.675440617</v>
      </c>
      <c r="F40" s="35"/>
      <c r="G40" s="53" t="s">
        <v>152</v>
      </c>
      <c r="H40" s="37">
        <f t="shared" si="6"/>
        <v>116</v>
      </c>
      <c r="I40" s="79">
        <f t="shared" si="7"/>
        <v>3.5714285700000001E-2</v>
      </c>
      <c r="J40" s="87">
        <f t="shared" si="12"/>
        <v>367119751.55371839</v>
      </c>
      <c r="K40" s="84" t="s">
        <v>234</v>
      </c>
      <c r="L40" s="37">
        <f t="shared" si="8"/>
        <v>88.9</v>
      </c>
      <c r="M40" s="79">
        <f t="shared" si="9"/>
        <v>-1.5503876E-2</v>
      </c>
      <c r="N40" s="87">
        <f t="shared" si="13"/>
        <v>69792712.103104353</v>
      </c>
      <c r="O40" s="84" t="s">
        <v>110</v>
      </c>
      <c r="P40" s="37">
        <f t="shared" si="10"/>
        <v>191</v>
      </c>
      <c r="Q40" s="79">
        <f t="shared" si="11"/>
        <v>1.59574468E-2</v>
      </c>
      <c r="R40" s="87">
        <f t="shared" si="14"/>
        <v>70565100.674531177</v>
      </c>
    </row>
    <row r="41" spans="1:18">
      <c r="A41" s="40" t="s">
        <v>215</v>
      </c>
      <c r="B41" s="11" t="s">
        <v>216</v>
      </c>
      <c r="C41" s="95">
        <v>11.7</v>
      </c>
      <c r="D41" s="92">
        <v>8.6206896999999998E-3</v>
      </c>
      <c r="E41" s="93">
        <v>761175676.09675169</v>
      </c>
      <c r="F41" s="35"/>
      <c r="G41" s="52" t="s">
        <v>90</v>
      </c>
      <c r="H41" s="38">
        <f t="shared" si="6"/>
        <v>1340</v>
      </c>
      <c r="I41" s="76">
        <f t="shared" si="7"/>
        <v>3.47490347E-2</v>
      </c>
      <c r="J41" s="85">
        <f t="shared" si="12"/>
        <v>210200783.70928422</v>
      </c>
      <c r="K41" s="81" t="s">
        <v>65</v>
      </c>
      <c r="L41" s="38">
        <f t="shared" si="8"/>
        <v>90</v>
      </c>
      <c r="M41" s="76">
        <f t="shared" si="9"/>
        <v>-1.7467248899999999E-2</v>
      </c>
      <c r="N41" s="85">
        <f t="shared" si="13"/>
        <v>2003527521.6974006</v>
      </c>
      <c r="O41" s="81" t="s">
        <v>194</v>
      </c>
      <c r="P41" s="38">
        <f t="shared" si="10"/>
        <v>134</v>
      </c>
      <c r="Q41" s="76">
        <f t="shared" si="11"/>
        <v>1.51515152E-2</v>
      </c>
      <c r="R41" s="85">
        <f t="shared" si="14"/>
        <v>82203928.997801334</v>
      </c>
    </row>
    <row r="42" spans="1:18">
      <c r="A42" s="40" t="s">
        <v>101</v>
      </c>
      <c r="B42" s="11" t="s">
        <v>102</v>
      </c>
      <c r="C42" s="95">
        <v>1185</v>
      </c>
      <c r="D42" s="92">
        <v>8.5106382999999997E-3</v>
      </c>
      <c r="E42" s="93">
        <v>3572497.9594064001</v>
      </c>
      <c r="F42" s="35"/>
      <c r="G42" s="47" t="s">
        <v>250</v>
      </c>
      <c r="H42" s="39">
        <f t="shared" si="6"/>
        <v>99.3</v>
      </c>
      <c r="I42" s="77">
        <f t="shared" si="7"/>
        <v>3.1152648000000002E-2</v>
      </c>
      <c r="J42" s="86">
        <f t="shared" si="12"/>
        <v>187248841.0433059</v>
      </c>
      <c r="K42" s="82" t="s">
        <v>210</v>
      </c>
      <c r="L42" s="39">
        <f t="shared" si="8"/>
        <v>15.2</v>
      </c>
      <c r="M42" s="77">
        <f t="shared" si="9"/>
        <v>-1.9354838700000002E-2</v>
      </c>
      <c r="N42" s="86">
        <f t="shared" si="13"/>
        <v>214205640.66917816</v>
      </c>
      <c r="O42" s="82" t="s">
        <v>80</v>
      </c>
      <c r="P42" s="39">
        <f t="shared" si="10"/>
        <v>948</v>
      </c>
      <c r="Q42" s="77">
        <f t="shared" si="11"/>
        <v>1.39037433E-2</v>
      </c>
      <c r="R42" s="86">
        <f t="shared" si="14"/>
        <v>2918499.41094968</v>
      </c>
    </row>
    <row r="43" spans="1:18">
      <c r="A43" s="40" t="s">
        <v>131</v>
      </c>
      <c r="B43" s="11" t="s">
        <v>132</v>
      </c>
      <c r="C43" s="95">
        <v>132</v>
      </c>
      <c r="D43" s="92">
        <v>7.6335878000000001E-3</v>
      </c>
      <c r="E43" s="93">
        <v>56649426.290439069</v>
      </c>
      <c r="F43" s="35"/>
      <c r="G43" s="47" t="s">
        <v>76</v>
      </c>
      <c r="H43" s="39">
        <f t="shared" si="6"/>
        <v>33360</v>
      </c>
      <c r="I43" s="77">
        <f t="shared" si="7"/>
        <v>2.9629629599999999E-2</v>
      </c>
      <c r="J43" s="86">
        <f t="shared" si="12"/>
        <v>948925.10703297995</v>
      </c>
      <c r="K43" s="82" t="s">
        <v>178</v>
      </c>
      <c r="L43" s="39">
        <f t="shared" si="8"/>
        <v>19.2</v>
      </c>
      <c r="M43" s="77">
        <f t="shared" si="9"/>
        <v>-2.0408163300000001E-2</v>
      </c>
      <c r="N43" s="86">
        <f t="shared" si="13"/>
        <v>134606798.84077039</v>
      </c>
      <c r="O43" s="82" t="s">
        <v>57</v>
      </c>
      <c r="P43" s="39">
        <f t="shared" si="10"/>
        <v>222</v>
      </c>
      <c r="Q43" s="77">
        <f t="shared" si="11"/>
        <v>1.3698630099999999E-2</v>
      </c>
      <c r="R43" s="86">
        <f t="shared" si="14"/>
        <v>36387752.404277168</v>
      </c>
    </row>
    <row r="44" spans="1:18">
      <c r="A44" s="40" t="s">
        <v>149</v>
      </c>
      <c r="B44" s="11" t="s">
        <v>150</v>
      </c>
      <c r="C44" s="95">
        <v>13.7</v>
      </c>
      <c r="D44" s="92">
        <v>7.3529412000000001E-3</v>
      </c>
      <c r="E44" s="93">
        <v>343296079.56837082</v>
      </c>
      <c r="F44" s="35"/>
      <c r="G44" s="47" t="s">
        <v>84</v>
      </c>
      <c r="H44" s="39">
        <f t="shared" si="6"/>
        <v>5760</v>
      </c>
      <c r="I44" s="77">
        <f t="shared" si="7"/>
        <v>2.85714286E-2</v>
      </c>
      <c r="J44" s="86">
        <f t="shared" si="12"/>
        <v>7076626.2683873205</v>
      </c>
      <c r="K44" s="82" t="s">
        <v>122</v>
      </c>
      <c r="L44" s="39">
        <f t="shared" si="8"/>
        <v>42.2</v>
      </c>
      <c r="M44" s="77">
        <f t="shared" si="9"/>
        <v>-2.3148148100000002E-2</v>
      </c>
      <c r="N44" s="86">
        <f t="shared" si="13"/>
        <v>160024513.72535238</v>
      </c>
      <c r="O44" s="82" t="s">
        <v>266</v>
      </c>
      <c r="P44" s="39">
        <f t="shared" si="10"/>
        <v>298</v>
      </c>
      <c r="Q44" s="77">
        <f t="shared" si="11"/>
        <v>1.0169491500000001E-2</v>
      </c>
      <c r="R44" s="86">
        <f t="shared" si="14"/>
        <v>313817827.23648822</v>
      </c>
    </row>
    <row r="45" spans="1:18">
      <c r="A45" s="40" t="s">
        <v>91</v>
      </c>
      <c r="B45" s="11" t="s">
        <v>92</v>
      </c>
      <c r="C45" s="95">
        <v>79880</v>
      </c>
      <c r="D45" s="92">
        <v>6.8061507000000002E-3</v>
      </c>
      <c r="E45" s="93">
        <v>109927.53955037</v>
      </c>
      <c r="F45" s="35"/>
      <c r="G45" s="47" t="s">
        <v>144</v>
      </c>
      <c r="H45" s="44">
        <f t="shared" si="6"/>
        <v>120</v>
      </c>
      <c r="I45" s="78">
        <f t="shared" si="7"/>
        <v>2.5641025599999999E-2</v>
      </c>
      <c r="J45" s="90">
        <f t="shared" si="12"/>
        <v>47307577.106153272</v>
      </c>
      <c r="K45" s="83" t="s">
        <v>72</v>
      </c>
      <c r="L45" s="44">
        <f t="shared" si="8"/>
        <v>29.4</v>
      </c>
      <c r="M45" s="78">
        <f t="shared" si="9"/>
        <v>-2.6490066199999999E-2</v>
      </c>
      <c r="N45" s="90">
        <f t="shared" si="13"/>
        <v>311597529.66080791</v>
      </c>
      <c r="O45" s="83" t="s">
        <v>162</v>
      </c>
      <c r="P45" s="44">
        <f t="shared" si="10"/>
        <v>112</v>
      </c>
      <c r="Q45" s="78">
        <f t="shared" si="11"/>
        <v>9.0090090000000001E-3</v>
      </c>
      <c r="R45" s="90">
        <f t="shared" si="14"/>
        <v>139793601.3079606</v>
      </c>
    </row>
    <row r="46" spans="1:18">
      <c r="A46" s="40" t="s">
        <v>167</v>
      </c>
      <c r="B46" s="11" t="s">
        <v>168</v>
      </c>
      <c r="C46" s="95">
        <v>1705</v>
      </c>
      <c r="D46" s="92">
        <v>5.8997049999999999E-3</v>
      </c>
      <c r="E46" s="93">
        <v>5944953.24333758</v>
      </c>
      <c r="F46" s="35"/>
      <c r="G46" s="49" t="s">
        <v>118</v>
      </c>
      <c r="H46" s="39">
        <f t="shared" si="6"/>
        <v>214</v>
      </c>
      <c r="I46" s="77">
        <f t="shared" si="7"/>
        <v>2.3923445000000002E-2</v>
      </c>
      <c r="J46" s="99">
        <f t="shared" si="12"/>
        <v>19980345.667527471</v>
      </c>
      <c r="K46" s="82" t="s">
        <v>240</v>
      </c>
      <c r="L46" s="39">
        <f t="shared" si="8"/>
        <v>71.2</v>
      </c>
      <c r="M46" s="77">
        <f t="shared" si="9"/>
        <v>-2.9972751999999998E-2</v>
      </c>
      <c r="N46" s="99">
        <f t="shared" si="13"/>
        <v>27145654.802114081</v>
      </c>
      <c r="O46" s="82" t="s">
        <v>166</v>
      </c>
      <c r="P46" s="39">
        <f t="shared" si="10"/>
        <v>232</v>
      </c>
      <c r="Q46" s="77">
        <f t="shared" si="11"/>
        <v>8.6956522000000008E-3</v>
      </c>
      <c r="R46" s="99">
        <f t="shared" si="14"/>
        <v>50833835.675440617</v>
      </c>
    </row>
    <row r="47" spans="1:18">
      <c r="A47" s="40" t="s">
        <v>85</v>
      </c>
      <c r="B47" s="11" t="s">
        <v>86</v>
      </c>
      <c r="C47" s="95">
        <v>405</v>
      </c>
      <c r="D47" s="92">
        <v>4.9627791999999997E-3</v>
      </c>
      <c r="E47" s="93">
        <v>21740857.23882477</v>
      </c>
      <c r="F47" s="35"/>
      <c r="G47" s="47" t="s">
        <v>51</v>
      </c>
      <c r="H47" s="39">
        <f t="shared" si="6"/>
        <v>398</v>
      </c>
      <c r="I47" s="77">
        <f t="shared" si="7"/>
        <v>2.3136246799999999E-2</v>
      </c>
      <c r="J47" s="86">
        <f t="shared" si="12"/>
        <v>52842989.092003077</v>
      </c>
      <c r="K47" s="82" t="s">
        <v>204</v>
      </c>
      <c r="L47" s="39">
        <f t="shared" si="8"/>
        <v>18.100000000000001</v>
      </c>
      <c r="M47" s="77">
        <f t="shared" si="9"/>
        <v>-3.2085561499999998E-2</v>
      </c>
      <c r="N47" s="86">
        <f t="shared" si="13"/>
        <v>870537041.2437582</v>
      </c>
      <c r="O47" s="82" t="s">
        <v>132</v>
      </c>
      <c r="P47" s="39">
        <f t="shared" si="10"/>
        <v>132</v>
      </c>
      <c r="Q47" s="77">
        <f t="shared" si="11"/>
        <v>7.6335878000000001E-3</v>
      </c>
      <c r="R47" s="86">
        <f t="shared" si="14"/>
        <v>56649426.290439069</v>
      </c>
    </row>
    <row r="48" spans="1:18">
      <c r="A48" s="40" t="s">
        <v>123</v>
      </c>
      <c r="B48" s="11" t="s">
        <v>124</v>
      </c>
      <c r="C48" s="95">
        <v>652</v>
      </c>
      <c r="D48" s="92">
        <v>4.6224960999999998E-3</v>
      </c>
      <c r="E48" s="93">
        <v>36062388.865278743</v>
      </c>
      <c r="F48" s="35"/>
      <c r="G48" s="47" t="s">
        <v>134</v>
      </c>
      <c r="H48" s="39">
        <f t="shared" si="6"/>
        <v>36670</v>
      </c>
      <c r="I48" s="77">
        <f t="shared" si="7"/>
        <v>2.28730823E-2</v>
      </c>
      <c r="J48" s="86">
        <f t="shared" si="12"/>
        <v>1422590.4564674599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86</v>
      </c>
      <c r="P48" s="39">
        <f t="shared" si="10"/>
        <v>405</v>
      </c>
      <c r="Q48" s="77">
        <f t="shared" si="11"/>
        <v>4.9627791999999997E-3</v>
      </c>
      <c r="R48" s="86">
        <f t="shared" si="14"/>
        <v>21740857.23882477</v>
      </c>
    </row>
    <row r="49" spans="1:18">
      <c r="A49" s="40" t="s">
        <v>211</v>
      </c>
      <c r="B49" s="11" t="s">
        <v>212</v>
      </c>
      <c r="C49" s="95">
        <v>1360</v>
      </c>
      <c r="D49" s="92">
        <v>3.6900369000000001E-3</v>
      </c>
      <c r="E49" s="93">
        <v>10910595.34329444</v>
      </c>
      <c r="F49" s="35"/>
      <c r="G49" s="47" t="s">
        <v>63</v>
      </c>
      <c r="H49" s="39">
        <f t="shared" si="6"/>
        <v>60330</v>
      </c>
      <c r="I49" s="77">
        <f t="shared" si="7"/>
        <v>2.2715714500000001E-2</v>
      </c>
      <c r="J49" s="86">
        <f t="shared" si="12"/>
        <v>245987.89410363999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124</v>
      </c>
      <c r="P49" s="39">
        <f t="shared" si="10"/>
        <v>652</v>
      </c>
      <c r="Q49" s="77">
        <f t="shared" si="11"/>
        <v>4.6224960999999998E-3</v>
      </c>
      <c r="R49" s="86">
        <f t="shared" si="14"/>
        <v>36062388.865278743</v>
      </c>
    </row>
    <row r="50" spans="1:18" ht="17.25" thickBot="1">
      <c r="A50" s="40" t="s">
        <v>137</v>
      </c>
      <c r="B50" s="11" t="s">
        <v>138</v>
      </c>
      <c r="C50" s="95">
        <v>379</v>
      </c>
      <c r="D50" s="92">
        <v>2.6455025999999999E-3</v>
      </c>
      <c r="E50" s="93">
        <v>16438258.629028089</v>
      </c>
      <c r="F50" s="35"/>
      <c r="G50" s="53" t="s">
        <v>128</v>
      </c>
      <c r="H50" s="37">
        <f t="shared" si="6"/>
        <v>142</v>
      </c>
      <c r="I50" s="79">
        <f t="shared" si="7"/>
        <v>2.15827338E-2</v>
      </c>
      <c r="J50" s="87">
        <f t="shared" si="12"/>
        <v>195542834.02240312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138</v>
      </c>
      <c r="P50" s="37">
        <f t="shared" si="10"/>
        <v>379</v>
      </c>
      <c r="Q50" s="79">
        <f t="shared" si="11"/>
        <v>2.6455025999999999E-3</v>
      </c>
      <c r="R50" s="87">
        <f t="shared" si="14"/>
        <v>16438258.629028089</v>
      </c>
    </row>
    <row r="51" spans="1:18">
      <c r="A51" s="40" t="s">
        <v>225</v>
      </c>
      <c r="B51" s="11" t="s">
        <v>226</v>
      </c>
      <c r="C51" s="95">
        <v>1935</v>
      </c>
      <c r="D51" s="92">
        <v>2.5906736000000001E-3</v>
      </c>
      <c r="E51" s="93">
        <v>2933131.5947260899</v>
      </c>
      <c r="F51" s="35"/>
    </row>
    <row r="52" spans="1:18" ht="17.25" thickBot="1">
      <c r="A52" s="40" t="s">
        <v>48</v>
      </c>
      <c r="B52" s="11" t="s">
        <v>49</v>
      </c>
      <c r="C52" s="95">
        <v>55149000</v>
      </c>
      <c r="D52" s="92">
        <v>2.1442459999999998E-3</v>
      </c>
      <c r="E52" s="93">
        <v>2951.3524031900001</v>
      </c>
      <c r="F52" s="35"/>
    </row>
    <row r="53" spans="1:18" ht="17.25" thickBot="1">
      <c r="A53" s="40" t="s">
        <v>119</v>
      </c>
      <c r="B53" s="11" t="s">
        <v>120</v>
      </c>
      <c r="C53" s="95">
        <v>4860</v>
      </c>
      <c r="D53" s="92">
        <v>2.0618556999999998E-3</v>
      </c>
      <c r="E53" s="93">
        <v>1278585.4797998101</v>
      </c>
      <c r="F53" s="35"/>
      <c r="G53" s="201" t="s">
        <v>255</v>
      </c>
      <c r="H53" s="202"/>
      <c r="I53" s="202"/>
      <c r="J53" s="203"/>
      <c r="K53" s="201" t="s">
        <v>258</v>
      </c>
      <c r="L53" s="202"/>
      <c r="M53" s="202"/>
      <c r="N53" s="203"/>
      <c r="O53" s="201" t="s">
        <v>259</v>
      </c>
      <c r="P53" s="202"/>
      <c r="Q53" s="202"/>
      <c r="R53" s="203"/>
    </row>
    <row r="54" spans="1:18" ht="17.25" thickBot="1">
      <c r="A54" s="40" t="s">
        <v>103</v>
      </c>
      <c r="B54" s="11" t="s">
        <v>104</v>
      </c>
      <c r="C54" s="95">
        <v>1240</v>
      </c>
      <c r="D54" s="92">
        <v>0</v>
      </c>
      <c r="E54" s="93">
        <v>2644675.2612393601</v>
      </c>
      <c r="F54" s="35"/>
      <c r="G54" s="266" t="s">
        <v>55</v>
      </c>
      <c r="H54" s="278">
        <f ca="1">NOW()</f>
        <v>44450.89285196759</v>
      </c>
      <c r="I54" s="279"/>
      <c r="J54" s="280"/>
      <c r="K54" s="269" t="s">
        <v>55</v>
      </c>
      <c r="L54" s="278">
        <f ca="1">NOW()</f>
        <v>44450.89285196759</v>
      </c>
      <c r="M54" s="279"/>
      <c r="N54" s="280"/>
      <c r="O54" s="269" t="s">
        <v>55</v>
      </c>
      <c r="P54" s="278">
        <f ca="1">NOW()</f>
        <v>44450.89285196759</v>
      </c>
      <c r="Q54" s="279"/>
      <c r="R54" s="280"/>
    </row>
    <row r="55" spans="1:18" ht="17.25" thickBot="1">
      <c r="A55" s="40" t="s">
        <v>201</v>
      </c>
      <c r="B55" s="11" t="s">
        <v>202</v>
      </c>
      <c r="C55" s="95">
        <v>89.5</v>
      </c>
      <c r="D55" s="92">
        <v>0</v>
      </c>
      <c r="E55" s="93">
        <v>169368636.3057391</v>
      </c>
      <c r="F55" s="35"/>
      <c r="G55" s="263"/>
      <c r="H55" s="51" t="s">
        <v>58</v>
      </c>
      <c r="I55" s="73" t="s">
        <v>59</v>
      </c>
      <c r="J55" s="69" t="s">
        <v>264</v>
      </c>
      <c r="K55" s="218"/>
      <c r="L55" s="51" t="s">
        <v>58</v>
      </c>
      <c r="M55" s="73" t="s">
        <v>59</v>
      </c>
      <c r="N55" s="69" t="s">
        <v>264</v>
      </c>
      <c r="O55" s="218"/>
      <c r="P55" s="51" t="s">
        <v>58</v>
      </c>
      <c r="Q55" s="73" t="s">
        <v>59</v>
      </c>
      <c r="R55" s="69" t="s">
        <v>264</v>
      </c>
    </row>
    <row r="56" spans="1:18">
      <c r="A56" s="40" t="s">
        <v>189</v>
      </c>
      <c r="B56" s="11" t="s">
        <v>190</v>
      </c>
      <c r="C56" s="95">
        <v>19</v>
      </c>
      <c r="D56" s="92">
        <v>0</v>
      </c>
      <c r="E56" s="93">
        <v>393965791.73952574</v>
      </c>
      <c r="F56" s="35"/>
      <c r="G56" s="55" t="s">
        <v>240</v>
      </c>
      <c r="H56" s="38">
        <f t="shared" ref="H56:H75" si="15">_xlfn.IFNA(VLOOKUP(G56, $B$2:$D$200, 2, FALSE), "")</f>
        <v>71.2</v>
      </c>
      <c r="I56" s="76">
        <f t="shared" ref="I56:I65" si="16">_xlfn.IFNA(VLOOKUP(G56, $B$2:$D$200, 3, FALSE), "")</f>
        <v>-2.9972751999999998E-2</v>
      </c>
      <c r="J56" s="85">
        <f>_xlfn.IFNA(VLOOKUP(G56, $B$2:$E$200, 4, FALSE), "")</f>
        <v>27145654.802114081</v>
      </c>
      <c r="K56" s="81" t="s">
        <v>250</v>
      </c>
      <c r="L56" s="38">
        <f t="shared" ref="L56:L75" si="17">_xlfn.IFNA(VLOOKUP(K56, $B$2:$D$200, 2, FALSE), "")</f>
        <v>99.3</v>
      </c>
      <c r="M56" s="76">
        <f t="shared" ref="M56:M75" si="18">_xlfn.IFNA(VLOOKUP(K56, $B$2:$D$200, 3, FALSE), "")</f>
        <v>3.1152648000000002E-2</v>
      </c>
      <c r="N56" s="85">
        <f>_xlfn.IFNA(VLOOKUP(K56, $B$2:$E$200, 4, FALSE), "")</f>
        <v>187248841.0433059</v>
      </c>
      <c r="O56" s="81" t="s">
        <v>162</v>
      </c>
      <c r="P56" s="38">
        <f t="shared" ref="P56:P75" si="19">_xlfn.IFNA(VLOOKUP(O56, $B$2:$D$200, 2, FALSE), "")</f>
        <v>112</v>
      </c>
      <c r="Q56" s="76">
        <f t="shared" ref="Q56:Q75" si="20">_xlfn.IFNA(VLOOKUP(O56, $B$2:$D$200, 3, FALSE), "")</f>
        <v>9.0090090000000001E-3</v>
      </c>
      <c r="R56" s="85">
        <f>_xlfn.IFNA(VLOOKUP(O56, $B$2:$E$200, 4, FALSE), "")</f>
        <v>139793601.3079606</v>
      </c>
    </row>
    <row r="57" spans="1:18">
      <c r="A57" s="40" t="s">
        <v>195</v>
      </c>
      <c r="B57" s="11" t="s">
        <v>196</v>
      </c>
      <c r="C57" s="95">
        <v>4120</v>
      </c>
      <c r="D57" s="92">
        <v>0</v>
      </c>
      <c r="E57" s="93">
        <v>2231622.3752785502</v>
      </c>
      <c r="F57" s="35"/>
      <c r="G57" s="56" t="s">
        <v>248</v>
      </c>
      <c r="H57" s="39">
        <f t="shared" si="15"/>
        <v>3065</v>
      </c>
      <c r="I57" s="77">
        <f t="shared" si="16"/>
        <v>-3.00632911E-2</v>
      </c>
      <c r="J57" s="86">
        <f t="shared" ref="J57:J75" si="21">_xlfn.IFNA(VLOOKUP(G57, $B$2:$E$200, 4, FALSE), "")</f>
        <v>6343798.1617654804</v>
      </c>
      <c r="K57" s="82" t="s">
        <v>148</v>
      </c>
      <c r="L57" s="39">
        <f t="shared" si="17"/>
        <v>22.7</v>
      </c>
      <c r="M57" s="77">
        <f t="shared" si="18"/>
        <v>1.79372197E-2</v>
      </c>
      <c r="N57" s="86">
        <f t="shared" ref="N57:N75" si="22">_xlfn.IFNA(VLOOKUP(K57, $B$2:$E$200, 4, FALSE), "")</f>
        <v>405264312.86155063</v>
      </c>
      <c r="O57" s="82" t="s">
        <v>166</v>
      </c>
      <c r="P57" s="39">
        <f t="shared" si="19"/>
        <v>232</v>
      </c>
      <c r="Q57" s="77">
        <f t="shared" si="20"/>
        <v>8.6956522000000008E-3</v>
      </c>
      <c r="R57" s="86">
        <f t="shared" ref="R57:R75" si="23">_xlfn.IFNA(VLOOKUP(O57, $B$2:$E$200, 4, FALSE), "")</f>
        <v>50833835.675440617</v>
      </c>
    </row>
    <row r="58" spans="1:18">
      <c r="A58" s="40" t="s">
        <v>135</v>
      </c>
      <c r="B58" s="11" t="s">
        <v>136</v>
      </c>
      <c r="C58" s="95">
        <v>2290</v>
      </c>
      <c r="D58" s="92">
        <v>-2.1786492E-3</v>
      </c>
      <c r="E58" s="93">
        <v>4598486.8659871398</v>
      </c>
      <c r="F58" s="35"/>
      <c r="G58" s="56" t="s">
        <v>218</v>
      </c>
      <c r="H58" s="39">
        <f t="shared" si="15"/>
        <v>156</v>
      </c>
      <c r="I58" s="77">
        <f t="shared" si="16"/>
        <v>-3.1055900599999998E-2</v>
      </c>
      <c r="J58" s="86">
        <f t="shared" si="21"/>
        <v>144262808.68169215</v>
      </c>
      <c r="K58" s="82" t="s">
        <v>98</v>
      </c>
      <c r="L58" s="39">
        <f t="shared" si="17"/>
        <v>4.79</v>
      </c>
      <c r="M58" s="77">
        <f t="shared" si="18"/>
        <v>1.2684989400000001E-2</v>
      </c>
      <c r="N58" s="86">
        <f t="shared" si="22"/>
        <v>5447805243.6530437</v>
      </c>
      <c r="O58" s="82" t="s">
        <v>132</v>
      </c>
      <c r="P58" s="39">
        <f t="shared" si="19"/>
        <v>132</v>
      </c>
      <c r="Q58" s="77">
        <f t="shared" si="20"/>
        <v>7.6335878000000001E-3</v>
      </c>
      <c r="R58" s="86">
        <f t="shared" si="23"/>
        <v>56649426.290439069</v>
      </c>
    </row>
    <row r="59" spans="1:18">
      <c r="A59" s="40" t="s">
        <v>171</v>
      </c>
      <c r="B59" s="11" t="s">
        <v>172</v>
      </c>
      <c r="C59" s="95">
        <v>3930</v>
      </c>
      <c r="D59" s="92">
        <v>-6.3211125E-3</v>
      </c>
      <c r="E59" s="93">
        <v>2141977.9518776</v>
      </c>
      <c r="F59" s="35"/>
      <c r="G59" s="56" t="s">
        <v>246</v>
      </c>
      <c r="H59" s="39">
        <f t="shared" si="15"/>
        <v>9020</v>
      </c>
      <c r="I59" s="77">
        <f t="shared" si="16"/>
        <v>-3.1149301800000001E-2</v>
      </c>
      <c r="J59" s="86">
        <f t="shared" si="21"/>
        <v>405198.82119848998</v>
      </c>
      <c r="K59" s="82" t="s">
        <v>216</v>
      </c>
      <c r="L59" s="39">
        <f t="shared" si="17"/>
        <v>11.7</v>
      </c>
      <c r="M59" s="77">
        <f t="shared" si="18"/>
        <v>8.6206896999999998E-3</v>
      </c>
      <c r="N59" s="86">
        <f t="shared" si="22"/>
        <v>761175676.09675169</v>
      </c>
      <c r="O59" s="82" t="s">
        <v>86</v>
      </c>
      <c r="P59" s="39">
        <f t="shared" si="19"/>
        <v>405</v>
      </c>
      <c r="Q59" s="77">
        <f t="shared" si="20"/>
        <v>4.9627791999999997E-3</v>
      </c>
      <c r="R59" s="86">
        <f t="shared" si="23"/>
        <v>21740857.23882477</v>
      </c>
    </row>
    <row r="60" spans="1:18">
      <c r="A60" s="40" t="s">
        <v>197</v>
      </c>
      <c r="B60" s="11" t="s">
        <v>198</v>
      </c>
      <c r="C60" s="95">
        <v>24530</v>
      </c>
      <c r="D60" s="92">
        <v>-6.4803563999999998E-3</v>
      </c>
      <c r="E60" s="93">
        <v>828287.92937022995</v>
      </c>
      <c r="F60" s="35"/>
      <c r="G60" s="56" t="s">
        <v>164</v>
      </c>
      <c r="H60" s="39">
        <f t="shared" si="15"/>
        <v>973</v>
      </c>
      <c r="I60" s="77">
        <f t="shared" si="16"/>
        <v>-3.1840795999999998E-2</v>
      </c>
      <c r="J60" s="90">
        <f t="shared" si="21"/>
        <v>57388444.068371639</v>
      </c>
      <c r="K60" s="83" t="s">
        <v>150</v>
      </c>
      <c r="L60" s="44">
        <f t="shared" si="17"/>
        <v>13.7</v>
      </c>
      <c r="M60" s="78">
        <f t="shared" si="18"/>
        <v>7.3529412000000001E-3</v>
      </c>
      <c r="N60" s="90">
        <f t="shared" si="22"/>
        <v>343296079.56837082</v>
      </c>
      <c r="O60" s="83" t="s">
        <v>124</v>
      </c>
      <c r="P60" s="44">
        <f t="shared" si="19"/>
        <v>652</v>
      </c>
      <c r="Q60" s="78">
        <f t="shared" si="20"/>
        <v>4.6224960999999998E-3</v>
      </c>
      <c r="R60" s="90">
        <f t="shared" si="23"/>
        <v>36062388.865278743</v>
      </c>
    </row>
    <row r="61" spans="1:18">
      <c r="A61" s="40" t="s">
        <v>207</v>
      </c>
      <c r="B61" s="11" t="s">
        <v>208</v>
      </c>
      <c r="C61" s="95">
        <v>14.8</v>
      </c>
      <c r="D61" s="92">
        <v>-6.7114093999999999E-3</v>
      </c>
      <c r="E61" s="93">
        <v>195688361.17392182</v>
      </c>
      <c r="F61" s="35"/>
      <c r="G61" s="60" t="s">
        <v>108</v>
      </c>
      <c r="H61" s="45">
        <f t="shared" si="15"/>
        <v>2120</v>
      </c>
      <c r="I61" s="80">
        <f t="shared" si="16"/>
        <v>-3.1963470299999998E-2</v>
      </c>
      <c r="J61" s="99">
        <f t="shared" si="21"/>
        <v>15663007.82281257</v>
      </c>
      <c r="K61" s="82" t="s">
        <v>202</v>
      </c>
      <c r="L61" s="39">
        <f t="shared" si="17"/>
        <v>89.5</v>
      </c>
      <c r="M61" s="77">
        <f t="shared" si="18"/>
        <v>0</v>
      </c>
      <c r="N61" s="99">
        <f t="shared" si="22"/>
        <v>169368636.3057391</v>
      </c>
      <c r="O61" s="82" t="s">
        <v>138</v>
      </c>
      <c r="P61" s="39">
        <f t="shared" si="19"/>
        <v>379</v>
      </c>
      <c r="Q61" s="77">
        <f t="shared" si="20"/>
        <v>2.6455025999999999E-3</v>
      </c>
      <c r="R61" s="99">
        <f t="shared" si="23"/>
        <v>16438258.629028089</v>
      </c>
    </row>
    <row r="62" spans="1:18">
      <c r="A62" s="40" t="s">
        <v>237</v>
      </c>
      <c r="B62" s="11" t="s">
        <v>238</v>
      </c>
      <c r="C62" s="95">
        <v>127</v>
      </c>
      <c r="D62" s="92">
        <v>-7.8125E-3</v>
      </c>
      <c r="E62" s="93">
        <v>52364042.35096132</v>
      </c>
      <c r="F62" s="35"/>
      <c r="G62" s="56" t="s">
        <v>204</v>
      </c>
      <c r="H62" s="39">
        <f t="shared" si="15"/>
        <v>18.100000000000001</v>
      </c>
      <c r="I62" s="77">
        <f t="shared" si="16"/>
        <v>-3.2085561499999998E-2</v>
      </c>
      <c r="J62" s="86">
        <f t="shared" si="21"/>
        <v>870537041.2437582</v>
      </c>
      <c r="K62" s="82" t="s">
        <v>190</v>
      </c>
      <c r="L62" s="39">
        <f t="shared" si="17"/>
        <v>19</v>
      </c>
      <c r="M62" s="77">
        <f t="shared" si="18"/>
        <v>0</v>
      </c>
      <c r="N62" s="86">
        <f t="shared" si="22"/>
        <v>393965791.73952574</v>
      </c>
      <c r="O62" s="82" t="s">
        <v>238</v>
      </c>
      <c r="P62" s="39">
        <f t="shared" si="19"/>
        <v>127</v>
      </c>
      <c r="Q62" s="77">
        <f t="shared" si="20"/>
        <v>-7.8125E-3</v>
      </c>
      <c r="R62" s="86">
        <f t="shared" si="23"/>
        <v>52364042.35096132</v>
      </c>
    </row>
    <row r="63" spans="1:18">
      <c r="A63" s="40" t="s">
        <v>115</v>
      </c>
      <c r="B63" s="11" t="s">
        <v>116</v>
      </c>
      <c r="C63" s="95">
        <v>7715</v>
      </c>
      <c r="D63" s="92">
        <v>-8.3547558000000004E-3</v>
      </c>
      <c r="E63" s="93">
        <v>1566995.05016869</v>
      </c>
      <c r="F63" s="35"/>
      <c r="G63" s="56" t="s">
        <v>252</v>
      </c>
      <c r="H63" s="39">
        <f t="shared" si="15"/>
        <v>1160</v>
      </c>
      <c r="I63" s="77">
        <f t="shared" si="16"/>
        <v>-3.3333333299999997E-2</v>
      </c>
      <c r="J63" s="86">
        <f t="shared" si="21"/>
        <v>2750443.05423006</v>
      </c>
      <c r="K63" s="82" t="s">
        <v>208</v>
      </c>
      <c r="L63" s="39">
        <f t="shared" si="17"/>
        <v>14.8</v>
      </c>
      <c r="M63" s="77">
        <f t="shared" si="18"/>
        <v>-6.7114093999999999E-3</v>
      </c>
      <c r="N63" s="86">
        <f t="shared" si="22"/>
        <v>195688361.17392182</v>
      </c>
      <c r="O63" s="82" t="s">
        <v>222</v>
      </c>
      <c r="P63" s="39">
        <f t="shared" si="19"/>
        <v>189</v>
      </c>
      <c r="Q63" s="77">
        <f t="shared" si="20"/>
        <v>-1.0471204200000001E-2</v>
      </c>
      <c r="R63" s="86">
        <f t="shared" si="23"/>
        <v>85698955.546312764</v>
      </c>
    </row>
    <row r="64" spans="1:18">
      <c r="A64" s="40" t="s">
        <v>141</v>
      </c>
      <c r="B64" s="11" t="s">
        <v>142</v>
      </c>
      <c r="C64" s="95">
        <v>11560</v>
      </c>
      <c r="D64" s="92">
        <v>-1.02739726E-2</v>
      </c>
      <c r="E64" s="93">
        <v>294124.26132408</v>
      </c>
      <c r="F64" s="35"/>
      <c r="G64" s="56" t="s">
        <v>160</v>
      </c>
      <c r="H64" s="39">
        <f t="shared" si="15"/>
        <v>1705</v>
      </c>
      <c r="I64" s="77">
        <f t="shared" si="16"/>
        <v>-3.3994334299999998E-2</v>
      </c>
      <c r="J64" s="86">
        <f t="shared" si="21"/>
        <v>2860244.14612685</v>
      </c>
      <c r="K64" s="82" t="s">
        <v>188</v>
      </c>
      <c r="L64" s="39">
        <f t="shared" si="17"/>
        <v>14.5</v>
      </c>
      <c r="M64" s="77">
        <f t="shared" si="18"/>
        <v>-1.36054422E-2</v>
      </c>
      <c r="N64" s="86">
        <f t="shared" si="22"/>
        <v>191938107.07834071</v>
      </c>
      <c r="O64" s="82" t="s">
        <v>114</v>
      </c>
      <c r="P64" s="39">
        <f t="shared" si="19"/>
        <v>951</v>
      </c>
      <c r="Q64" s="77">
        <f t="shared" si="20"/>
        <v>-1.2461059199999999E-2</v>
      </c>
      <c r="R64" s="86">
        <f t="shared" si="23"/>
        <v>32441485.155022331</v>
      </c>
    </row>
    <row r="65" spans="1:18" ht="17.25" thickBot="1">
      <c r="A65" s="40" t="s">
        <v>221</v>
      </c>
      <c r="B65" s="11" t="s">
        <v>222</v>
      </c>
      <c r="C65" s="95">
        <v>189</v>
      </c>
      <c r="D65" s="92">
        <v>-1.0471204200000001E-2</v>
      </c>
      <c r="E65" s="93">
        <v>85698955.546312764</v>
      </c>
      <c r="F65" s="35"/>
      <c r="G65" s="57" t="s">
        <v>206</v>
      </c>
      <c r="H65" s="37">
        <f t="shared" si="15"/>
        <v>786</v>
      </c>
      <c r="I65" s="79">
        <f t="shared" si="16"/>
        <v>-3.4398034399999999E-2</v>
      </c>
      <c r="J65" s="87">
        <f t="shared" si="21"/>
        <v>15623547.449402349</v>
      </c>
      <c r="K65" s="84" t="s">
        <v>234</v>
      </c>
      <c r="L65" s="37">
        <f t="shared" si="17"/>
        <v>88.9</v>
      </c>
      <c r="M65" s="79">
        <f t="shared" si="18"/>
        <v>-1.5503876E-2</v>
      </c>
      <c r="N65" s="87">
        <f t="shared" si="22"/>
        <v>69792712.103104353</v>
      </c>
      <c r="O65" s="84" t="s">
        <v>242</v>
      </c>
      <c r="P65" s="37">
        <f t="shared" si="19"/>
        <v>627</v>
      </c>
      <c r="Q65" s="79">
        <f t="shared" si="20"/>
        <v>-1.2598425200000001E-2</v>
      </c>
      <c r="R65" s="87">
        <f t="shared" si="23"/>
        <v>3441462.8847495602</v>
      </c>
    </row>
    <row r="66" spans="1:18">
      <c r="A66" s="40" t="s">
        <v>175</v>
      </c>
      <c r="B66" s="11" t="s">
        <v>176</v>
      </c>
      <c r="C66" s="95">
        <v>1875</v>
      </c>
      <c r="D66" s="92">
        <v>-1.05540897E-2</v>
      </c>
      <c r="E66" s="93">
        <v>5030798.9702498503</v>
      </c>
      <c r="F66" s="35"/>
      <c r="G66" s="56" t="s">
        <v>182</v>
      </c>
      <c r="H66" s="38">
        <f t="shared" si="15"/>
        <v>70720</v>
      </c>
      <c r="I66" s="76">
        <f t="shared" ref="I66:I75" si="24">_xlfn.IFNA(VLOOKUP(G66, $B$2:$D$200, 3, FALSE), "")</f>
        <v>-3.6118304499999997E-2</v>
      </c>
      <c r="J66" s="85">
        <f t="shared" si="21"/>
        <v>73424.67979337</v>
      </c>
      <c r="K66" s="81" t="s">
        <v>65</v>
      </c>
      <c r="L66" s="38">
        <f t="shared" si="17"/>
        <v>90</v>
      </c>
      <c r="M66" s="76">
        <f t="shared" si="18"/>
        <v>-1.7467248899999999E-2</v>
      </c>
      <c r="N66" s="85">
        <f t="shared" si="22"/>
        <v>2003527521.6974006</v>
      </c>
      <c r="O66" s="81" t="s">
        <v>192</v>
      </c>
      <c r="P66" s="38">
        <f t="shared" si="19"/>
        <v>346</v>
      </c>
      <c r="Q66" s="76">
        <f t="shared" si="20"/>
        <v>-2.5352112699999999E-2</v>
      </c>
      <c r="R66" s="85">
        <f t="shared" si="23"/>
        <v>22904719.22386964</v>
      </c>
    </row>
    <row r="67" spans="1:18">
      <c r="A67" s="40" t="s">
        <v>113</v>
      </c>
      <c r="B67" s="11" t="s">
        <v>114</v>
      </c>
      <c r="C67" s="95">
        <v>951</v>
      </c>
      <c r="D67" s="92">
        <v>-1.2461059199999999E-2</v>
      </c>
      <c r="E67" s="93">
        <v>32441485.155022331</v>
      </c>
      <c r="F67" s="35"/>
      <c r="G67" s="56" t="s">
        <v>200</v>
      </c>
      <c r="H67" s="39">
        <f t="shared" si="15"/>
        <v>225</v>
      </c>
      <c r="I67" s="77">
        <f t="shared" si="24"/>
        <v>-3.8461538500000003E-2</v>
      </c>
      <c r="J67" s="86">
        <f t="shared" si="21"/>
        <v>52926210.958158813</v>
      </c>
      <c r="K67" s="82" t="s">
        <v>210</v>
      </c>
      <c r="L67" s="39">
        <f t="shared" si="17"/>
        <v>15.2</v>
      </c>
      <c r="M67" s="77">
        <f t="shared" si="18"/>
        <v>-1.9354838700000002E-2</v>
      </c>
      <c r="N67" s="86">
        <f t="shared" si="22"/>
        <v>214205640.66917816</v>
      </c>
      <c r="O67" s="82" t="s">
        <v>218</v>
      </c>
      <c r="P67" s="39">
        <f t="shared" si="19"/>
        <v>156</v>
      </c>
      <c r="Q67" s="77">
        <f t="shared" si="20"/>
        <v>-3.1055900599999998E-2</v>
      </c>
      <c r="R67" s="86">
        <f t="shared" si="23"/>
        <v>144262808.68169215</v>
      </c>
    </row>
    <row r="68" spans="1:18">
      <c r="A68" s="40" t="s">
        <v>241</v>
      </c>
      <c r="B68" s="11" t="s">
        <v>242</v>
      </c>
      <c r="C68" s="95">
        <v>627</v>
      </c>
      <c r="D68" s="92">
        <v>-1.2598425200000001E-2</v>
      </c>
      <c r="E68" s="93">
        <v>3441462.8847495602</v>
      </c>
      <c r="F68" s="35"/>
      <c r="G68" s="56" t="s">
        <v>232</v>
      </c>
      <c r="H68" s="39">
        <f t="shared" si="15"/>
        <v>894</v>
      </c>
      <c r="I68" s="77">
        <f t="shared" si="24"/>
        <v>-3.8709677400000003E-2</v>
      </c>
      <c r="J68" s="86">
        <f t="shared" si="21"/>
        <v>14252042.93560653</v>
      </c>
      <c r="K68" s="82" t="s">
        <v>178</v>
      </c>
      <c r="L68" s="39">
        <f t="shared" si="17"/>
        <v>19.2</v>
      </c>
      <c r="M68" s="77">
        <f t="shared" si="18"/>
        <v>-2.0408163300000001E-2</v>
      </c>
      <c r="N68" s="86">
        <f t="shared" si="22"/>
        <v>134606798.84077039</v>
      </c>
      <c r="O68" s="82" t="s">
        <v>164</v>
      </c>
      <c r="P68" s="39">
        <f t="shared" si="19"/>
        <v>973</v>
      </c>
      <c r="Q68" s="77">
        <f t="shared" si="20"/>
        <v>-3.1840795999999998E-2</v>
      </c>
      <c r="R68" s="86">
        <f t="shared" si="23"/>
        <v>57388444.068371639</v>
      </c>
    </row>
    <row r="69" spans="1:18">
      <c r="A69" s="40" t="s">
        <v>169</v>
      </c>
      <c r="B69" s="11" t="s">
        <v>170</v>
      </c>
      <c r="C69" s="95">
        <v>30530</v>
      </c>
      <c r="D69" s="92">
        <v>-1.3251454399999999E-2</v>
      </c>
      <c r="E69" s="93">
        <v>152404.80861536</v>
      </c>
      <c r="F69" s="35"/>
      <c r="G69" s="56" t="s">
        <v>174</v>
      </c>
      <c r="H69" s="39">
        <f t="shared" si="15"/>
        <v>447</v>
      </c>
      <c r="I69" s="77">
        <f t="shared" si="24"/>
        <v>-4.0772532200000003E-2</v>
      </c>
      <c r="J69" s="86">
        <f t="shared" si="21"/>
        <v>23318194.635228802</v>
      </c>
      <c r="K69" s="82" t="s">
        <v>122</v>
      </c>
      <c r="L69" s="39">
        <f t="shared" si="17"/>
        <v>42.2</v>
      </c>
      <c r="M69" s="77">
        <f t="shared" si="18"/>
        <v>-2.3148148100000002E-2</v>
      </c>
      <c r="N69" s="86">
        <f t="shared" si="22"/>
        <v>160024513.72535238</v>
      </c>
      <c r="O69" s="82" t="s">
        <v>206</v>
      </c>
      <c r="P69" s="39">
        <f t="shared" si="19"/>
        <v>786</v>
      </c>
      <c r="Q69" s="77">
        <f t="shared" si="20"/>
        <v>-3.4398034399999999E-2</v>
      </c>
      <c r="R69" s="86">
        <f t="shared" si="23"/>
        <v>15623547.449402349</v>
      </c>
    </row>
    <row r="70" spans="1:18">
      <c r="A70" s="40" t="s">
        <v>213</v>
      </c>
      <c r="B70" s="11" t="s">
        <v>214</v>
      </c>
      <c r="C70" s="95">
        <v>1095</v>
      </c>
      <c r="D70" s="92">
        <v>-1.3513513499999999E-2</v>
      </c>
      <c r="E70" s="93">
        <v>21245527.45921256</v>
      </c>
      <c r="F70" s="35"/>
      <c r="G70" s="56" t="s">
        <v>244</v>
      </c>
      <c r="H70" s="39">
        <f t="shared" si="15"/>
        <v>1875</v>
      </c>
      <c r="I70" s="77">
        <f t="shared" si="24"/>
        <v>-4.3367346899999999E-2</v>
      </c>
      <c r="J70" s="90">
        <f t="shared" si="21"/>
        <v>4981508.9366870001</v>
      </c>
      <c r="K70" s="83" t="s">
        <v>72</v>
      </c>
      <c r="L70" s="44">
        <f t="shared" si="17"/>
        <v>29.4</v>
      </c>
      <c r="M70" s="78">
        <f t="shared" si="18"/>
        <v>-2.6490066199999999E-2</v>
      </c>
      <c r="N70" s="90">
        <f t="shared" si="22"/>
        <v>311597529.66080791</v>
      </c>
      <c r="O70" s="83" t="s">
        <v>200</v>
      </c>
      <c r="P70" s="44">
        <f t="shared" si="19"/>
        <v>225</v>
      </c>
      <c r="Q70" s="78">
        <f t="shared" si="20"/>
        <v>-3.8461538500000003E-2</v>
      </c>
      <c r="R70" s="90">
        <f t="shared" si="23"/>
        <v>52926210.958158813</v>
      </c>
    </row>
    <row r="71" spans="1:18">
      <c r="A71" s="40" t="s">
        <v>187</v>
      </c>
      <c r="B71" s="11" t="s">
        <v>188</v>
      </c>
      <c r="C71" s="95">
        <v>14.5</v>
      </c>
      <c r="D71" s="92">
        <v>-1.36054422E-2</v>
      </c>
      <c r="E71" s="93">
        <v>191938107.07834071</v>
      </c>
      <c r="F71" s="35"/>
      <c r="G71" s="60" t="s">
        <v>254</v>
      </c>
      <c r="H71" s="45">
        <f t="shared" si="15"/>
        <v>406</v>
      </c>
      <c r="I71" s="80">
        <f t="shared" si="24"/>
        <v>-4.4705882400000001E-2</v>
      </c>
      <c r="J71" s="99">
        <f t="shared" si="21"/>
        <v>12525650.282224551</v>
      </c>
      <c r="K71" s="82" t="s">
        <v>240</v>
      </c>
      <c r="L71" s="39">
        <f t="shared" si="17"/>
        <v>71.2</v>
      </c>
      <c r="M71" s="77">
        <f t="shared" si="18"/>
        <v>-2.9972751999999998E-2</v>
      </c>
      <c r="N71" s="99">
        <f t="shared" si="22"/>
        <v>27145654.802114081</v>
      </c>
      <c r="O71" s="82" t="s">
        <v>232</v>
      </c>
      <c r="P71" s="39">
        <f t="shared" si="19"/>
        <v>894</v>
      </c>
      <c r="Q71" s="77">
        <f t="shared" si="20"/>
        <v>-3.8709677400000003E-2</v>
      </c>
      <c r="R71" s="99">
        <f t="shared" si="23"/>
        <v>14252042.93560653</v>
      </c>
    </row>
    <row r="72" spans="1:18">
      <c r="A72" s="40" t="s">
        <v>87</v>
      </c>
      <c r="B72" s="11" t="s">
        <v>88</v>
      </c>
      <c r="C72" s="95">
        <v>235650</v>
      </c>
      <c r="D72" s="92">
        <v>-1.4635166200000001E-2</v>
      </c>
      <c r="E72" s="93">
        <v>22892.508551800001</v>
      </c>
      <c r="F72" s="35"/>
      <c r="G72" s="56" t="s">
        <v>236</v>
      </c>
      <c r="H72" s="39">
        <f t="shared" si="15"/>
        <v>753</v>
      </c>
      <c r="I72" s="77">
        <f t="shared" si="24"/>
        <v>-5.63909774E-2</v>
      </c>
      <c r="J72" s="86">
        <f t="shared" si="21"/>
        <v>12597954.624577019</v>
      </c>
      <c r="K72" s="82" t="s">
        <v>204</v>
      </c>
      <c r="L72" s="39">
        <f t="shared" si="17"/>
        <v>18.100000000000001</v>
      </c>
      <c r="M72" s="77">
        <f t="shared" si="18"/>
        <v>-3.2085561499999998E-2</v>
      </c>
      <c r="N72" s="86">
        <f t="shared" si="22"/>
        <v>870537041.2437582</v>
      </c>
      <c r="O72" s="82" t="s">
        <v>174</v>
      </c>
      <c r="P72" s="39">
        <f t="shared" si="19"/>
        <v>447</v>
      </c>
      <c r="Q72" s="77">
        <f t="shared" si="20"/>
        <v>-4.0772532200000003E-2</v>
      </c>
      <c r="R72" s="86">
        <f t="shared" si="23"/>
        <v>23318194.635228802</v>
      </c>
    </row>
    <row r="73" spans="1:18">
      <c r="A73" s="40" t="s">
        <v>185</v>
      </c>
      <c r="B73" s="11" t="s">
        <v>186</v>
      </c>
      <c r="C73" s="95">
        <v>10050</v>
      </c>
      <c r="D73" s="92">
        <v>-1.47058824E-2</v>
      </c>
      <c r="E73" s="93">
        <v>657066.44064595003</v>
      </c>
      <c r="F73" s="35"/>
      <c r="G73" s="56" t="s">
        <v>74</v>
      </c>
      <c r="H73" s="39">
        <f t="shared" si="15"/>
        <v>34050</v>
      </c>
      <c r="I73" s="77">
        <f t="shared" si="24"/>
        <v>-5.7308970100000002E-2</v>
      </c>
      <c r="J73" s="86">
        <f t="shared" si="21"/>
        <v>3979680.9462734601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254</v>
      </c>
      <c r="P73" s="39">
        <f t="shared" si="19"/>
        <v>406</v>
      </c>
      <c r="Q73" s="77">
        <f t="shared" si="20"/>
        <v>-4.4705882400000001E-2</v>
      </c>
      <c r="R73" s="86">
        <f t="shared" si="23"/>
        <v>12525650.282224551</v>
      </c>
    </row>
    <row r="74" spans="1:18">
      <c r="A74" s="40" t="s">
        <v>66</v>
      </c>
      <c r="B74" s="11" t="s">
        <v>67</v>
      </c>
      <c r="C74" s="95">
        <v>4850</v>
      </c>
      <c r="D74" s="92">
        <v>-1.52284264E-2</v>
      </c>
      <c r="E74" s="93">
        <v>831912.03395293001</v>
      </c>
      <c r="F74" s="35"/>
      <c r="G74" s="56" t="s">
        <v>106</v>
      </c>
      <c r="H74" s="39">
        <f t="shared" si="15"/>
        <v>273550</v>
      </c>
      <c r="I74" s="77">
        <f t="shared" si="24"/>
        <v>-5.8671713700000003E-2</v>
      </c>
      <c r="J74" s="86">
        <f t="shared" si="21"/>
        <v>951194.11363902001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236</v>
      </c>
      <c r="P74" s="39">
        <f t="shared" si="19"/>
        <v>753</v>
      </c>
      <c r="Q74" s="77">
        <f t="shared" si="20"/>
        <v>-5.63909774E-2</v>
      </c>
      <c r="R74" s="86">
        <f t="shared" si="23"/>
        <v>12597954.624577019</v>
      </c>
    </row>
    <row r="75" spans="1:18" ht="17.25" thickBot="1">
      <c r="A75" s="40" t="s">
        <v>233</v>
      </c>
      <c r="B75" s="11" t="s">
        <v>234</v>
      </c>
      <c r="C75" s="95">
        <v>88.9</v>
      </c>
      <c r="D75" s="92">
        <v>-1.5503876E-2</v>
      </c>
      <c r="E75" s="93">
        <v>69792712.103104353</v>
      </c>
      <c r="F75" s="35"/>
      <c r="G75" s="57" t="s">
        <v>228</v>
      </c>
      <c r="H75" s="37">
        <f t="shared" si="15"/>
        <v>937</v>
      </c>
      <c r="I75" s="79">
        <f t="shared" si="24"/>
        <v>-7.6847290600000007E-2</v>
      </c>
      <c r="J75" s="87">
        <f t="shared" si="21"/>
        <v>62020765.055320293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228</v>
      </c>
      <c r="P75" s="37">
        <f t="shared" si="19"/>
        <v>937</v>
      </c>
      <c r="Q75" s="79">
        <f t="shared" si="20"/>
        <v>-7.6847290600000007E-2</v>
      </c>
      <c r="R75" s="87">
        <f t="shared" si="23"/>
        <v>62020765.055320293</v>
      </c>
    </row>
    <row r="76" spans="1:18">
      <c r="A76" s="40" t="s">
        <v>64</v>
      </c>
      <c r="B76" s="11" t="s">
        <v>65</v>
      </c>
      <c r="C76" s="95">
        <v>90</v>
      </c>
      <c r="D76" s="92">
        <v>-1.7467248899999999E-2</v>
      </c>
      <c r="E76" s="93">
        <v>2003527521.6974006</v>
      </c>
      <c r="F76" s="35"/>
      <c r="G76" s="35"/>
      <c r="H76" s="35"/>
      <c r="I76" s="35"/>
    </row>
    <row r="77" spans="1:18">
      <c r="A77" s="40" t="s">
        <v>209</v>
      </c>
      <c r="B77" s="11" t="s">
        <v>210</v>
      </c>
      <c r="C77" s="95">
        <v>15.2</v>
      </c>
      <c r="D77" s="92">
        <v>-1.9354838700000002E-2</v>
      </c>
      <c r="E77" s="93">
        <v>214205640.66917816</v>
      </c>
      <c r="F77" s="35"/>
      <c r="G77" s="35"/>
      <c r="H77" s="35"/>
      <c r="I77" s="35"/>
    </row>
    <row r="78" spans="1:18">
      <c r="A78" s="40" t="s">
        <v>177</v>
      </c>
      <c r="B78" s="11" t="s">
        <v>178</v>
      </c>
      <c r="C78" s="95">
        <v>19.2</v>
      </c>
      <c r="D78" s="92">
        <v>-2.0408163300000001E-2</v>
      </c>
      <c r="E78" s="93">
        <v>134606798.84077039</v>
      </c>
      <c r="F78" s="35"/>
      <c r="G78" s="35"/>
      <c r="H78" s="35"/>
      <c r="I78" s="35"/>
    </row>
    <row r="79" spans="1:18">
      <c r="A79" s="40" t="s">
        <v>223</v>
      </c>
      <c r="B79" s="11" t="s">
        <v>224</v>
      </c>
      <c r="C79" s="95">
        <v>4830</v>
      </c>
      <c r="D79" s="92">
        <v>-2.1276595700000001E-2</v>
      </c>
      <c r="E79" s="93">
        <v>840366.89379623998</v>
      </c>
      <c r="F79" s="35"/>
      <c r="G79" s="35"/>
      <c r="H79" s="35"/>
      <c r="I79" s="35"/>
    </row>
    <row r="80" spans="1:18">
      <c r="A80" s="40" t="s">
        <v>121</v>
      </c>
      <c r="B80" s="11" t="s">
        <v>122</v>
      </c>
      <c r="C80" s="95">
        <v>42.2</v>
      </c>
      <c r="D80" s="92">
        <v>-2.3148148100000002E-2</v>
      </c>
      <c r="E80" s="93">
        <v>160024513.72535238</v>
      </c>
      <c r="F80" s="35"/>
      <c r="G80" s="35"/>
      <c r="H80" s="35"/>
      <c r="I80" s="35"/>
    </row>
    <row r="81" spans="1:9">
      <c r="A81" s="40" t="s">
        <v>191</v>
      </c>
      <c r="B81" s="11" t="s">
        <v>192</v>
      </c>
      <c r="C81" s="95">
        <v>346</v>
      </c>
      <c r="D81" s="92">
        <v>-2.5352112699999999E-2</v>
      </c>
      <c r="E81" s="93">
        <v>22904719.22386964</v>
      </c>
      <c r="F81" s="35"/>
      <c r="G81" s="35"/>
      <c r="H81" s="35"/>
      <c r="I81" s="35"/>
    </row>
    <row r="82" spans="1:9">
      <c r="A82" s="40" t="s">
        <v>71</v>
      </c>
      <c r="B82" s="11" t="s">
        <v>72</v>
      </c>
      <c r="C82" s="95">
        <v>29.4</v>
      </c>
      <c r="D82" s="92">
        <v>-2.6490066199999999E-2</v>
      </c>
      <c r="E82" s="93">
        <v>311597529.66080791</v>
      </c>
      <c r="F82" s="35"/>
      <c r="G82" s="35"/>
      <c r="H82" s="35"/>
      <c r="I82" s="35"/>
    </row>
    <row r="83" spans="1:9">
      <c r="A83" s="40" t="s">
        <v>183</v>
      </c>
      <c r="B83" s="11" t="s">
        <v>184</v>
      </c>
      <c r="C83" s="95">
        <v>1325</v>
      </c>
      <c r="D83" s="92">
        <v>-2.9304029299999999E-2</v>
      </c>
      <c r="E83" s="93">
        <v>4103885.2727949498</v>
      </c>
      <c r="F83" s="35"/>
      <c r="G83" s="35"/>
      <c r="H83" s="35"/>
      <c r="I83" s="35"/>
    </row>
    <row r="84" spans="1:9">
      <c r="A84" s="40" t="s">
        <v>239</v>
      </c>
      <c r="B84" s="11" t="s">
        <v>240</v>
      </c>
      <c r="C84" s="95">
        <v>71.2</v>
      </c>
      <c r="D84" s="92">
        <v>-2.9972751999999998E-2</v>
      </c>
      <c r="E84" s="93">
        <v>27145654.802114081</v>
      </c>
      <c r="F84" s="35"/>
      <c r="G84" s="35"/>
      <c r="H84" s="35"/>
      <c r="I84" s="35"/>
    </row>
    <row r="85" spans="1:9">
      <c r="A85" s="40" t="s">
        <v>247</v>
      </c>
      <c r="B85" s="11" t="s">
        <v>248</v>
      </c>
      <c r="C85" s="95">
        <v>3065</v>
      </c>
      <c r="D85" s="92">
        <v>-3.00632911E-2</v>
      </c>
      <c r="E85" s="93">
        <v>6343798.1617654804</v>
      </c>
      <c r="F85" s="35"/>
      <c r="G85" s="35"/>
      <c r="H85" s="35"/>
      <c r="I85" s="35"/>
    </row>
    <row r="86" spans="1:9">
      <c r="A86" s="40" t="s">
        <v>217</v>
      </c>
      <c r="B86" s="11" t="s">
        <v>218</v>
      </c>
      <c r="C86" s="95">
        <v>156</v>
      </c>
      <c r="D86" s="92">
        <v>-3.1055900599999998E-2</v>
      </c>
      <c r="E86" s="93">
        <v>144262808.68169215</v>
      </c>
      <c r="F86" s="35"/>
      <c r="G86" s="35"/>
      <c r="H86" s="35"/>
      <c r="I86" s="35"/>
    </row>
    <row r="87" spans="1:9">
      <c r="A87" s="40" t="s">
        <v>245</v>
      </c>
      <c r="B87" s="11" t="s">
        <v>246</v>
      </c>
      <c r="C87" s="95">
        <v>9020</v>
      </c>
      <c r="D87" s="92">
        <v>-3.1149301800000001E-2</v>
      </c>
      <c r="E87" s="93">
        <v>405198.82119848998</v>
      </c>
      <c r="F87" s="35"/>
      <c r="G87" s="35"/>
      <c r="H87" s="35"/>
      <c r="I87" s="35"/>
    </row>
    <row r="88" spans="1:9">
      <c r="A88" s="40" t="s">
        <v>163</v>
      </c>
      <c r="B88" s="11" t="s">
        <v>164</v>
      </c>
      <c r="C88" s="95">
        <v>973</v>
      </c>
      <c r="D88" s="92">
        <v>-3.1840795999999998E-2</v>
      </c>
      <c r="E88" s="93">
        <v>57388444.068371639</v>
      </c>
      <c r="F88" s="35"/>
      <c r="G88" s="35"/>
      <c r="H88" s="35"/>
      <c r="I88" s="35"/>
    </row>
    <row r="89" spans="1:9">
      <c r="A89" s="40" t="s">
        <v>107</v>
      </c>
      <c r="B89" s="11" t="s">
        <v>108</v>
      </c>
      <c r="C89" s="95">
        <v>2120</v>
      </c>
      <c r="D89" s="92">
        <v>-3.1963470299999998E-2</v>
      </c>
      <c r="E89" s="93">
        <v>15663007.82281257</v>
      </c>
      <c r="F89" s="35"/>
      <c r="G89" s="35"/>
      <c r="H89" s="35"/>
      <c r="I89" s="35"/>
    </row>
    <row r="90" spans="1:9">
      <c r="A90" s="40" t="s">
        <v>203</v>
      </c>
      <c r="B90" s="11" t="s">
        <v>204</v>
      </c>
      <c r="C90" s="95">
        <v>18.100000000000001</v>
      </c>
      <c r="D90" s="92">
        <v>-3.2085561499999998E-2</v>
      </c>
      <c r="E90" s="93">
        <v>870537041.2437582</v>
      </c>
      <c r="F90" s="35"/>
      <c r="G90" s="35"/>
      <c r="H90" s="35"/>
      <c r="I90" s="35"/>
    </row>
    <row r="91" spans="1:9">
      <c r="A91" s="40" t="s">
        <v>251</v>
      </c>
      <c r="B91" s="11" t="s">
        <v>252</v>
      </c>
      <c r="C91" s="95">
        <v>1160</v>
      </c>
      <c r="D91" s="92">
        <v>-3.3333333299999997E-2</v>
      </c>
      <c r="E91" s="93">
        <v>2750443.05423006</v>
      </c>
      <c r="F91" s="35"/>
      <c r="G91" s="35"/>
      <c r="H91" s="35"/>
      <c r="I91" s="35"/>
    </row>
    <row r="92" spans="1:9">
      <c r="A92" s="40" t="s">
        <v>159</v>
      </c>
      <c r="B92" s="11" t="s">
        <v>160</v>
      </c>
      <c r="C92" s="95">
        <v>1705</v>
      </c>
      <c r="D92" s="92">
        <v>-3.3994334299999998E-2</v>
      </c>
      <c r="E92" s="93">
        <v>2860244.14612685</v>
      </c>
      <c r="F92" s="35"/>
      <c r="G92" s="35"/>
      <c r="H92" s="35"/>
      <c r="I92" s="35"/>
    </row>
    <row r="93" spans="1:9">
      <c r="A93" s="40" t="s">
        <v>205</v>
      </c>
      <c r="B93" s="11" t="s">
        <v>206</v>
      </c>
      <c r="C93" s="95">
        <v>786</v>
      </c>
      <c r="D93" s="92">
        <v>-3.4398034399999999E-2</v>
      </c>
      <c r="E93" s="93">
        <v>15623547.449402349</v>
      </c>
      <c r="F93" s="35"/>
      <c r="G93" s="35"/>
      <c r="H93" s="35"/>
      <c r="I93" s="35"/>
    </row>
    <row r="94" spans="1:9">
      <c r="A94" s="40" t="s">
        <v>181</v>
      </c>
      <c r="B94" s="11" t="s">
        <v>182</v>
      </c>
      <c r="C94" s="95">
        <v>70720</v>
      </c>
      <c r="D94" s="92">
        <v>-3.6118304499999997E-2</v>
      </c>
      <c r="E94" s="93">
        <v>73424.67979337</v>
      </c>
      <c r="F94" s="35"/>
      <c r="G94" s="35"/>
      <c r="H94" s="35"/>
      <c r="I94" s="35"/>
    </row>
    <row r="95" spans="1:9">
      <c r="A95" s="40" t="s">
        <v>199</v>
      </c>
      <c r="B95" s="11" t="s">
        <v>200</v>
      </c>
      <c r="C95" s="95">
        <v>225</v>
      </c>
      <c r="D95" s="92">
        <v>-3.8461538500000003E-2</v>
      </c>
      <c r="E95" s="93">
        <v>52926210.958158813</v>
      </c>
      <c r="F95" s="35"/>
      <c r="G95" s="35"/>
      <c r="H95" s="35"/>
      <c r="I95" s="35"/>
    </row>
    <row r="96" spans="1:9">
      <c r="A96" s="40" t="s">
        <v>231</v>
      </c>
      <c r="B96" s="11" t="s">
        <v>232</v>
      </c>
      <c r="C96" s="95">
        <v>894</v>
      </c>
      <c r="D96" s="92">
        <v>-3.8709677400000003E-2</v>
      </c>
      <c r="E96" s="93">
        <v>14252042.93560653</v>
      </c>
      <c r="F96" s="35"/>
      <c r="G96" s="35"/>
      <c r="H96" s="35"/>
      <c r="I96" s="35"/>
    </row>
    <row r="97" spans="1:9">
      <c r="A97" s="40" t="s">
        <v>173</v>
      </c>
      <c r="B97" s="11" t="s">
        <v>174</v>
      </c>
      <c r="C97" s="95">
        <v>447</v>
      </c>
      <c r="D97" s="92">
        <v>-4.0772532200000003E-2</v>
      </c>
      <c r="E97" s="93">
        <v>23318194.635228802</v>
      </c>
      <c r="F97" s="35"/>
      <c r="G97" s="35"/>
      <c r="H97" s="35"/>
      <c r="I97" s="35"/>
    </row>
    <row r="98" spans="1:9">
      <c r="A98" s="40" t="s">
        <v>243</v>
      </c>
      <c r="B98" s="11" t="s">
        <v>244</v>
      </c>
      <c r="C98" s="95">
        <v>1875</v>
      </c>
      <c r="D98" s="92">
        <v>-4.3367346899999999E-2</v>
      </c>
      <c r="E98" s="93">
        <v>4981508.9366870001</v>
      </c>
      <c r="F98" s="35"/>
      <c r="G98" s="35"/>
      <c r="H98" s="35"/>
      <c r="I98" s="35"/>
    </row>
    <row r="99" spans="1:9">
      <c r="A99" s="40" t="s">
        <v>253</v>
      </c>
      <c r="B99" s="11" t="s">
        <v>254</v>
      </c>
      <c r="C99" s="95">
        <v>406</v>
      </c>
      <c r="D99" s="92">
        <v>-4.4705882400000001E-2</v>
      </c>
      <c r="E99" s="93">
        <v>12525650.282224551</v>
      </c>
      <c r="F99" s="35"/>
      <c r="G99" s="35"/>
      <c r="H99" s="35"/>
      <c r="I99" s="35"/>
    </row>
    <row r="100" spans="1:9">
      <c r="A100" s="40" t="s">
        <v>235</v>
      </c>
      <c r="B100" s="11" t="s">
        <v>236</v>
      </c>
      <c r="C100" s="95">
        <v>753</v>
      </c>
      <c r="D100" s="92">
        <v>-5.63909774E-2</v>
      </c>
      <c r="E100" s="93">
        <v>12597954.624577019</v>
      </c>
      <c r="F100" s="35"/>
      <c r="G100" s="35"/>
      <c r="H100" s="35"/>
      <c r="I100" s="35"/>
    </row>
    <row r="101" spans="1:9">
      <c r="A101" s="40" t="s">
        <v>73</v>
      </c>
      <c r="B101" s="11" t="s">
        <v>74</v>
      </c>
      <c r="C101" s="95">
        <v>34050</v>
      </c>
      <c r="D101" s="92">
        <v>-5.7308970100000002E-2</v>
      </c>
      <c r="E101" s="93">
        <v>3979680.9462734601</v>
      </c>
      <c r="F101" s="35"/>
      <c r="G101" s="35"/>
      <c r="H101" s="35"/>
      <c r="I101" s="35"/>
    </row>
    <row r="102" spans="1:9">
      <c r="A102" s="40" t="s">
        <v>105</v>
      </c>
      <c r="B102" s="11" t="s">
        <v>106</v>
      </c>
      <c r="C102" s="95">
        <v>273550</v>
      </c>
      <c r="D102" s="92">
        <v>-5.8671713700000003E-2</v>
      </c>
      <c r="E102" s="93">
        <v>951194.11363902001</v>
      </c>
      <c r="F102" s="35"/>
      <c r="G102" s="35"/>
      <c r="H102" s="35"/>
      <c r="I102" s="35"/>
    </row>
    <row r="103" spans="1:9">
      <c r="A103" s="40" t="s">
        <v>227</v>
      </c>
      <c r="B103" s="11" t="s">
        <v>228</v>
      </c>
      <c r="C103" s="95">
        <v>937</v>
      </c>
      <c r="D103" s="92">
        <v>-7.6847290600000007E-2</v>
      </c>
      <c r="E103" s="93">
        <v>62020765.055320293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activeCell="B3" sqref="B3:C4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04" t="str">
        <f>TEXT(투자전략!$G$1, "[$-ko-KR]yyyy년 mm월") &amp; " 총결산"</f>
        <v>2021년 09월 총결산</v>
      </c>
      <c r="B1" s="205"/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5"/>
      <c r="N1" s="205"/>
      <c r="O1" s="206"/>
    </row>
    <row r="2" spans="1:15" ht="16.5" customHeight="1" thickBot="1">
      <c r="A2" s="210" t="s">
        <v>289</v>
      </c>
      <c r="B2" s="211"/>
      <c r="C2" s="211"/>
      <c r="D2" s="202" t="s">
        <v>285</v>
      </c>
      <c r="E2" s="202"/>
      <c r="F2" s="203"/>
      <c r="G2" s="204" t="s">
        <v>286</v>
      </c>
      <c r="H2" s="205"/>
      <c r="I2" s="206"/>
      <c r="J2" s="201" t="s">
        <v>287</v>
      </c>
      <c r="K2" s="202"/>
      <c r="L2" s="202"/>
      <c r="M2" s="202" t="s">
        <v>288</v>
      </c>
      <c r="N2" s="202"/>
      <c r="O2" s="203"/>
    </row>
    <row r="3" spans="1:15" ht="16.5" customHeight="1">
      <c r="A3" s="281">
        <v>1</v>
      </c>
      <c r="B3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동전코인 Top20</v>
      </c>
      <c r="C3" s="212"/>
      <c r="D3" s="210" t="s">
        <v>290</v>
      </c>
      <c r="E3" s="211"/>
      <c r="F3" s="212"/>
      <c r="G3" s="210" t="s">
        <v>297</v>
      </c>
      <c r="H3" s="211"/>
      <c r="I3" s="212"/>
      <c r="J3" s="210" t="s">
        <v>304</v>
      </c>
      <c r="K3" s="211"/>
      <c r="L3" s="212"/>
      <c r="M3" s="210" t="s">
        <v>311</v>
      </c>
      <c r="N3" s="211"/>
      <c r="O3" s="212"/>
    </row>
    <row r="4" spans="1:15" ht="16.5" customHeight="1" thickBot="1">
      <c r="A4" s="282"/>
      <c r="B4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978,753 KRW (48.94%)</v>
      </c>
      <c r="C4" s="218"/>
      <c r="D4" s="216" t="str">
        <f ca="1" xml:space="preserve"> TEXT($F$92, "#,##0") &amp; " KRW (" &amp; TEXT($E$92, "0.00%)")</f>
        <v>481,131 KRW (29.90%)</v>
      </c>
      <c r="E4" s="217"/>
      <c r="F4" s="218"/>
      <c r="G4" s="216" t="str">
        <f ca="1" xml:space="preserve"> TEXT($I$92, "#,##0") &amp; " KRW (" &amp; TEXT($H$92, "0.00%)")</f>
        <v>526,402 KRW (32.71%)</v>
      </c>
      <c r="H4" s="217"/>
      <c r="I4" s="218"/>
      <c r="J4" s="216" t="str">
        <f ca="1" xml:space="preserve"> TEXT($L$92, "#,##0") &amp; " KRW (" &amp; TEXT($K$92, "0.00%)")</f>
        <v>520,195 KRW (32.33%)</v>
      </c>
      <c r="K4" s="217"/>
      <c r="L4" s="218"/>
      <c r="M4" s="216" t="str">
        <f ca="1" xml:space="preserve"> TEXT($O$92, "#,##0") &amp; " KRW (" &amp; TEXT($N$92, "0.00%)")</f>
        <v>237,412 KRW (14.75%)</v>
      </c>
      <c r="N4" s="217"/>
      <c r="O4" s="218"/>
    </row>
    <row r="5" spans="1:15" ht="16.5" customHeight="1">
      <c r="A5" s="281">
        <v>2</v>
      </c>
      <c r="B5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동전코인 Top20</v>
      </c>
      <c r="C5" s="212"/>
      <c r="D5" s="210" t="s">
        <v>291</v>
      </c>
      <c r="E5" s="211"/>
      <c r="F5" s="212"/>
      <c r="G5" s="210" t="s">
        <v>298</v>
      </c>
      <c r="H5" s="211"/>
      <c r="I5" s="212"/>
      <c r="J5" s="210" t="s">
        <v>305</v>
      </c>
      <c r="K5" s="211"/>
      <c r="L5" s="212"/>
      <c r="M5" s="210" t="s">
        <v>312</v>
      </c>
      <c r="N5" s="211"/>
      <c r="O5" s="212"/>
    </row>
    <row r="6" spans="1:15" ht="16.5" customHeight="1" thickBot="1">
      <c r="A6" s="282"/>
      <c r="B6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894,227 KRW (44.71%)</v>
      </c>
      <c r="C6" s="218"/>
      <c r="D6" s="216" t="str">
        <f ca="1" xml:space="preserve"> TEXT($F$130, "#,##0") &amp; " KRW (" &amp; TEXT($E$130, "0.00%)")</f>
        <v>978,753 KRW (48.94%)</v>
      </c>
      <c r="E6" s="217"/>
      <c r="F6" s="218"/>
      <c r="G6" s="216" t="str">
        <f ca="1" xml:space="preserve"> TEXT($I$130, "#,##0") &amp; " KRW (" &amp; TEXT($H$130, "0.00%)")</f>
        <v>875,151 KRW (43.76%)</v>
      </c>
      <c r="H6" s="217"/>
      <c r="I6" s="218"/>
      <c r="J6" s="216" t="str">
        <f ca="1" xml:space="preserve"> TEXT($L$130, "#,##0") &amp; " KRW (" &amp; TEXT($K$130, "0.00%)")</f>
        <v>894,227 KRW (44.71%)</v>
      </c>
      <c r="K6" s="217"/>
      <c r="L6" s="218"/>
      <c r="M6" s="216" t="str">
        <f ca="1" xml:space="preserve"> TEXT($O$130, "#,##0") &amp; " KRW (" &amp; TEXT($N$130, "0.00%)")</f>
        <v>567,153 KRW (28.36%)</v>
      </c>
      <c r="N6" s="217"/>
      <c r="O6" s="218"/>
    </row>
    <row r="7" spans="1:15" ht="16.5" customHeight="1">
      <c r="A7" s="281">
        <v>3</v>
      </c>
      <c r="B7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동전코인 Top20</v>
      </c>
      <c r="C7" s="212"/>
      <c r="D7" s="210" t="s">
        <v>292</v>
      </c>
      <c r="E7" s="211"/>
      <c r="F7" s="212"/>
      <c r="G7" s="210" t="s">
        <v>299</v>
      </c>
      <c r="H7" s="211"/>
      <c r="I7" s="212"/>
      <c r="J7" s="210" t="s">
        <v>306</v>
      </c>
      <c r="K7" s="211"/>
      <c r="L7" s="212"/>
      <c r="M7" s="210" t="s">
        <v>313</v>
      </c>
      <c r="N7" s="211"/>
      <c r="O7" s="212"/>
    </row>
    <row r="8" spans="1:15" ht="16.5" customHeight="1" thickBot="1">
      <c r="A8" s="282"/>
      <c r="B8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875,151 KRW (43.76%)</v>
      </c>
      <c r="C8" s="218"/>
      <c r="D8" s="216" t="str">
        <f ca="1" xml:space="preserve"> TEXT($F$206, "#,##0") &amp; " KRW (" &amp; TEXT($E$206, "0.00%)")</f>
        <v>481,131 KRW (29.90%)</v>
      </c>
      <c r="E8" s="217"/>
      <c r="F8" s="218"/>
      <c r="G8" s="216" t="str">
        <f ca="1" xml:space="preserve"> TEXT($I$206, "#,##0") &amp; " KRW (" &amp; TEXT($H$206, "0.00%)")</f>
        <v>526,402 KRW (32.71%)</v>
      </c>
      <c r="H8" s="217"/>
      <c r="I8" s="218"/>
      <c r="J8" s="216" t="str">
        <f ca="1" xml:space="preserve"> TEXT($L$206, "#,##0") &amp; " KRW (" &amp; TEXT($K$206, "0.00%)")</f>
        <v>520,195 KRW (32.33%)</v>
      </c>
      <c r="K8" s="217"/>
      <c r="L8" s="218"/>
      <c r="M8" s="216" t="str">
        <f ca="1" xml:space="preserve"> TEXT($O$206, "#,##0") &amp; " KRW (" &amp; TEXT($N$206, "0.00%)")</f>
        <v>237,412 KRW (14.75%)</v>
      </c>
      <c r="N8" s="217"/>
      <c r="O8" s="218"/>
    </row>
    <row r="9" spans="1:15" ht="16.5" customHeight="1">
      <c r="A9" s="281">
        <v>4</v>
      </c>
      <c r="B9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전일대비 상승률 Top20</v>
      </c>
      <c r="C9" s="212"/>
      <c r="D9" s="210" t="s">
        <v>293</v>
      </c>
      <c r="E9" s="211"/>
      <c r="F9" s="212"/>
      <c r="G9" s="210" t="s">
        <v>300</v>
      </c>
      <c r="H9" s="211"/>
      <c r="I9" s="212"/>
      <c r="J9" s="210" t="s">
        <v>307</v>
      </c>
      <c r="K9" s="211"/>
      <c r="L9" s="212"/>
      <c r="M9" s="210" t="s">
        <v>314</v>
      </c>
      <c r="N9" s="211"/>
      <c r="O9" s="212"/>
    </row>
    <row r="10" spans="1:15" ht="16.5" customHeight="1" thickBot="1">
      <c r="A10" s="282"/>
      <c r="B10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869,733 KRW (43.49%)</v>
      </c>
      <c r="C10" s="218"/>
      <c r="D10" s="216" t="str">
        <f ca="1" xml:space="preserve"> TEXT($F$244, "#,##0") &amp; " KRW (" &amp; TEXT($E$244, "0.00%)")</f>
        <v>482,401 KRW (24.12%)</v>
      </c>
      <c r="E10" s="217"/>
      <c r="F10" s="218"/>
      <c r="G10" s="216" t="str">
        <f ca="1" xml:space="preserve"> TEXT($I$244, "#,##0") &amp; " KRW (" &amp; TEXT($H$244, "0.00%)")</f>
        <v>462,914 KRW (23.15%)</v>
      </c>
      <c r="H10" s="217"/>
      <c r="I10" s="218"/>
      <c r="J10" s="216" t="str">
        <f ca="1" xml:space="preserve"> TEXT($L$244, "#,##0") &amp; " KRW (" &amp; TEXT($K$244, "0.00%)")</f>
        <v>532,344 KRW (26.62%)</v>
      </c>
      <c r="K10" s="217"/>
      <c r="L10" s="218"/>
      <c r="M10" s="216" t="str">
        <f ca="1" xml:space="preserve"> TEXT($O$244, "#,##0") &amp; " KRW (" &amp; TEXT($N$244, "0.00%)")</f>
        <v>233,779 KRW (11.69%)</v>
      </c>
      <c r="N10" s="217"/>
      <c r="O10" s="218"/>
    </row>
    <row r="11" spans="1:15" ht="16.5" customHeight="1">
      <c r="A11" s="281">
        <v>5</v>
      </c>
      <c r="B11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전일대비 상승률 Top20</v>
      </c>
      <c r="C11" s="212"/>
      <c r="D11" s="210" t="s">
        <v>294</v>
      </c>
      <c r="E11" s="211"/>
      <c r="F11" s="212"/>
      <c r="G11" s="210" t="s">
        <v>301</v>
      </c>
      <c r="H11" s="211"/>
      <c r="I11" s="212"/>
      <c r="J11" s="210" t="s">
        <v>308</v>
      </c>
      <c r="K11" s="211"/>
      <c r="L11" s="212"/>
      <c r="M11" s="210" t="s">
        <v>315</v>
      </c>
      <c r="N11" s="211"/>
      <c r="O11" s="212"/>
    </row>
    <row r="12" spans="1:15" ht="16.5" customHeight="1" thickBot="1">
      <c r="A12" s="282"/>
      <c r="B12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731,022 KRW (36.55%)</v>
      </c>
      <c r="C12" s="218"/>
      <c r="D12" s="216" t="str">
        <f ca="1" xml:space="preserve"> TEXT($F$168, "#,##0") &amp; " KRW (" &amp; TEXT($E$168, "0.00%)")</f>
        <v>869,733 KRW (43.49%)</v>
      </c>
      <c r="E12" s="217"/>
      <c r="F12" s="218"/>
      <c r="G12" s="216" t="str">
        <f ca="1" xml:space="preserve"> TEXT($I$168, "#,##0") &amp; " KRW (" &amp; TEXT($H$168, "0.00%)")</f>
        <v>731,022 KRW (36.55%)</v>
      </c>
      <c r="H12" s="217"/>
      <c r="I12" s="218"/>
      <c r="J12" s="216" t="str">
        <f ca="1" xml:space="preserve"> TEXT($L$168, "#,##0") &amp; " KRW (" &amp; TEXT($K$168, "0.00%)")</f>
        <v>720,072 KRW (36.00%)</v>
      </c>
      <c r="K12" s="217"/>
      <c r="L12" s="218"/>
      <c r="M12" s="216" t="str">
        <f ca="1" xml:space="preserve"> TEXT($O$168, "#,##0") &amp; " KRW (" &amp; TEXT($N$168, "0.00%)")</f>
        <v>352,720 KRW (17.64%)</v>
      </c>
      <c r="N12" s="217"/>
      <c r="O12" s="218"/>
    </row>
    <row r="13" spans="1:15" ht="16.5" customHeight="1">
      <c r="A13" s="281">
        <v>6</v>
      </c>
      <c r="B13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전일대비 상승률 Top20</v>
      </c>
      <c r="C13" s="212"/>
      <c r="D13" s="210" t="s">
        <v>295</v>
      </c>
      <c r="E13" s="211"/>
      <c r="F13" s="212"/>
      <c r="G13" s="210" t="s">
        <v>302</v>
      </c>
      <c r="H13" s="211"/>
      <c r="I13" s="212"/>
      <c r="J13" s="210" t="s">
        <v>309</v>
      </c>
      <c r="K13" s="211"/>
      <c r="L13" s="212"/>
      <c r="M13" s="210" t="s">
        <v>316</v>
      </c>
      <c r="N13" s="211"/>
      <c r="O13" s="212"/>
    </row>
    <row r="14" spans="1:15" ht="16.5" customHeight="1" thickBot="1">
      <c r="A14" s="282"/>
      <c r="B14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720,072 KRW (36.00%)</v>
      </c>
      <c r="C14" s="218"/>
      <c r="D14" s="216" t="str">
        <f ca="1" xml:space="preserve"> TEXT($F$282, "#,##0") &amp; " KRW (" &amp; TEXT($E$282, "0.00%)")</f>
        <v>231,378 KRW (11.57%)</v>
      </c>
      <c r="E14" s="217"/>
      <c r="F14" s="218"/>
      <c r="G14" s="216" t="str">
        <f ca="1" xml:space="preserve"> TEXT($I$282, "#,##0") &amp; " KRW (" &amp; TEXT($H$282, "0.00%)")</f>
        <v>206,088 KRW (10.30%)</v>
      </c>
      <c r="H14" s="217"/>
      <c r="I14" s="218"/>
      <c r="J14" s="216" t="str">
        <f ca="1" xml:space="preserve"> TEXT($L$282, "#,##0") &amp; " KRW (" &amp; TEXT($K$282, "0.00%)")</f>
        <v>248,285 KRW (12.41%)</v>
      </c>
      <c r="K14" s="217"/>
      <c r="L14" s="218"/>
      <c r="M14" s="216" t="str">
        <f ca="1" xml:space="preserve"> TEXT($O$282, "#,##0") &amp; " KRW (" &amp; TEXT($N$282, "0.00%)")</f>
        <v>49,556 KRW (2.48%)</v>
      </c>
      <c r="N14" s="217"/>
      <c r="O14" s="218"/>
    </row>
    <row r="15" spans="1:15" ht="16.5" customHeight="1">
      <c r="A15" s="281">
        <v>7</v>
      </c>
      <c r="B15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동전코인 Top20</v>
      </c>
      <c r="C15" s="212"/>
      <c r="D15" s="210" t="s">
        <v>296</v>
      </c>
      <c r="E15" s="211"/>
      <c r="F15" s="212"/>
      <c r="G15" s="210" t="s">
        <v>303</v>
      </c>
      <c r="H15" s="211"/>
      <c r="I15" s="212"/>
      <c r="J15" s="210" t="s">
        <v>310</v>
      </c>
      <c r="K15" s="211"/>
      <c r="L15" s="212"/>
      <c r="M15" s="210" t="s">
        <v>317</v>
      </c>
      <c r="N15" s="211"/>
      <c r="O15" s="212"/>
    </row>
    <row r="16" spans="1:15" ht="16.5" customHeight="1" thickBot="1">
      <c r="A16" s="282"/>
      <c r="B16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567,153 KRW (28.36%)</v>
      </c>
      <c r="C16" s="218"/>
      <c r="D16" s="216" t="str">
        <f ca="1" xml:space="preserve"> TEXT($F$54, "#,##0") &amp; " KRW (" &amp; TEXT($E$54, "0.00%)")</f>
        <v>0 KRW (0.00%)</v>
      </c>
      <c r="E16" s="217"/>
      <c r="F16" s="218"/>
      <c r="G16" s="216" t="str">
        <f ca="1" xml:space="preserve"> TEXT($I$54, "#,##0") &amp; " KRW (" &amp; TEXT($H$54, "0.00%)")</f>
        <v>0 KRW (0.00%)</v>
      </c>
      <c r="H16" s="217"/>
      <c r="I16" s="218"/>
      <c r="J16" s="216" t="str">
        <f ca="1" xml:space="preserve"> TEXT($L$54, "#,##0") &amp; " KRW (" &amp; TEXT($K$54, "0.00%)")</f>
        <v>0 KRW (0.00%)</v>
      </c>
      <c r="K16" s="217"/>
      <c r="L16" s="218"/>
      <c r="M16" s="216" t="str">
        <f ca="1" xml:space="preserve"> TEXT($O$54, "#,##0") &amp; " KRW (" &amp; TEXT($N$54, "0.00%)")</f>
        <v>0 KRW (0.00%)</v>
      </c>
      <c r="N16" s="217"/>
      <c r="O16" s="218"/>
    </row>
    <row r="18" spans="1:15" ht="16.5" customHeight="1" thickBot="1"/>
    <row r="19" spans="1:15" ht="16.5" customHeight="1" thickBot="1">
      <c r="A19" s="201" t="str">
        <f>TEXT(투자전략!$G$1, "[$-ko-KR]yyyy년 mm월 ") &amp; "실거래 월말결산"</f>
        <v>2021년 09월 실거래 월말결산</v>
      </c>
      <c r="B19" s="202"/>
      <c r="C19" s="202"/>
      <c r="D19" s="202"/>
      <c r="E19" s="202"/>
      <c r="F19" s="202"/>
      <c r="G19" s="202"/>
      <c r="H19" s="202"/>
      <c r="I19" s="202"/>
      <c r="J19" s="202"/>
      <c r="K19" s="202"/>
      <c r="L19" s="202"/>
      <c r="M19" s="202"/>
      <c r="N19" s="202"/>
      <c r="O19" s="203"/>
    </row>
    <row r="20" spans="1:15" ht="16.5" customHeight="1" thickBot="1">
      <c r="A20" s="262" t="s">
        <v>284</v>
      </c>
      <c r="B20" s="216" t="s">
        <v>282</v>
      </c>
      <c r="C20" s="218"/>
      <c r="D20" s="216" t="s">
        <v>274</v>
      </c>
      <c r="E20" s="217"/>
      <c r="F20" s="218"/>
      <c r="G20" s="216" t="s">
        <v>275</v>
      </c>
      <c r="H20" s="217"/>
      <c r="I20" s="218"/>
      <c r="J20" s="216" t="s">
        <v>276</v>
      </c>
      <c r="K20" s="217"/>
      <c r="L20" s="218"/>
      <c r="M20" s="216" t="s">
        <v>277</v>
      </c>
      <c r="N20" s="217"/>
      <c r="O20" s="218"/>
    </row>
    <row r="21" spans="1:15" ht="16.5" customHeight="1" thickBot="1">
      <c r="A21" s="266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2021.09.01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2021.09.02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2021.09.03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2021.09.04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2021.09.05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2021.09.06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2021.09.07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2021.09.08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2021.09.09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2021.09.10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2021.09.11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2021.09.12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2021.09.13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2021.09.14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2021.09.15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2021.09.16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2021.09.17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2021.09.18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2021.09.19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2021.09.20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2021.09.21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2021.09.22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2021.09.23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2021.09.24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2021.09.25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2021.09.26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2021.09.27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2021.09.28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2021.09.29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2021.09.30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10" t="s">
        <v>283</v>
      </c>
      <c r="B53" s="212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16"/>
      <c r="B54" s="218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01" t="str">
        <f>TEXT(투자전략!$G$1, "[$-ko-KR]yyyy년 mm월 ") &amp; "[엽전코인] 전일대비 상승률 Top20 월말결산"</f>
        <v>2021년 09월 [엽전코인] 전일대비 상승률 Top20 월말결산</v>
      </c>
      <c r="B57" s="202"/>
      <c r="C57" s="202"/>
      <c r="D57" s="202"/>
      <c r="E57" s="202"/>
      <c r="F57" s="202"/>
      <c r="G57" s="202"/>
      <c r="H57" s="202"/>
      <c r="I57" s="202"/>
      <c r="J57" s="202"/>
      <c r="K57" s="202"/>
      <c r="L57" s="202"/>
      <c r="M57" s="202"/>
      <c r="N57" s="202"/>
      <c r="O57" s="203"/>
    </row>
    <row r="58" spans="1:15" ht="16.5" customHeight="1" thickBot="1">
      <c r="A58" s="262" t="s">
        <v>284</v>
      </c>
      <c r="B58" s="216" t="s">
        <v>282</v>
      </c>
      <c r="C58" s="218"/>
      <c r="D58" s="216" t="s">
        <v>274</v>
      </c>
      <c r="E58" s="217"/>
      <c r="F58" s="218"/>
      <c r="G58" s="216" t="s">
        <v>275</v>
      </c>
      <c r="H58" s="217"/>
      <c r="I58" s="218"/>
      <c r="J58" s="216" t="s">
        <v>276</v>
      </c>
      <c r="K58" s="217"/>
      <c r="L58" s="218"/>
      <c r="M58" s="216" t="s">
        <v>277</v>
      </c>
      <c r="N58" s="217"/>
      <c r="O58" s="218"/>
    </row>
    <row r="59" spans="1:15" ht="16.5" customHeight="1" thickBot="1">
      <c r="A59" s="266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2021.09.01</v>
      </c>
      <c r="C60" s="134">
        <f ca="1">IFERROR(COUNTA(INDIRECT($B60&amp;"!A44:A63")) * INDIRECT($B60&amp;"!B64"), "")</f>
        <v>1700000</v>
      </c>
      <c r="D60" s="142">
        <f ca="1">IFERROR($C60 * (1 + E60), "")</f>
        <v>1733291.8626538999</v>
      </c>
      <c r="E60" s="76">
        <f ca="1">IFERROR(INDIRECT($B60&amp;"!E64"), "")</f>
        <v>1.9583448619941168E-2</v>
      </c>
      <c r="F60" s="141">
        <f ca="1">IFERROR(INDIRECT($B60&amp;"!F64"), "")</f>
        <v>33291.862653899989</v>
      </c>
      <c r="G60" s="142">
        <f ca="1">IFERROR($C60 * (1 + H60), "")</f>
        <v>1833534.6945913995</v>
      </c>
      <c r="H60" s="76">
        <f ca="1">IFERROR(INDIRECT($B60&amp;"!H64"), "")</f>
        <v>7.8549820347881952E-2</v>
      </c>
      <c r="I60" s="141">
        <f ca="1">IFERROR(INDIRECT($B60&amp;"!I64"), "")</f>
        <v>133534.69459139931</v>
      </c>
      <c r="J60" s="142">
        <f ca="1">IFERROR($C60 * (1 + K60), "")</f>
        <v>1811760.4124033859</v>
      </c>
      <c r="K60" s="76">
        <f ca="1">IFERROR(INDIRECT($B60&amp;"!K64"), "")</f>
        <v>6.5741419060815168E-2</v>
      </c>
      <c r="L60" s="141">
        <f ca="1">IFERROR(INDIRECT($B60&amp;"!L64"), "")</f>
        <v>111760.4124033858</v>
      </c>
      <c r="M60" s="142">
        <f ca="1">IFERROR($C60 * (1 + N60), "")</f>
        <v>1796004.1924465848</v>
      </c>
      <c r="N60" s="76">
        <f ca="1">IFERROR(INDIRECT($B60&amp;"!N64"), "")</f>
        <v>5.6473054380343897E-2</v>
      </c>
      <c r="O60" s="141">
        <f ca="1">IFERROR(INDIRECT($B60&amp;"!O64"), "")</f>
        <v>96004.19244658461</v>
      </c>
    </row>
    <row r="61" spans="1:15" ht="16.5" customHeight="1">
      <c r="A61" s="153">
        <v>2</v>
      </c>
      <c r="B61" s="153" t="str">
        <f>TEXT(투자전략!$G$1+1, "[$-ko-KR]yyyy.mm.dd")</f>
        <v>2021.09.02</v>
      </c>
      <c r="C61" s="135">
        <f t="shared" ref="C61:C90" ca="1" si="13">IFERROR(COUNTA(INDIRECT($B61&amp;"!A44:A63")) * INDIRECT($B61&amp;"!B64"), "")</f>
        <v>1700000</v>
      </c>
      <c r="D61" s="139">
        <f t="shared" ref="D61:D90" ca="1" si="14">IFERROR($C61 * (1 + E61), "")</f>
        <v>1736758.7017872678</v>
      </c>
      <c r="E61" s="77">
        <f t="shared" ref="E61:E90" ca="1" si="15">IFERROR(INDIRECT($B61&amp;"!E64"), "")</f>
        <v>2.1622765757216306E-2</v>
      </c>
      <c r="F61" s="137">
        <f t="shared" ref="F61:F90" ca="1" si="16">IFERROR(INDIRECT($B61&amp;"!F64"), "")</f>
        <v>36758.70178726771</v>
      </c>
      <c r="G61" s="139">
        <f t="shared" ref="G61:G90" ca="1" si="17">IFERROR($C61 * (1 + H61), "")</f>
        <v>1746788.5735212532</v>
      </c>
      <c r="H61" s="77">
        <f t="shared" ref="H61:H90" ca="1" si="18">IFERROR(INDIRECT($B61&amp;"!H64"), "")</f>
        <v>2.7522690306619434E-2</v>
      </c>
      <c r="I61" s="137">
        <f t="shared" ref="I61:I90" ca="1" si="19">IFERROR(INDIRECT($B61&amp;"!I64"), "")</f>
        <v>46788.573521253042</v>
      </c>
      <c r="J61" s="139">
        <f t="shared" ref="J61:J90" ca="1" si="20">IFERROR($C61 * (1 + K61), "")</f>
        <v>1758796.7725073465</v>
      </c>
      <c r="K61" s="77">
        <f t="shared" ref="K61:K90" ca="1" si="21">IFERROR(INDIRECT($B61&amp;"!K64"), "")</f>
        <v>3.4586336769027295E-2</v>
      </c>
      <c r="L61" s="137">
        <f t="shared" ref="L61:L90" ca="1" si="22">IFERROR(INDIRECT($B61&amp;"!L64"), "")</f>
        <v>58796.772507346395</v>
      </c>
      <c r="M61" s="139">
        <f t="shared" ref="M61:M90" ca="1" si="23">IFERROR($C61 * (1 + N61), "")</f>
        <v>1733743.0985039275</v>
      </c>
      <c r="N61" s="77">
        <f t="shared" ref="N61:N90" ca="1" si="24">IFERROR(INDIRECT($B61&amp;"!N64"), "")</f>
        <v>1.9848881472898473E-2</v>
      </c>
      <c r="O61" s="137">
        <f t="shared" ref="O61:O90" ca="1" si="25">IFERROR(INDIRECT($B61&amp;"!O64"), "")</f>
        <v>33743.098503927409</v>
      </c>
    </row>
    <row r="62" spans="1:15" ht="16.5" customHeight="1">
      <c r="A62" s="153">
        <v>3</v>
      </c>
      <c r="B62" s="153" t="str">
        <f>TEXT(투자전략!$G$1+2, "[$-ko-KR]yyyy.mm.dd")</f>
        <v>2021.09.03</v>
      </c>
      <c r="C62" s="135">
        <f t="shared" ca="1" si="13"/>
        <v>1700000</v>
      </c>
      <c r="D62" s="139">
        <f t="shared" ca="1" si="14"/>
        <v>1721202.1173712069</v>
      </c>
      <c r="E62" s="77">
        <f t="shared" ca="1" si="15"/>
        <v>1.2471833747768647E-2</v>
      </c>
      <c r="F62" s="137">
        <f t="shared" ca="1" si="16"/>
        <v>21202.117371206696</v>
      </c>
      <c r="G62" s="139">
        <f t="shared" ca="1" si="17"/>
        <v>1741444.1811495631</v>
      </c>
      <c r="H62" s="77">
        <f t="shared" ca="1" si="18"/>
        <v>2.4378930087978156E-2</v>
      </c>
      <c r="I62" s="137">
        <f t="shared" ca="1" si="19"/>
        <v>41444.181149562857</v>
      </c>
      <c r="J62" s="139">
        <f t="shared" ca="1" si="20"/>
        <v>1743859.3105802843</v>
      </c>
      <c r="K62" s="77">
        <f t="shared" ca="1" si="21"/>
        <v>2.5799594458990764E-2</v>
      </c>
      <c r="L62" s="137">
        <f t="shared" ca="1" si="22"/>
        <v>43859.310580284298</v>
      </c>
      <c r="M62" s="139">
        <f t="shared" ca="1" si="23"/>
        <v>1747400.9691209516</v>
      </c>
      <c r="N62" s="77">
        <f t="shared" ca="1" si="24"/>
        <v>2.7882923012324555E-2</v>
      </c>
      <c r="O62" s="137">
        <f t="shared" ca="1" si="25"/>
        <v>47400.969120951755</v>
      </c>
    </row>
    <row r="63" spans="1:15" ht="16.5" customHeight="1">
      <c r="A63" s="153">
        <v>4</v>
      </c>
      <c r="B63" s="153" t="str">
        <f>TEXT(투자전략!$G$1+3, "[$-ko-KR]yyyy.mm.dd")</f>
        <v>2021.09.04</v>
      </c>
      <c r="C63" s="135">
        <f t="shared" ca="1" si="13"/>
        <v>1600000</v>
      </c>
      <c r="D63" s="139">
        <f t="shared" ca="1" si="14"/>
        <v>1711159.2651843508</v>
      </c>
      <c r="E63" s="77">
        <f t="shared" ca="1" si="15"/>
        <v>6.9474540740219359E-2</v>
      </c>
      <c r="F63" s="137">
        <f t="shared" ca="1" si="16"/>
        <v>111159.26518435098</v>
      </c>
      <c r="G63" s="139">
        <f t="shared" ca="1" si="17"/>
        <v>1782632.5097885884</v>
      </c>
      <c r="H63" s="77">
        <f t="shared" ca="1" si="18"/>
        <v>0.11414531861786774</v>
      </c>
      <c r="I63" s="137">
        <f t="shared" ca="1" si="19"/>
        <v>182632.50978858842</v>
      </c>
      <c r="J63" s="139">
        <f t="shared" ca="1" si="20"/>
        <v>1718306.8433823313</v>
      </c>
      <c r="K63" s="77">
        <f t="shared" ca="1" si="21"/>
        <v>7.3941777113957025E-2</v>
      </c>
      <c r="L63" s="137">
        <f t="shared" ca="1" si="22"/>
        <v>118306.84338233124</v>
      </c>
      <c r="M63" s="139">
        <f t="shared" ca="1" si="23"/>
        <v>1742415.3707727757</v>
      </c>
      <c r="N63" s="77">
        <f t="shared" ca="1" si="24"/>
        <v>8.9009606732984803E-2</v>
      </c>
      <c r="O63" s="137">
        <f t="shared" ca="1" si="25"/>
        <v>142415.3707727757</v>
      </c>
    </row>
    <row r="64" spans="1:15" ht="16.5" customHeight="1">
      <c r="A64" s="153">
        <v>5</v>
      </c>
      <c r="B64" s="153" t="str">
        <f>TEXT(투자전략!$G$1+4, "[$-ko-KR]yyyy.mm.dd")</f>
        <v>2021.09.05</v>
      </c>
      <c r="C64" s="135">
        <f t="shared" ca="1" si="13"/>
        <v>1500000</v>
      </c>
      <c r="D64" s="139">
        <f t="shared" ca="1" si="14"/>
        <v>1623719.2125597408</v>
      </c>
      <c r="E64" s="77">
        <f t="shared" ca="1" si="15"/>
        <v>8.2479475039827249E-2</v>
      </c>
      <c r="F64" s="137">
        <f t="shared" ca="1" si="16"/>
        <v>123719.21255974089</v>
      </c>
      <c r="G64" s="139">
        <f t="shared" ca="1" si="17"/>
        <v>1633912.8010124592</v>
      </c>
      <c r="H64" s="77">
        <f t="shared" ca="1" si="18"/>
        <v>8.9275200674972952E-2</v>
      </c>
      <c r="I64" s="137">
        <f t="shared" ca="1" si="19"/>
        <v>133912.80101245944</v>
      </c>
      <c r="J64" s="139">
        <f t="shared" ca="1" si="20"/>
        <v>1638660.4224978937</v>
      </c>
      <c r="K64" s="77">
        <f t="shared" ca="1" si="21"/>
        <v>9.2440281665262525E-2</v>
      </c>
      <c r="L64" s="137">
        <f t="shared" ca="1" si="22"/>
        <v>138660.4224978938</v>
      </c>
      <c r="M64" s="139">
        <f t="shared" ca="1" si="23"/>
        <v>1581940.0581297958</v>
      </c>
      <c r="N64" s="77">
        <f t="shared" ca="1" si="24"/>
        <v>5.4626705419863829E-2</v>
      </c>
      <c r="O64" s="137">
        <f t="shared" ca="1" si="25"/>
        <v>81940.05812979574</v>
      </c>
    </row>
    <row r="65" spans="1:15" ht="16.5" customHeight="1">
      <c r="A65" s="153">
        <v>6</v>
      </c>
      <c r="B65" s="153" t="str">
        <f>TEXT(투자전략!$G$1+5, "[$-ko-KR]yyyy.mm.dd")</f>
        <v>2021.09.06</v>
      </c>
      <c r="C65" s="135">
        <f t="shared" ca="1" si="13"/>
        <v>1400000</v>
      </c>
      <c r="D65" s="139">
        <f t="shared" ca="1" si="14"/>
        <v>1400819.109810133</v>
      </c>
      <c r="E65" s="77">
        <f t="shared" ca="1" si="15"/>
        <v>5.8507843580929517E-4</v>
      </c>
      <c r="F65" s="137">
        <f t="shared" ca="1" si="16"/>
        <v>819.10981013301398</v>
      </c>
      <c r="G65" s="139">
        <f t="shared" ca="1" si="17"/>
        <v>1380083.0744764647</v>
      </c>
      <c r="H65" s="77">
        <f t="shared" ca="1" si="18"/>
        <v>-1.4226375373953737E-2</v>
      </c>
      <c r="I65" s="137">
        <f t="shared" ca="1" si="19"/>
        <v>-19916.925523535232</v>
      </c>
      <c r="J65" s="139">
        <f t="shared" ca="1" si="20"/>
        <v>1341028.7341923963</v>
      </c>
      <c r="K65" s="77">
        <f t="shared" ca="1" si="21"/>
        <v>-4.2122332719717007E-2</v>
      </c>
      <c r="L65" s="137">
        <f t="shared" ca="1" si="22"/>
        <v>-58971.265807603813</v>
      </c>
      <c r="M65" s="139">
        <f t="shared" ca="1" si="23"/>
        <v>1368999.7810305515</v>
      </c>
      <c r="N65" s="77">
        <f t="shared" ca="1" si="24"/>
        <v>-2.2143013549606107E-2</v>
      </c>
      <c r="O65" s="137">
        <f t="shared" ca="1" si="25"/>
        <v>-31000.21896944855</v>
      </c>
    </row>
    <row r="66" spans="1:15" ht="16.5" customHeight="1" thickBot="1">
      <c r="A66" s="155">
        <v>7</v>
      </c>
      <c r="B66" s="155" t="str">
        <f>TEXT(투자전략!$G$1+6, "[$-ko-KR]yyyy.mm.dd")</f>
        <v>2021.09.07</v>
      </c>
      <c r="C66" s="135">
        <f t="shared" ca="1" si="13"/>
        <v>1400000</v>
      </c>
      <c r="D66" s="139">
        <f t="shared" ca="1" si="14"/>
        <v>1401420.3920765119</v>
      </c>
      <c r="E66" s="77">
        <f t="shared" ca="1" si="15"/>
        <v>1.0145657689371046E-3</v>
      </c>
      <c r="F66" s="137">
        <f t="shared" ca="1" si="16"/>
        <v>1420.3920765119465</v>
      </c>
      <c r="G66" s="139">
        <f t="shared" ca="1" si="17"/>
        <v>1335836.6411713152</v>
      </c>
      <c r="H66" s="77">
        <f t="shared" ca="1" si="18"/>
        <v>-4.583097059191777E-2</v>
      </c>
      <c r="I66" s="137">
        <f t="shared" ca="1" si="19"/>
        <v>-64163.358828684875</v>
      </c>
      <c r="J66" s="139">
        <f t="shared" ca="1" si="20"/>
        <v>1344181.1566962199</v>
      </c>
      <c r="K66" s="77">
        <f t="shared" ca="1" si="21"/>
        <v>-3.9870602359842806E-2</v>
      </c>
      <c r="L66" s="137">
        <f t="shared" ca="1" si="22"/>
        <v>-55818.843303779911</v>
      </c>
      <c r="M66" s="139">
        <f t="shared" ca="1" si="23"/>
        <v>1216456.4249767708</v>
      </c>
      <c r="N66" s="77">
        <f t="shared" ca="1" si="24"/>
        <v>-0.13110255358802084</v>
      </c>
      <c r="O66" s="137">
        <f t="shared" ca="1" si="25"/>
        <v>-183543.5750232292</v>
      </c>
    </row>
    <row r="67" spans="1:15" ht="16.5" customHeight="1">
      <c r="A67" s="154">
        <v>8</v>
      </c>
      <c r="B67" s="154" t="str">
        <f>TEXT(투자전략!$G$1+7, "[$-ko-KR]yyyy.mm.dd")</f>
        <v>2021.09.08</v>
      </c>
      <c r="C67" s="134">
        <f t="shared" ca="1" si="13"/>
        <v>1700000</v>
      </c>
      <c r="D67" s="142">
        <f t="shared" ca="1" si="14"/>
        <v>1649061.8066034061</v>
      </c>
      <c r="E67" s="76">
        <f t="shared" ca="1" si="15"/>
        <v>-2.9963643174466943E-2</v>
      </c>
      <c r="F67" s="141">
        <f t="shared" ca="1" si="16"/>
        <v>-50938.193396593808</v>
      </c>
      <c r="G67" s="142">
        <f t="shared" ca="1" si="17"/>
        <v>1593927.6672694979</v>
      </c>
      <c r="H67" s="76">
        <f t="shared" ca="1" si="18"/>
        <v>-6.2395489841471807E-2</v>
      </c>
      <c r="I67" s="141">
        <f t="shared" ca="1" si="19"/>
        <v>-106072.33273050206</v>
      </c>
      <c r="J67" s="142">
        <f t="shared" ca="1" si="20"/>
        <v>1650626.936261391</v>
      </c>
      <c r="K67" s="76">
        <f t="shared" ca="1" si="21"/>
        <v>-2.9042978669769962E-2</v>
      </c>
      <c r="L67" s="141">
        <f t="shared" ca="1" si="22"/>
        <v>-49373.063738608937</v>
      </c>
      <c r="M67" s="142">
        <f t="shared" ca="1" si="23"/>
        <v>1615868.1779961148</v>
      </c>
      <c r="N67" s="76">
        <f t="shared" ca="1" si="24"/>
        <v>-4.948930706110892E-2</v>
      </c>
      <c r="O67" s="141">
        <f t="shared" ca="1" si="25"/>
        <v>-84131.822003885172</v>
      </c>
    </row>
    <row r="68" spans="1:15" ht="16.5" customHeight="1">
      <c r="A68" s="153">
        <v>9</v>
      </c>
      <c r="B68" s="153" t="str">
        <f>TEXT(투자전략!$G$1+8, "[$-ko-KR]yyyy.mm.dd")</f>
        <v>2021.09.09</v>
      </c>
      <c r="C68" s="135">
        <f t="shared" ca="1" si="13"/>
        <v>1700000</v>
      </c>
      <c r="D68" s="139">
        <f t="shared" ca="1" si="14"/>
        <v>1847982.1597450376</v>
      </c>
      <c r="E68" s="77">
        <f t="shared" ca="1" si="15"/>
        <v>8.704832926178678E-2</v>
      </c>
      <c r="F68" s="137">
        <f t="shared" ca="1" si="16"/>
        <v>147982.15974503756</v>
      </c>
      <c r="G68" s="139">
        <f t="shared" ca="1" si="17"/>
        <v>1879757.8193615505</v>
      </c>
      <c r="H68" s="77">
        <f t="shared" ca="1" si="18"/>
        <v>0.1057398937420887</v>
      </c>
      <c r="I68" s="137">
        <f t="shared" ca="1" si="19"/>
        <v>179757.81936155079</v>
      </c>
      <c r="J68" s="139">
        <f t="shared" ca="1" si="20"/>
        <v>1900439.2615120506</v>
      </c>
      <c r="K68" s="77">
        <f t="shared" ca="1" si="21"/>
        <v>0.1179054479482651</v>
      </c>
      <c r="L68" s="137">
        <f t="shared" ca="1" si="22"/>
        <v>200439.26151205067</v>
      </c>
      <c r="M68" s="139">
        <f t="shared" ca="1" si="23"/>
        <v>1906289.4951082671</v>
      </c>
      <c r="N68" s="77">
        <f t="shared" ca="1" si="24"/>
        <v>0.12134676182839238</v>
      </c>
      <c r="O68" s="137">
        <f t="shared" ca="1" si="25"/>
        <v>206289.49510826709</v>
      </c>
    </row>
    <row r="69" spans="1:15" ht="16.5" customHeight="1">
      <c r="A69" s="153">
        <v>10</v>
      </c>
      <c r="B69" s="153" t="str">
        <f>TEXT(투자전략!$G$1+9, "[$-ko-KR]yyyy.mm.dd")</f>
        <v>2021.09.10</v>
      </c>
      <c r="C69" s="135">
        <f t="shared" ca="1" si="13"/>
        <v>1600000</v>
      </c>
      <c r="D69" s="139">
        <f t="shared" ca="1" si="14"/>
        <v>1641981.7692109526</v>
      </c>
      <c r="E69" s="77">
        <f t="shared" ca="1" si="15"/>
        <v>2.6238605756845407E-2</v>
      </c>
      <c r="F69" s="137">
        <f t="shared" ca="1" si="16"/>
        <v>41981.769210952654</v>
      </c>
      <c r="G69" s="139">
        <f t="shared" ca="1" si="17"/>
        <v>1576372.5095657571</v>
      </c>
      <c r="H69" s="77">
        <f t="shared" ca="1" si="18"/>
        <v>-1.4767181521401719E-2</v>
      </c>
      <c r="I69" s="137">
        <f t="shared" ca="1" si="19"/>
        <v>-23627.490434242747</v>
      </c>
      <c r="J69" s="139">
        <f t="shared" ca="1" si="20"/>
        <v>1590609.1107057447</v>
      </c>
      <c r="K69" s="77">
        <f t="shared" ca="1" si="21"/>
        <v>-5.8693058089095045E-3</v>
      </c>
      <c r="L69" s="137">
        <f t="shared" ca="1" si="22"/>
        <v>-9390.8892942552102</v>
      </c>
      <c r="M69" s="139">
        <f t="shared" ca="1" si="23"/>
        <v>1528294.6061561699</v>
      </c>
      <c r="N69" s="77">
        <f t="shared" ca="1" si="24"/>
        <v>-4.4815871152393778E-2</v>
      </c>
      <c r="O69" s="137">
        <f t="shared" ca="1" si="25"/>
        <v>-71705.393843830054</v>
      </c>
    </row>
    <row r="70" spans="1:15" ht="16.5" customHeight="1">
      <c r="A70" s="153">
        <v>11</v>
      </c>
      <c r="B70" s="153" t="str">
        <f>TEXT(투자전략!$G$1+10, "[$-ko-KR]yyyy.mm.dd")</f>
        <v>2021.09.11</v>
      </c>
      <c r="C70" s="135">
        <f t="shared" ca="1" si="13"/>
        <v>1700000</v>
      </c>
      <c r="D70" s="139">
        <f t="shared" ca="1" si="14"/>
        <v>1713734.1601792632</v>
      </c>
      <c r="E70" s="77">
        <f t="shared" ca="1" si="15"/>
        <v>8.078917752507752E-3</v>
      </c>
      <c r="F70" s="137">
        <f t="shared" ca="1" si="16"/>
        <v>13734.160179263177</v>
      </c>
      <c r="G70" s="139">
        <f t="shared" ca="1" si="17"/>
        <v>1722111.566875462</v>
      </c>
      <c r="H70" s="77">
        <f t="shared" ca="1" si="18"/>
        <v>1.3006804044389378E-2</v>
      </c>
      <c r="I70" s="137">
        <f t="shared" ca="1" si="19"/>
        <v>22111.56687546194</v>
      </c>
      <c r="J70" s="139">
        <f t="shared" ca="1" si="20"/>
        <v>1721926.5153961151</v>
      </c>
      <c r="K70" s="77">
        <f t="shared" ca="1" si="21"/>
        <v>1.2897950233008874E-2</v>
      </c>
      <c r="L70" s="137">
        <f t="shared" ca="1" si="22"/>
        <v>21926.515396115083</v>
      </c>
      <c r="M70" s="139">
        <f t="shared" ca="1" si="23"/>
        <v>1700000</v>
      </c>
      <c r="N70" s="77">
        <f t="shared" ca="1" si="24"/>
        <v>0</v>
      </c>
      <c r="O70" s="137">
        <f t="shared" ca="1" si="25"/>
        <v>0</v>
      </c>
    </row>
    <row r="71" spans="1:15" ht="16.5" customHeight="1">
      <c r="A71" s="153">
        <v>12</v>
      </c>
      <c r="B71" s="153" t="str">
        <f>TEXT(투자전략!$G$1+11, "[$-ko-KR]yyyy.mm.dd")</f>
        <v>2021.09.12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2021.09.13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2021.09.14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2021.09.15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2021.09.16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2021.09.17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2021.09.18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2021.09.19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2021.09.20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2021.09.21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2021.09.22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2021.09.23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2021.09.24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2021.09.25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2021.09.26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2021.09.27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2021.09.28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2021.09.29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2021.09.30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10" t="s">
        <v>283</v>
      </c>
      <c r="B91" s="212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16"/>
      <c r="B92" s="218"/>
      <c r="C92" s="136">
        <f ca="1">SUM(C60:C90)</f>
        <v>17700000</v>
      </c>
      <c r="D92" s="140">
        <f ca="1">SUM(D60:D90)</f>
        <v>18181130.557181772</v>
      </c>
      <c r="E92" s="79">
        <f ca="1">IFERROR(F92 / (SUM($C60:$C90) / COUNT($C60:$C90)), 0)</f>
        <v>0.29900769090392532</v>
      </c>
      <c r="F92" s="138">
        <f ca="1">SUM(F60:F90)</f>
        <v>481130.55718177074</v>
      </c>
      <c r="G92" s="140">
        <f ca="1">SUM(G60:G90)</f>
        <v>18226402.038783316</v>
      </c>
      <c r="H92" s="79">
        <f ca="1">IFERROR(I92 / (SUM($C60:$C90) / COUNT($C60:$C90)), 0)</f>
        <v>0.32714250997832878</v>
      </c>
      <c r="I92" s="138">
        <f ca="1">SUM(I60:I90)</f>
        <v>526402.03878331091</v>
      </c>
      <c r="J92" s="140">
        <f ca="1">SUM(J60:J90)</f>
        <v>18220195.476135157</v>
      </c>
      <c r="K92" s="79">
        <f ca="1">IFERROR(L92 / (SUM($C60:$C90) / COUNT($C60:$C90)), 0)</f>
        <v>0.32328532415179395</v>
      </c>
      <c r="L92" s="138">
        <f ca="1">SUM(L60:L90)</f>
        <v>520195.47613515938</v>
      </c>
      <c r="M92" s="140">
        <f ca="1">SUM(M60:M90)</f>
        <v>17937412.174241908</v>
      </c>
      <c r="N92" s="79">
        <f ca="1">IFERROR(O92 / (SUM($C60:$C90) / COUNT($C60:$C90)), 0)</f>
        <v>0.14754428907689282</v>
      </c>
      <c r="O92" s="138">
        <f ca="1">SUM(O60:O90)</f>
        <v>237412.17424190935</v>
      </c>
    </row>
    <row r="94" spans="1:15" ht="16.5" customHeight="1" thickBot="1"/>
    <row r="95" spans="1:15" ht="16.5" customHeight="1" thickBot="1">
      <c r="A95" s="201" t="str">
        <f>TEXT(투자전략!$G$1, "[$-ko-KR]yyyy년 mm월 ") &amp; "[동전코인] 전일대비 상승률 Top20 월말결산"</f>
        <v>2021년 09월 [동전코인] 전일대비 상승률 Top20 월말결산</v>
      </c>
      <c r="B95" s="202"/>
      <c r="C95" s="202"/>
      <c r="D95" s="202"/>
      <c r="E95" s="202"/>
      <c r="F95" s="202"/>
      <c r="G95" s="202"/>
      <c r="H95" s="202"/>
      <c r="I95" s="202"/>
      <c r="J95" s="202"/>
      <c r="K95" s="202"/>
      <c r="L95" s="202"/>
      <c r="M95" s="202"/>
      <c r="N95" s="202"/>
      <c r="O95" s="203"/>
    </row>
    <row r="96" spans="1:15" ht="16.5" customHeight="1" thickBot="1">
      <c r="A96" s="262" t="s">
        <v>284</v>
      </c>
      <c r="B96" s="216" t="s">
        <v>282</v>
      </c>
      <c r="C96" s="218"/>
      <c r="D96" s="216" t="s">
        <v>274</v>
      </c>
      <c r="E96" s="217"/>
      <c r="F96" s="218"/>
      <c r="G96" s="216" t="s">
        <v>275</v>
      </c>
      <c r="H96" s="217"/>
      <c r="I96" s="218"/>
      <c r="J96" s="216" t="s">
        <v>276</v>
      </c>
      <c r="K96" s="217"/>
      <c r="L96" s="218"/>
      <c r="M96" s="216" t="s">
        <v>277</v>
      </c>
      <c r="N96" s="217"/>
      <c r="O96" s="218"/>
    </row>
    <row r="97" spans="1:15" ht="16.5" customHeight="1" thickBot="1">
      <c r="A97" s="266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2021.09.01</v>
      </c>
      <c r="C98" s="134">
        <f ca="1">IFERROR(COUNTA(INDIRECT($B98&amp;"!A71:A90")) * INDIRECT($B98&amp;"!B91"), "")</f>
        <v>2000000</v>
      </c>
      <c r="D98" s="142">
        <f ca="1">IFERROR($C98 * (1 + E98), "")</f>
        <v>1994525.4249159745</v>
      </c>
      <c r="E98" s="76">
        <f ca="1">IFERROR(INDIRECT($B98&amp;"!E91"), "")</f>
        <v>-2.7372875420127282E-3</v>
      </c>
      <c r="F98" s="141">
        <f ca="1">IFERROR(INDIRECT($B98&amp;"!F91"), "")</f>
        <v>-5474.5750840254532</v>
      </c>
      <c r="G98" s="142">
        <f ca="1">IFERROR($C98 * (1 + H98), "")</f>
        <v>2030013.886265436</v>
      </c>
      <c r="H98" s="76">
        <f ca="1">IFERROR(INDIRECT($B98&amp;"!H91"), "")</f>
        <v>1.5006943132718012E-2</v>
      </c>
      <c r="I98" s="141">
        <f ca="1">IFERROR(INDIRECT($B98&amp;"!I91"), "")</f>
        <v>30013.886265436024</v>
      </c>
      <c r="J98" s="142">
        <f ca="1">IFERROR($C98 * (1 + K98), "")</f>
        <v>2049803.8434412803</v>
      </c>
      <c r="K98" s="76">
        <f ca="1">IFERROR(INDIRECT($B98&amp;"!K91"), "")</f>
        <v>2.4901921720640145E-2</v>
      </c>
      <c r="L98" s="141">
        <f ca="1">IFERROR(INDIRECT($B98&amp;"!L91"), "")</f>
        <v>49803.843441280274</v>
      </c>
      <c r="M98" s="142">
        <f ca="1">IFERROR($C98 * (1 + N98), "")</f>
        <v>2051026.5631726838</v>
      </c>
      <c r="N98" s="76">
        <f ca="1">IFERROR(INDIRECT($B98&amp;"!N91"), "")</f>
        <v>2.5513281586342022E-2</v>
      </c>
      <c r="O98" s="141">
        <f ca="1">IFERROR(INDIRECT($B98&amp;"!O91"), "")</f>
        <v>51026.563172684037</v>
      </c>
    </row>
    <row r="99" spans="1:15" ht="16.5" customHeight="1">
      <c r="A99" s="153">
        <v>2</v>
      </c>
      <c r="B99" s="153" t="str">
        <f>TEXT(투자전략!$G$1+1, "[$-ko-KR]yyyy.mm.dd")</f>
        <v>2021.09.02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2028653.1062791613</v>
      </c>
      <c r="E99" s="77">
        <f t="shared" ref="E99:E128" ca="1" si="28">IFERROR(INDIRECT($B99&amp;"!E91"), "")</f>
        <v>1.4326553139580634E-2</v>
      </c>
      <c r="F99" s="137">
        <f t="shared" ref="F99:F128" ca="1" si="29">IFERROR(INDIRECT($B99&amp;"!F91"), "")</f>
        <v>28653.106279161264</v>
      </c>
      <c r="G99" s="139">
        <f t="shared" ref="G99:G128" ca="1" si="30">IFERROR($C99 * (1 + H99), "")</f>
        <v>2070767.00052438</v>
      </c>
      <c r="H99" s="77">
        <f t="shared" ref="H99:H128" ca="1" si="31">IFERROR(INDIRECT($B99&amp;"!H91"), "")</f>
        <v>3.5383500262190073E-2</v>
      </c>
      <c r="I99" s="137">
        <f t="shared" ref="I99:I128" ca="1" si="32">IFERROR(INDIRECT($B99&amp;"!I91"), "")</f>
        <v>70767.000524380142</v>
      </c>
      <c r="J99" s="139">
        <f t="shared" ref="J99:J128" ca="1" si="33">IFERROR($C99 * (1 + K99), "")</f>
        <v>2085443.6778412841</v>
      </c>
      <c r="K99" s="77">
        <f t="shared" ref="K99:K128" ca="1" si="34">IFERROR(INDIRECT($B99&amp;"!K91"), "")</f>
        <v>4.2721838920642172E-2</v>
      </c>
      <c r="L99" s="137">
        <f t="shared" ref="L99:L128" ca="1" si="35">IFERROR(INDIRECT($B99&amp;"!L91"), "")</f>
        <v>85443.677841284341</v>
      </c>
      <c r="M99" s="139">
        <f t="shared" ref="M99:M128" ca="1" si="36">IFERROR($C99 * (1 + N99), "")</f>
        <v>2053722.9849651237</v>
      </c>
      <c r="N99" s="77">
        <f t="shared" ref="N99:N128" ca="1" si="37">IFERROR(INDIRECT($B99&amp;"!N91"), "")</f>
        <v>2.686149248256179E-2</v>
      </c>
      <c r="O99" s="137">
        <f t="shared" ref="O99:O128" ca="1" si="38">IFERROR(INDIRECT($B99&amp;"!O91"), "")</f>
        <v>53722.984965123578</v>
      </c>
    </row>
    <row r="100" spans="1:15" ht="16.5" customHeight="1">
      <c r="A100" s="153">
        <v>3</v>
      </c>
      <c r="B100" s="153" t="str">
        <f>TEXT(투자전략!$G$1+2, "[$-ko-KR]yyyy.mm.dd")</f>
        <v>2021.09.03</v>
      </c>
      <c r="C100" s="135">
        <f t="shared" ca="1" si="26"/>
        <v>2000000</v>
      </c>
      <c r="D100" s="139">
        <f t="shared" ca="1" si="27"/>
        <v>2081911.0465058461</v>
      </c>
      <c r="E100" s="77">
        <f t="shared" ca="1" si="28"/>
        <v>4.0955523252923155E-2</v>
      </c>
      <c r="F100" s="137">
        <f t="shared" ca="1" si="29"/>
        <v>81911.046505846301</v>
      </c>
      <c r="G100" s="139">
        <f t="shared" ca="1" si="30"/>
        <v>2119933.9908795659</v>
      </c>
      <c r="H100" s="77">
        <f t="shared" ca="1" si="31"/>
        <v>5.9966995439783025E-2</v>
      </c>
      <c r="I100" s="137">
        <f t="shared" ca="1" si="32"/>
        <v>119933.99087956606</v>
      </c>
      <c r="J100" s="139">
        <f t="shared" ca="1" si="33"/>
        <v>2143241.2407728136</v>
      </c>
      <c r="K100" s="77">
        <f t="shared" ca="1" si="34"/>
        <v>7.1620620386406667E-2</v>
      </c>
      <c r="L100" s="137">
        <f t="shared" ca="1" si="35"/>
        <v>143241.24077281335</v>
      </c>
      <c r="M100" s="139">
        <f t="shared" ca="1" si="36"/>
        <v>2151579.561136527</v>
      </c>
      <c r="N100" s="77">
        <f t="shared" ca="1" si="37"/>
        <v>7.5789780568263382E-2</v>
      </c>
      <c r="O100" s="137">
        <f t="shared" ca="1" si="38"/>
        <v>151579.56113652675</v>
      </c>
    </row>
    <row r="101" spans="1:15" ht="16.5" customHeight="1">
      <c r="A101" s="153">
        <v>4</v>
      </c>
      <c r="B101" s="153" t="str">
        <f>TEXT(투자전략!$G$1+3, "[$-ko-KR]yyyy.mm.dd")</f>
        <v>2021.09.04</v>
      </c>
      <c r="C101" s="135">
        <f t="shared" ca="1" si="26"/>
        <v>2000000</v>
      </c>
      <c r="D101" s="139">
        <f t="shared" ca="1" si="27"/>
        <v>2407129.6192855304</v>
      </c>
      <c r="E101" s="77">
        <f t="shared" ca="1" si="28"/>
        <v>0.20356480964276519</v>
      </c>
      <c r="F101" s="137">
        <f t="shared" ca="1" si="29"/>
        <v>407129.61928553041</v>
      </c>
      <c r="G101" s="139">
        <f t="shared" ca="1" si="30"/>
        <v>2452836.0079459837</v>
      </c>
      <c r="H101" s="77">
        <f t="shared" ca="1" si="31"/>
        <v>0.2264180039729918</v>
      </c>
      <c r="I101" s="137">
        <f t="shared" ca="1" si="32"/>
        <v>452836.00794598373</v>
      </c>
      <c r="J101" s="139">
        <f t="shared" ca="1" si="33"/>
        <v>2347767.6966005252</v>
      </c>
      <c r="K101" s="77">
        <f t="shared" ca="1" si="34"/>
        <v>0.17388384830026254</v>
      </c>
      <c r="L101" s="137">
        <f t="shared" ca="1" si="35"/>
        <v>347767.696600525</v>
      </c>
      <c r="M101" s="139">
        <f t="shared" ca="1" si="36"/>
        <v>2384799.7586694569</v>
      </c>
      <c r="N101" s="77">
        <f t="shared" ca="1" si="37"/>
        <v>0.19239987933472841</v>
      </c>
      <c r="O101" s="137">
        <f t="shared" ca="1" si="38"/>
        <v>384799.7586694567</v>
      </c>
    </row>
    <row r="102" spans="1:15" ht="16.5" customHeight="1">
      <c r="A102" s="153">
        <v>5</v>
      </c>
      <c r="B102" s="153" t="str">
        <f>TEXT(투자전략!$G$1+4, "[$-ko-KR]yyyy.mm.dd")</f>
        <v>2021.09.05</v>
      </c>
      <c r="C102" s="135">
        <f t="shared" ca="1" si="26"/>
        <v>2000000</v>
      </c>
      <c r="D102" s="139">
        <f t="shared" ca="1" si="27"/>
        <v>2207736.2981716013</v>
      </c>
      <c r="E102" s="77">
        <f t="shared" ca="1" si="28"/>
        <v>0.10386814908580058</v>
      </c>
      <c r="F102" s="137">
        <f t="shared" ca="1" si="29"/>
        <v>207736.29817160114</v>
      </c>
      <c r="G102" s="139">
        <f t="shared" ca="1" si="30"/>
        <v>2200299.2217982695</v>
      </c>
      <c r="H102" s="77">
        <f t="shared" ca="1" si="31"/>
        <v>0.10014961089913479</v>
      </c>
      <c r="I102" s="137">
        <f t="shared" ca="1" si="32"/>
        <v>200299.22179826957</v>
      </c>
      <c r="J102" s="139">
        <f t="shared" ca="1" si="33"/>
        <v>2191730.1841828846</v>
      </c>
      <c r="K102" s="77">
        <f t="shared" ca="1" si="34"/>
        <v>9.5865092091442422E-2</v>
      </c>
      <c r="L102" s="137">
        <f t="shared" ca="1" si="35"/>
        <v>191730.18418288475</v>
      </c>
      <c r="M102" s="139">
        <f t="shared" ca="1" si="36"/>
        <v>2125005.116557695</v>
      </c>
      <c r="N102" s="77">
        <f t="shared" ca="1" si="37"/>
        <v>6.2502558278847528E-2</v>
      </c>
      <c r="O102" s="137">
        <f t="shared" ca="1" si="38"/>
        <v>125005.11655769504</v>
      </c>
    </row>
    <row r="103" spans="1:15" ht="16.5" customHeight="1">
      <c r="A103" s="153">
        <v>6</v>
      </c>
      <c r="B103" s="153" t="str">
        <f>TEXT(투자전략!$G$1+5, "[$-ko-KR]yyyy.mm.dd")</f>
        <v>2021.09.06</v>
      </c>
      <c r="C103" s="135">
        <f t="shared" ca="1" si="26"/>
        <v>2000000</v>
      </c>
      <c r="D103" s="139">
        <f t="shared" ca="1" si="27"/>
        <v>2031911.9282486676</v>
      </c>
      <c r="E103" s="77">
        <f t="shared" ca="1" si="28"/>
        <v>1.5955964124333956E-2</v>
      </c>
      <c r="F103" s="137">
        <f t="shared" ca="1" si="29"/>
        <v>31911.928248667919</v>
      </c>
      <c r="G103" s="139">
        <f t="shared" ca="1" si="30"/>
        <v>2022563.0504154931</v>
      </c>
      <c r="H103" s="77">
        <f t="shared" ca="1" si="31"/>
        <v>1.1281525207746602E-2</v>
      </c>
      <c r="I103" s="137">
        <f t="shared" ca="1" si="32"/>
        <v>22563.050415493202</v>
      </c>
      <c r="J103" s="139">
        <f t="shared" ca="1" si="33"/>
        <v>1962828.7719528119</v>
      </c>
      <c r="K103" s="77">
        <f t="shared" ca="1" si="34"/>
        <v>-1.8585614023594061E-2</v>
      </c>
      <c r="L103" s="137">
        <f t="shared" ca="1" si="35"/>
        <v>-37171.228047188117</v>
      </c>
      <c r="M103" s="139">
        <f t="shared" ca="1" si="36"/>
        <v>2019141.8830078254</v>
      </c>
      <c r="N103" s="77">
        <f t="shared" ca="1" si="37"/>
        <v>9.5709415039127443E-3</v>
      </c>
      <c r="O103" s="137">
        <f t="shared" ca="1" si="38"/>
        <v>19141.883007825487</v>
      </c>
    </row>
    <row r="104" spans="1:15" ht="16.5" customHeight="1" thickBot="1">
      <c r="A104" s="155">
        <v>7</v>
      </c>
      <c r="B104" s="155" t="str">
        <f>TEXT(투자전략!$G$1+6, "[$-ko-KR]yyyy.mm.dd")</f>
        <v>2021.09.07</v>
      </c>
      <c r="C104" s="135">
        <f t="shared" ca="1" si="26"/>
        <v>2000000</v>
      </c>
      <c r="D104" s="139">
        <f t="shared" ca="1" si="27"/>
        <v>2062028.9205470602</v>
      </c>
      <c r="E104" s="77">
        <f t="shared" ca="1" si="28"/>
        <v>3.1014460273530081E-2</v>
      </c>
      <c r="F104" s="137">
        <f t="shared" ca="1" si="29"/>
        <v>62028.920547060145</v>
      </c>
      <c r="G104" s="139">
        <f t="shared" ca="1" si="30"/>
        <v>1942015.4559027613</v>
      </c>
      <c r="H104" s="77">
        <f t="shared" ca="1" si="31"/>
        <v>-2.8992272048619372E-2</v>
      </c>
      <c r="I104" s="137">
        <f t="shared" ca="1" si="32"/>
        <v>-57984.54409723873</v>
      </c>
      <c r="J104" s="139">
        <f t="shared" ca="1" si="33"/>
        <v>1967308.1912521215</v>
      </c>
      <c r="K104" s="77">
        <f t="shared" ca="1" si="34"/>
        <v>-1.6345904373939225E-2</v>
      </c>
      <c r="L104" s="137">
        <f t="shared" ca="1" si="35"/>
        <v>-32691.808747878436</v>
      </c>
      <c r="M104" s="139">
        <f t="shared" ca="1" si="36"/>
        <v>1782644.4664551537</v>
      </c>
      <c r="N104" s="77">
        <f t="shared" ca="1" si="37"/>
        <v>-0.10867776677242311</v>
      </c>
      <c r="O104" s="137">
        <f t="shared" ca="1" si="38"/>
        <v>-217355.5335448462</v>
      </c>
    </row>
    <row r="105" spans="1:15" ht="16.5" customHeight="1">
      <c r="A105" s="154">
        <v>8</v>
      </c>
      <c r="B105" s="154" t="str">
        <f>TEXT(투자전략!$G$1+7, "[$-ko-KR]yyyy.mm.dd")</f>
        <v>2021.09.08</v>
      </c>
      <c r="C105" s="134">
        <f t="shared" ca="1" si="26"/>
        <v>2000000</v>
      </c>
      <c r="D105" s="142">
        <f t="shared" ca="1" si="27"/>
        <v>1996736.2053229816</v>
      </c>
      <c r="E105" s="76">
        <f t="shared" ca="1" si="28"/>
        <v>-1.6318973385092261E-3</v>
      </c>
      <c r="F105" s="141">
        <f t="shared" ca="1" si="29"/>
        <v>-3263.794677018449</v>
      </c>
      <c r="G105" s="142">
        <f t="shared" ca="1" si="30"/>
        <v>1925375.1222722421</v>
      </c>
      <c r="H105" s="76">
        <f t="shared" ca="1" si="31"/>
        <v>-3.7312438863878951E-2</v>
      </c>
      <c r="I105" s="141">
        <f t="shared" ca="1" si="32"/>
        <v>-74624.877727757892</v>
      </c>
      <c r="J105" s="142">
        <f t="shared" ca="1" si="33"/>
        <v>1970490.5729647607</v>
      </c>
      <c r="K105" s="76">
        <f t="shared" ca="1" si="34"/>
        <v>-1.4754713517619533E-2</v>
      </c>
      <c r="L105" s="141">
        <f t="shared" ca="1" si="35"/>
        <v>-29509.427035239067</v>
      </c>
      <c r="M105" s="142">
        <f t="shared" ca="1" si="36"/>
        <v>1929850.659979366</v>
      </c>
      <c r="N105" s="76">
        <f t="shared" ca="1" si="37"/>
        <v>-3.5074670010317111E-2</v>
      </c>
      <c r="O105" s="141">
        <f t="shared" ca="1" si="38"/>
        <v>-70149.340020634205</v>
      </c>
    </row>
    <row r="106" spans="1:15" ht="16.5" customHeight="1">
      <c r="A106" s="153">
        <v>9</v>
      </c>
      <c r="B106" s="153" t="str">
        <f>TEXT(투자전략!$G$1+8, "[$-ko-KR]yyyy.mm.dd")</f>
        <v>2021.09.09</v>
      </c>
      <c r="C106" s="135">
        <f t="shared" ca="1" si="26"/>
        <v>2000000</v>
      </c>
      <c r="D106" s="139">
        <f t="shared" ca="1" si="27"/>
        <v>2128371.3840620657</v>
      </c>
      <c r="E106" s="77">
        <f t="shared" ca="1" si="28"/>
        <v>6.4185692031032845E-2</v>
      </c>
      <c r="F106" s="137">
        <f t="shared" ca="1" si="29"/>
        <v>128371.38406206567</v>
      </c>
      <c r="G106" s="139">
        <f t="shared" ca="1" si="30"/>
        <v>2117578.5079274792</v>
      </c>
      <c r="H106" s="77">
        <f t="shared" ca="1" si="31"/>
        <v>5.8789253963739532E-2</v>
      </c>
      <c r="I106" s="137">
        <f t="shared" ca="1" si="32"/>
        <v>117578.50792747906</v>
      </c>
      <c r="J106" s="139">
        <f t="shared" ca="1" si="33"/>
        <v>2162945.6745343674</v>
      </c>
      <c r="K106" s="77">
        <f t="shared" ca="1" si="34"/>
        <v>8.1472837267183879E-2</v>
      </c>
      <c r="L106" s="137">
        <f t="shared" ca="1" si="35"/>
        <v>162945.67453436775</v>
      </c>
      <c r="M106" s="139">
        <f t="shared" ca="1" si="36"/>
        <v>2160397.6522738226</v>
      </c>
      <c r="N106" s="77">
        <f t="shared" ca="1" si="37"/>
        <v>8.0198826136911344E-2</v>
      </c>
      <c r="O106" s="137">
        <f t="shared" ca="1" si="38"/>
        <v>160397.65227382266</v>
      </c>
    </row>
    <row r="107" spans="1:15" ht="16.5" customHeight="1">
      <c r="A107" s="153">
        <v>10</v>
      </c>
      <c r="B107" s="153" t="str">
        <f>TEXT(투자전략!$G$1+9, "[$-ko-KR]yyyy.mm.dd")</f>
        <v>2021.09.10</v>
      </c>
      <c r="C107" s="135">
        <f t="shared" ca="1" si="26"/>
        <v>2000000</v>
      </c>
      <c r="D107" s="139">
        <f t="shared" ca="1" si="27"/>
        <v>2028446.8797664493</v>
      </c>
      <c r="E107" s="77">
        <f t="shared" ca="1" si="28"/>
        <v>1.4223439883224626E-2</v>
      </c>
      <c r="F107" s="137">
        <f t="shared" ca="1" si="29"/>
        <v>28446.879766449256</v>
      </c>
      <c r="G107" s="139">
        <f t="shared" ca="1" si="30"/>
        <v>1960924.0931585508</v>
      </c>
      <c r="H107" s="77">
        <f t="shared" ca="1" si="31"/>
        <v>-1.9537953420724639E-2</v>
      </c>
      <c r="I107" s="137">
        <f t="shared" ca="1" si="32"/>
        <v>-39075.906841449265</v>
      </c>
      <c r="J107" s="139">
        <f t="shared" ca="1" si="33"/>
        <v>1976231.1306843683</v>
      </c>
      <c r="K107" s="77">
        <f t="shared" ca="1" si="34"/>
        <v>-1.1884434657815869E-2</v>
      </c>
      <c r="L107" s="137">
        <f t="shared" ca="1" si="35"/>
        <v>-23768.869315631731</v>
      </c>
      <c r="M107" s="139">
        <f t="shared" ca="1" si="36"/>
        <v>1908984.4188653308</v>
      </c>
      <c r="N107" s="77">
        <f t="shared" ca="1" si="37"/>
        <v>-4.5507790567334616E-2</v>
      </c>
      <c r="O107" s="137">
        <f t="shared" ca="1" si="38"/>
        <v>-91015.581134669221</v>
      </c>
    </row>
    <row r="108" spans="1:15" ht="16.5" customHeight="1">
      <c r="A108" s="153">
        <v>11</v>
      </c>
      <c r="B108" s="153" t="str">
        <f>TEXT(투자전략!$G$1+10, "[$-ko-KR]yyyy.mm.dd")</f>
        <v>2021.09.11</v>
      </c>
      <c r="C108" s="135">
        <f t="shared" ca="1" si="26"/>
        <v>2000000</v>
      </c>
      <c r="D108" s="139">
        <f t="shared" ca="1" si="27"/>
        <v>2011302.3464567887</v>
      </c>
      <c r="E108" s="77">
        <f t="shared" ca="1" si="28"/>
        <v>5.651173228394331E-3</v>
      </c>
      <c r="F108" s="137">
        <f t="shared" ca="1" si="29"/>
        <v>11302.346456788662</v>
      </c>
      <c r="G108" s="139">
        <f t="shared" ca="1" si="30"/>
        <v>2032844.5880070415</v>
      </c>
      <c r="H108" s="77">
        <f t="shared" ca="1" si="31"/>
        <v>1.6422294003520792E-2</v>
      </c>
      <c r="I108" s="137">
        <f t="shared" ca="1" si="32"/>
        <v>32844.588007041581</v>
      </c>
      <c r="J108" s="139">
        <f t="shared" ca="1" si="33"/>
        <v>2036435.9356548935</v>
      </c>
      <c r="K108" s="77">
        <f t="shared" ca="1" si="34"/>
        <v>1.8217967827446887E-2</v>
      </c>
      <c r="L108" s="137">
        <f t="shared" ca="1" si="35"/>
        <v>36435.935654893765</v>
      </c>
      <c r="M108" s="139">
        <f t="shared" ca="1" si="36"/>
        <v>2000000</v>
      </c>
      <c r="N108" s="77">
        <f t="shared" ca="1" si="37"/>
        <v>0</v>
      </c>
      <c r="O108" s="137">
        <f t="shared" ca="1" si="38"/>
        <v>0</v>
      </c>
    </row>
    <row r="109" spans="1:15" ht="16.5" customHeight="1">
      <c r="A109" s="153">
        <v>12</v>
      </c>
      <c r="B109" s="153" t="str">
        <f>TEXT(투자전략!$G$1+11, "[$-ko-KR]yyyy.mm.dd")</f>
        <v>2021.09.12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2021.09.13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2021.09.14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2021.09.15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2021.09.16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2021.09.17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2021.09.18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2021.09.19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2021.09.20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2021.09.21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2021.09.22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2021.09.23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2021.09.24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2021.09.25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2021.09.26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2021.09.27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2021.09.28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2021.09.29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2021.09.30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10" t="s">
        <v>283</v>
      </c>
      <c r="B129" s="212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16"/>
      <c r="B130" s="218"/>
      <c r="C130" s="136">
        <f ca="1">SUM(C98:C128)</f>
        <v>22000000</v>
      </c>
      <c r="D130" s="140">
        <f ca="1">SUM(D98:D128)</f>
        <v>22978753.15956213</v>
      </c>
      <c r="E130" s="79">
        <f ca="1">IFERROR(F130 / (SUM($C98:$C128) / COUNT($C98:$C128)), 0)</f>
        <v>0.48937657978106347</v>
      </c>
      <c r="F130" s="138">
        <f ca="1">SUM(F98:F128)</f>
        <v>978753.15956212697</v>
      </c>
      <c r="G130" s="140">
        <f ca="1">SUM(G98:G128)</f>
        <v>22875150.925097201</v>
      </c>
      <c r="H130" s="79">
        <f ca="1">IFERROR(I130 / (SUM($C98:$C128) / COUNT($C98:$C128)), 0)</f>
        <v>0.43757546254860175</v>
      </c>
      <c r="I130" s="138">
        <f ca="1">SUM(I98:I128)</f>
        <v>875150.92509720346</v>
      </c>
      <c r="J130" s="140">
        <f ca="1">SUM(J98:J128)</f>
        <v>22894226.919882111</v>
      </c>
      <c r="K130" s="79">
        <f ca="1">IFERROR(L130 / (SUM($C98:$C128) / COUNT($C98:$C128)), 0)</f>
        <v>0.44711345994105589</v>
      </c>
      <c r="L130" s="138">
        <f ca="1">SUM(L98:L128)</f>
        <v>894226.91988211183</v>
      </c>
      <c r="M130" s="140">
        <f ca="1">SUM(M98:M128)</f>
        <v>22567153.065082986</v>
      </c>
      <c r="N130" s="79">
        <f ca="1">IFERROR(O130 / (SUM($C98:$C128) / COUNT($C98:$C128)), 0)</f>
        <v>0.28357653254149229</v>
      </c>
      <c r="O130" s="138">
        <f ca="1">SUM(O98:O128)</f>
        <v>567153.06508298463</v>
      </c>
    </row>
    <row r="132" spans="1:15" ht="16.5" customHeight="1" thickBot="1"/>
    <row r="133" spans="1:15" ht="16.5" customHeight="1" thickBot="1">
      <c r="A133" s="201" t="str">
        <f>TEXT(투자전략!$G$1, "[$-ko-KR]yyyy년 mm월 ") &amp; "전일대비 상승률 Top20 월말결산"</f>
        <v>2021년 09월 전일대비 상승률 Top20 월말결산</v>
      </c>
      <c r="B133" s="202"/>
      <c r="C133" s="202"/>
      <c r="D133" s="202"/>
      <c r="E133" s="202"/>
      <c r="F133" s="202"/>
      <c r="G133" s="202"/>
      <c r="H133" s="202"/>
      <c r="I133" s="202"/>
      <c r="J133" s="202"/>
      <c r="K133" s="202"/>
      <c r="L133" s="202"/>
      <c r="M133" s="202"/>
      <c r="N133" s="202"/>
      <c r="O133" s="203"/>
    </row>
    <row r="134" spans="1:15" ht="16.5" customHeight="1" thickBot="1">
      <c r="A134" s="262" t="s">
        <v>284</v>
      </c>
      <c r="B134" s="216" t="s">
        <v>282</v>
      </c>
      <c r="C134" s="218"/>
      <c r="D134" s="216" t="s">
        <v>274</v>
      </c>
      <c r="E134" s="217"/>
      <c r="F134" s="218"/>
      <c r="G134" s="216" t="s">
        <v>275</v>
      </c>
      <c r="H134" s="217"/>
      <c r="I134" s="218"/>
      <c r="J134" s="216" t="s">
        <v>276</v>
      </c>
      <c r="K134" s="217"/>
      <c r="L134" s="218"/>
      <c r="M134" s="216" t="s">
        <v>277</v>
      </c>
      <c r="N134" s="217"/>
      <c r="O134" s="218"/>
    </row>
    <row r="135" spans="1:15" ht="16.5" customHeight="1" thickBot="1">
      <c r="A135" s="266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2021.09.01</v>
      </c>
      <c r="C136" s="134">
        <f ca="1">IFERROR(COUNTA(INDIRECT($B136&amp;"!A98:A117")) * INDIRECT($B136&amp;"!B118"), "")</f>
        <v>2000000</v>
      </c>
      <c r="D136" s="142">
        <f ca="1">IFERROR($C136 * (1 + E136), "")</f>
        <v>1959842.0261653338</v>
      </c>
      <c r="E136" s="76">
        <f ca="1">IFERROR(INDIRECT($B136&amp;"!E118"), "")</f>
        <v>-2.0078986917333112E-2</v>
      </c>
      <c r="F136" s="141">
        <f ca="1">IFERROR(INDIRECT($B136&amp;"!F118"), "")</f>
        <v>-40157.973834666227</v>
      </c>
      <c r="G136" s="142">
        <f ca="1">IFERROR($C136 * (1 + H136), "")</f>
        <v>1977110.327376178</v>
      </c>
      <c r="H136" s="76">
        <f ca="1">IFERROR(INDIRECT($B136&amp;"!H118"), "")</f>
        <v>-1.1444836311910934E-2</v>
      </c>
      <c r="I136" s="141">
        <f ca="1">IFERROR(INDIRECT($B136&amp;"!I118"), "")</f>
        <v>-22889.672623821854</v>
      </c>
      <c r="J136" s="142">
        <f ca="1">IFERROR($C136 * (1 + K136), "")</f>
        <v>1999463.6608543079</v>
      </c>
      <c r="K136" s="76">
        <f ca="1">IFERROR(INDIRECT($B136&amp;"!K118"), "")</f>
        <v>-2.6816957284598128E-4</v>
      </c>
      <c r="L136" s="141">
        <f ca="1">IFERROR(INDIRECT($B136&amp;"!L118"), "")</f>
        <v>-536.33914569196077</v>
      </c>
      <c r="M136" s="142">
        <f ca="1">IFERROR($C136 * (1 + N136), "")</f>
        <v>1998050.6542635893</v>
      </c>
      <c r="N136" s="76">
        <f ca="1">IFERROR(INDIRECT($B136&amp;"!N118"), "")</f>
        <v>-9.7467286820531363E-4</v>
      </c>
      <c r="O136" s="141">
        <f ca="1">IFERROR(INDIRECT($B136&amp;"!O118"), "")</f>
        <v>-1949.3457364106275</v>
      </c>
    </row>
    <row r="137" spans="1:15" ht="16.5" customHeight="1">
      <c r="A137" s="153">
        <v>2</v>
      </c>
      <c r="B137" s="153" t="str">
        <f>TEXT(투자전략!$G$1+1, "[$-ko-KR]yyyy.mm.dd")</f>
        <v>2021.09.02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2009744.9131144192</v>
      </c>
      <c r="E137" s="77">
        <f t="shared" ref="E137:E166" ca="1" si="41">IFERROR(INDIRECT($B137&amp;"!E118"), "")</f>
        <v>4.8724565572096671E-3</v>
      </c>
      <c r="F137" s="137">
        <f t="shared" ref="F137:F166" ca="1" si="42">IFERROR(INDIRECT($B137&amp;"!F118"), "")</f>
        <v>9744.9131144193325</v>
      </c>
      <c r="G137" s="139">
        <f t="shared" ref="G137:G166" ca="1" si="43">IFERROR($C137 * (1 + H137), "")</f>
        <v>2033742.6720145207</v>
      </c>
      <c r="H137" s="77">
        <f t="shared" ref="H137:H166" ca="1" si="44">IFERROR(INDIRECT($B137&amp;"!H118"), "")</f>
        <v>1.6871336007260353E-2</v>
      </c>
      <c r="I137" s="137">
        <f t="shared" ref="I137:I166" ca="1" si="45">IFERROR(INDIRECT($B137&amp;"!I118"), "")</f>
        <v>33742.6720145207</v>
      </c>
      <c r="J137" s="139">
        <f t="shared" ref="J137:J166" ca="1" si="46">IFERROR($C137 * (1 + K137), "")</f>
        <v>2042679.7174488667</v>
      </c>
      <c r="K137" s="77">
        <f t="shared" ref="K137:K166" ca="1" si="47">IFERROR(INDIRECT($B137&amp;"!K118"), "")</f>
        <v>2.1339858724433322E-2</v>
      </c>
      <c r="L137" s="137">
        <f t="shared" ref="L137:L166" ca="1" si="48">IFERROR(INDIRECT($B137&amp;"!L118"), "")</f>
        <v>42679.717448866635</v>
      </c>
      <c r="M137" s="139">
        <f t="shared" ref="M137:M166" ca="1" si="49">IFERROR($C137 * (1 + N137), "")</f>
        <v>2018082.157785011</v>
      </c>
      <c r="N137" s="77">
        <f t="shared" ref="N137:N166" ca="1" si="50">IFERROR(INDIRECT($B137&amp;"!N118"), "")</f>
        <v>9.0410788925054629E-3</v>
      </c>
      <c r="O137" s="137">
        <f t="shared" ref="O137:O166" ca="1" si="51">IFERROR(INDIRECT($B137&amp;"!O118"), "")</f>
        <v>18082.157785010928</v>
      </c>
    </row>
    <row r="138" spans="1:15" ht="16.5" customHeight="1">
      <c r="A138" s="153">
        <v>3</v>
      </c>
      <c r="B138" s="153" t="str">
        <f>TEXT(투자전략!$G$1+2, "[$-ko-KR]yyyy.mm.dd")</f>
        <v>2021.09.03</v>
      </c>
      <c r="C138" s="135">
        <f t="shared" ca="1" si="39"/>
        <v>2000000</v>
      </c>
      <c r="D138" s="139">
        <f t="shared" ca="1" si="40"/>
        <v>2128392.6095656767</v>
      </c>
      <c r="E138" s="77">
        <f t="shared" ca="1" si="41"/>
        <v>6.4196304782838304E-2</v>
      </c>
      <c r="F138" s="137">
        <f t="shared" ca="1" si="42"/>
        <v>128392.60956567661</v>
      </c>
      <c r="G138" s="139">
        <f t="shared" ca="1" si="43"/>
        <v>2150230.5961136431</v>
      </c>
      <c r="H138" s="77">
        <f t="shared" ca="1" si="44"/>
        <v>7.5115298056821461E-2</v>
      </c>
      <c r="I138" s="137">
        <f t="shared" ca="1" si="45"/>
        <v>150230.59611364291</v>
      </c>
      <c r="J138" s="139">
        <f t="shared" ca="1" si="46"/>
        <v>2151117.3441057359</v>
      </c>
      <c r="K138" s="77">
        <f t="shared" ca="1" si="47"/>
        <v>7.5558672052868051E-2</v>
      </c>
      <c r="L138" s="137">
        <f t="shared" ca="1" si="48"/>
        <v>151117.34410573606</v>
      </c>
      <c r="M138" s="139">
        <f t="shared" ca="1" si="49"/>
        <v>2147599.3604521547</v>
      </c>
      <c r="N138" s="77">
        <f t="shared" ca="1" si="50"/>
        <v>7.379968022607733E-2</v>
      </c>
      <c r="O138" s="137">
        <f t="shared" ca="1" si="51"/>
        <v>147599.36045215465</v>
      </c>
    </row>
    <row r="139" spans="1:15" ht="16.5" customHeight="1">
      <c r="A139" s="153">
        <v>4</v>
      </c>
      <c r="B139" s="153" t="str">
        <f>TEXT(투자전략!$G$1+3, "[$-ko-KR]yyyy.mm.dd")</f>
        <v>2021.09.04</v>
      </c>
      <c r="C139" s="135">
        <f t="shared" ca="1" si="39"/>
        <v>2000000</v>
      </c>
      <c r="D139" s="139">
        <f t="shared" ca="1" si="40"/>
        <v>2414050.1170435543</v>
      </c>
      <c r="E139" s="77">
        <f t="shared" ca="1" si="41"/>
        <v>0.20702505852177716</v>
      </c>
      <c r="F139" s="137">
        <f t="shared" ca="1" si="42"/>
        <v>414050.11704355461</v>
      </c>
      <c r="G139" s="139">
        <f t="shared" ca="1" si="43"/>
        <v>2414917.381270105</v>
      </c>
      <c r="H139" s="77">
        <f t="shared" ca="1" si="44"/>
        <v>0.20745869063505257</v>
      </c>
      <c r="I139" s="137">
        <f t="shared" ca="1" si="45"/>
        <v>414917.38127010508</v>
      </c>
      <c r="J139" s="139">
        <f t="shared" ca="1" si="46"/>
        <v>2315894.6244562566</v>
      </c>
      <c r="K139" s="77">
        <f t="shared" ca="1" si="47"/>
        <v>0.15794731222812833</v>
      </c>
      <c r="L139" s="137">
        <f t="shared" ca="1" si="48"/>
        <v>315894.62445625669</v>
      </c>
      <c r="M139" s="139">
        <f t="shared" ca="1" si="49"/>
        <v>2337323.4572557518</v>
      </c>
      <c r="N139" s="77">
        <f t="shared" ca="1" si="50"/>
        <v>0.16866172862787593</v>
      </c>
      <c r="O139" s="137">
        <f t="shared" ca="1" si="51"/>
        <v>337323.45725575177</v>
      </c>
    </row>
    <row r="140" spans="1:15" ht="16.5" customHeight="1">
      <c r="A140" s="153">
        <v>5</v>
      </c>
      <c r="B140" s="153" t="str">
        <f>TEXT(투자전략!$G$1+4, "[$-ko-KR]yyyy.mm.dd")</f>
        <v>2021.09.05</v>
      </c>
      <c r="C140" s="135">
        <f t="shared" ca="1" si="39"/>
        <v>2000000</v>
      </c>
      <c r="D140" s="139">
        <f t="shared" ca="1" si="40"/>
        <v>2113494.4165520743</v>
      </c>
      <c r="E140" s="77">
        <f t="shared" ca="1" si="41"/>
        <v>5.6747208276037096E-2</v>
      </c>
      <c r="F140" s="137">
        <f t="shared" ca="1" si="42"/>
        <v>113494.41655207422</v>
      </c>
      <c r="G140" s="139">
        <f t="shared" ca="1" si="43"/>
        <v>2091326.145335342</v>
      </c>
      <c r="H140" s="77">
        <f t="shared" ca="1" si="44"/>
        <v>4.5663072667671063E-2</v>
      </c>
      <c r="I140" s="137">
        <f t="shared" ca="1" si="45"/>
        <v>91326.145335342124</v>
      </c>
      <c r="J140" s="139">
        <f t="shared" ca="1" si="46"/>
        <v>2094693.892060807</v>
      </c>
      <c r="K140" s="77">
        <f t="shared" ca="1" si="47"/>
        <v>4.7346946030403556E-2</v>
      </c>
      <c r="L140" s="137">
        <f t="shared" ca="1" si="48"/>
        <v>94693.892060807091</v>
      </c>
      <c r="M140" s="139">
        <f t="shared" ca="1" si="49"/>
        <v>2040337.3674333326</v>
      </c>
      <c r="N140" s="77">
        <f t="shared" ca="1" si="50"/>
        <v>2.0168683716666309E-2</v>
      </c>
      <c r="O140" s="137">
        <f t="shared" ca="1" si="51"/>
        <v>40337.367433332613</v>
      </c>
    </row>
    <row r="141" spans="1:15" ht="16.5" customHeight="1">
      <c r="A141" s="153">
        <v>6</v>
      </c>
      <c r="B141" s="153" t="str">
        <f>TEXT(투자전략!$G$1+5, "[$-ko-KR]yyyy.mm.dd")</f>
        <v>2021.09.06</v>
      </c>
      <c r="C141" s="135">
        <f t="shared" ca="1" si="39"/>
        <v>2000000</v>
      </c>
      <c r="D141" s="139">
        <f t="shared" ca="1" si="40"/>
        <v>2029270.5107260428</v>
      </c>
      <c r="E141" s="77">
        <f t="shared" ca="1" si="41"/>
        <v>1.4635255363021257E-2</v>
      </c>
      <c r="F141" s="137">
        <f t="shared" ca="1" si="42"/>
        <v>29270.510726042517</v>
      </c>
      <c r="G141" s="139">
        <f t="shared" ca="1" si="43"/>
        <v>2031919.733392749</v>
      </c>
      <c r="H141" s="77">
        <f t="shared" ca="1" si="44"/>
        <v>1.5959866696374475E-2</v>
      </c>
      <c r="I141" s="137">
        <f t="shared" ca="1" si="45"/>
        <v>31919.733392748945</v>
      </c>
      <c r="J141" s="139">
        <f t="shared" ca="1" si="46"/>
        <v>1957859.7306040381</v>
      </c>
      <c r="K141" s="77">
        <f t="shared" ca="1" si="47"/>
        <v>-2.1070134697980896E-2</v>
      </c>
      <c r="L141" s="137">
        <f t="shared" ca="1" si="48"/>
        <v>-42140.269395961783</v>
      </c>
      <c r="M141" s="139">
        <f t="shared" ca="1" si="49"/>
        <v>2016423.5091802403</v>
      </c>
      <c r="N141" s="77">
        <f t="shared" ca="1" si="50"/>
        <v>8.2117545901202287E-3</v>
      </c>
      <c r="O141" s="137">
        <f t="shared" ca="1" si="51"/>
        <v>16423.50918024046</v>
      </c>
    </row>
    <row r="142" spans="1:15" ht="16.5" customHeight="1" thickBot="1">
      <c r="A142" s="155">
        <v>7</v>
      </c>
      <c r="B142" s="155" t="str">
        <f>TEXT(투자전략!$G$1+6, "[$-ko-KR]yyyy.mm.dd")</f>
        <v>2021.09.07</v>
      </c>
      <c r="C142" s="135">
        <f t="shared" ca="1" si="39"/>
        <v>2000000</v>
      </c>
      <c r="D142" s="139">
        <f t="shared" ca="1" si="40"/>
        <v>2032206.6728433566</v>
      </c>
      <c r="E142" s="77">
        <f t="shared" ca="1" si="41"/>
        <v>1.6103336421678171E-2</v>
      </c>
      <c r="F142" s="137">
        <f t="shared" ca="1" si="42"/>
        <v>32206.67284335634</v>
      </c>
      <c r="G142" s="139">
        <f t="shared" ca="1" si="43"/>
        <v>1919780.1495289584</v>
      </c>
      <c r="H142" s="77">
        <f t="shared" ca="1" si="44"/>
        <v>-4.0109925235520864E-2</v>
      </c>
      <c r="I142" s="137">
        <f t="shared" ca="1" si="45"/>
        <v>-80219.850471041718</v>
      </c>
      <c r="J142" s="139">
        <f t="shared" ca="1" si="46"/>
        <v>1951950.6455380414</v>
      </c>
      <c r="K142" s="77">
        <f t="shared" ca="1" si="47"/>
        <v>-2.4024677230979355E-2</v>
      </c>
      <c r="L142" s="137">
        <f t="shared" ca="1" si="48"/>
        <v>-48049.354461958712</v>
      </c>
      <c r="M142" s="139">
        <f t="shared" ca="1" si="49"/>
        <v>1778078.2029662898</v>
      </c>
      <c r="N142" s="77">
        <f t="shared" ca="1" si="50"/>
        <v>-0.11096089851685512</v>
      </c>
      <c r="O142" s="137">
        <f t="shared" ca="1" si="51"/>
        <v>-221921.79703371017</v>
      </c>
    </row>
    <row r="143" spans="1:15" ht="16.5" customHeight="1">
      <c r="A143" s="154">
        <v>8</v>
      </c>
      <c r="B143" s="154" t="str">
        <f>TEXT(투자전략!$G$1+7, "[$-ko-KR]yyyy.mm.dd")</f>
        <v>2021.09.08</v>
      </c>
      <c r="C143" s="134">
        <f t="shared" ca="1" si="39"/>
        <v>2000000</v>
      </c>
      <c r="D143" s="142">
        <f t="shared" ca="1" si="40"/>
        <v>1983851.3058257469</v>
      </c>
      <c r="E143" s="76">
        <f t="shared" ca="1" si="41"/>
        <v>-8.0743470871265776E-3</v>
      </c>
      <c r="F143" s="141">
        <f t="shared" ca="1" si="42"/>
        <v>-16148.694174253154</v>
      </c>
      <c r="G143" s="142">
        <f t="shared" ca="1" si="43"/>
        <v>1927689.0382821083</v>
      </c>
      <c r="H143" s="76">
        <f t="shared" ca="1" si="44"/>
        <v>-3.6155480858945849E-2</v>
      </c>
      <c r="I143" s="141">
        <f t="shared" ca="1" si="45"/>
        <v>-72310.961717891667</v>
      </c>
      <c r="J143" s="142">
        <f t="shared" ca="1" si="46"/>
        <v>1979567.4935869032</v>
      </c>
      <c r="K143" s="76">
        <f t="shared" ca="1" si="47"/>
        <v>-1.0216253206548415E-2</v>
      </c>
      <c r="L143" s="141">
        <f t="shared" ca="1" si="48"/>
        <v>-20432.50641309682</v>
      </c>
      <c r="M143" s="142">
        <f t="shared" ca="1" si="49"/>
        <v>1946495.4275288326</v>
      </c>
      <c r="N143" s="76">
        <f t="shared" ca="1" si="50"/>
        <v>-2.6752286235583688E-2</v>
      </c>
      <c r="O143" s="141">
        <f t="shared" ca="1" si="51"/>
        <v>-53504.572471167368</v>
      </c>
    </row>
    <row r="144" spans="1:15" ht="16.5" customHeight="1">
      <c r="A144" s="153">
        <v>9</v>
      </c>
      <c r="B144" s="153" t="str">
        <f>TEXT(투자전략!$G$1+8, "[$-ko-KR]yyyy.mm.dd")</f>
        <v>2021.09.09</v>
      </c>
      <c r="C144" s="135">
        <f t="shared" ca="1" si="39"/>
        <v>2000000</v>
      </c>
      <c r="D144" s="139">
        <f t="shared" ca="1" si="40"/>
        <v>2112505.5488831312</v>
      </c>
      <c r="E144" s="77">
        <f t="shared" ca="1" si="41"/>
        <v>5.6252774441565546E-2</v>
      </c>
      <c r="F144" s="137">
        <f t="shared" ca="1" si="42"/>
        <v>112505.54888313108</v>
      </c>
      <c r="G144" s="139">
        <f t="shared" ca="1" si="43"/>
        <v>2135365.4945206991</v>
      </c>
      <c r="H144" s="77">
        <f t="shared" ca="1" si="44"/>
        <v>6.7682747260349535E-2</v>
      </c>
      <c r="I144" s="137">
        <f t="shared" ca="1" si="45"/>
        <v>135365.49452069908</v>
      </c>
      <c r="J144" s="139">
        <f t="shared" ca="1" si="46"/>
        <v>2170790.1456349348</v>
      </c>
      <c r="K144" s="77">
        <f t="shared" ca="1" si="47"/>
        <v>8.5395072817467388E-2</v>
      </c>
      <c r="L144" s="137">
        <f t="shared" ca="1" si="48"/>
        <v>170790.14563493483</v>
      </c>
      <c r="M144" s="139">
        <f t="shared" ca="1" si="49"/>
        <v>2163089.6010283572</v>
      </c>
      <c r="N144" s="77">
        <f t="shared" ca="1" si="50"/>
        <v>8.1544800514178492E-2</v>
      </c>
      <c r="O144" s="137">
        <f t="shared" ca="1" si="51"/>
        <v>163089.60102835693</v>
      </c>
    </row>
    <row r="145" spans="1:15" ht="16.5" customHeight="1">
      <c r="A145" s="153">
        <v>10</v>
      </c>
      <c r="B145" s="153" t="str">
        <f>TEXT(투자전략!$G$1+9, "[$-ko-KR]yyyy.mm.dd")</f>
        <v>2021.09.10</v>
      </c>
      <c r="C145" s="135">
        <f t="shared" ca="1" si="39"/>
        <v>2000000</v>
      </c>
      <c r="D145" s="139">
        <f t="shared" ca="1" si="40"/>
        <v>2057325.8780723501</v>
      </c>
      <c r="E145" s="77">
        <f t="shared" ca="1" si="41"/>
        <v>2.8662939036174988E-2</v>
      </c>
      <c r="F145" s="137">
        <f t="shared" ca="1" si="42"/>
        <v>57325.87807234998</v>
      </c>
      <c r="G145" s="139">
        <f t="shared" ca="1" si="43"/>
        <v>1991213.3313537263</v>
      </c>
      <c r="H145" s="77">
        <f t="shared" ca="1" si="44"/>
        <v>-4.3933343231368121E-3</v>
      </c>
      <c r="I145" s="137">
        <f t="shared" ca="1" si="45"/>
        <v>-8786.6686462736234</v>
      </c>
      <c r="J145" s="139">
        <f t="shared" ca="1" si="46"/>
        <v>2004480.6109983809</v>
      </c>
      <c r="K145" s="77">
        <f t="shared" ca="1" si="47"/>
        <v>2.2403054991904808E-3</v>
      </c>
      <c r="L145" s="137">
        <f t="shared" ca="1" si="48"/>
        <v>4480.6109983809583</v>
      </c>
      <c r="M145" s="139">
        <f t="shared" ca="1" si="49"/>
        <v>1907240.0994026626</v>
      </c>
      <c r="N145" s="77">
        <f t="shared" ca="1" si="50"/>
        <v>-4.6379950298668718E-2</v>
      </c>
      <c r="O145" s="137">
        <f t="shared" ca="1" si="51"/>
        <v>-92759.90059733743</v>
      </c>
    </row>
    <row r="146" spans="1:15" ht="16.5" customHeight="1">
      <c r="A146" s="153">
        <v>11</v>
      </c>
      <c r="B146" s="153" t="str">
        <f>TEXT(투자전략!$G$1+10, "[$-ko-KR]yyyy.mm.dd")</f>
        <v>2021.09.11</v>
      </c>
      <c r="C146" s="135">
        <f t="shared" ca="1" si="39"/>
        <v>2000000</v>
      </c>
      <c r="D146" s="139">
        <f t="shared" ca="1" si="40"/>
        <v>2029048.9583305651</v>
      </c>
      <c r="E146" s="77">
        <f t="shared" ca="1" si="41"/>
        <v>1.4524479165282577E-2</v>
      </c>
      <c r="F146" s="137">
        <f t="shared" ca="1" si="42"/>
        <v>29048.958330565154</v>
      </c>
      <c r="G146" s="139">
        <f t="shared" ca="1" si="43"/>
        <v>2057727.4903044337</v>
      </c>
      <c r="H146" s="77">
        <f t="shared" ca="1" si="44"/>
        <v>2.8863745152216902E-2</v>
      </c>
      <c r="I146" s="137">
        <f t="shared" ca="1" si="45"/>
        <v>57727.490304433792</v>
      </c>
      <c r="J146" s="139">
        <f t="shared" ca="1" si="46"/>
        <v>2051573.6419808555</v>
      </c>
      <c r="K146" s="77">
        <f t="shared" ca="1" si="47"/>
        <v>2.5786820990427735E-2</v>
      </c>
      <c r="L146" s="137">
        <f t="shared" ca="1" si="48"/>
        <v>51573.641980855478</v>
      </c>
      <c r="M146" s="139">
        <f t="shared" ca="1" si="49"/>
        <v>2000000</v>
      </c>
      <c r="N146" s="77">
        <f t="shared" ca="1" si="50"/>
        <v>0</v>
      </c>
      <c r="O146" s="137">
        <f t="shared" ca="1" si="51"/>
        <v>0</v>
      </c>
    </row>
    <row r="147" spans="1:15" ht="16.5" customHeight="1">
      <c r="A147" s="153">
        <v>12</v>
      </c>
      <c r="B147" s="153" t="str">
        <f>TEXT(투자전략!$G$1+11, "[$-ko-KR]yyyy.mm.dd")</f>
        <v>2021.09.12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2021.09.13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2021.09.14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2021.09.15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2021.09.16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2021.09.17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2021.09.18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2021.09.19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2021.09.20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2021.09.21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2021.09.22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2021.09.23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2021.09.24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2021.09.25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2021.09.26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2021.09.27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2021.09.28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2021.09.29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2021.09.30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10" t="s">
        <v>283</v>
      </c>
      <c r="B167" s="212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16"/>
      <c r="B168" s="218"/>
      <c r="C168" s="136">
        <f ca="1">SUM(C136:C166)</f>
        <v>22000000</v>
      </c>
      <c r="D168" s="140">
        <f ca="1">SUM(D136:D166)</f>
        <v>22869732.957122251</v>
      </c>
      <c r="E168" s="79">
        <f ca="1">IFERROR(F168 / (SUM($C136:$C166) / COUNT($C136:$C166)), 0)</f>
        <v>0.43486647856112531</v>
      </c>
      <c r="F168" s="138">
        <f ca="1">SUM(F136:F166)</f>
        <v>869732.95712225058</v>
      </c>
      <c r="G168" s="140">
        <f ca="1">SUM(G136:G166)</f>
        <v>22731022.359492462</v>
      </c>
      <c r="H168" s="79">
        <f ca="1">IFERROR(I168 / (SUM($C136:$C166) / COUNT($C136:$C166)), 0)</f>
        <v>0.36551117974623187</v>
      </c>
      <c r="I168" s="138">
        <f ca="1">SUM(I136:I166)</f>
        <v>731022.35949246376</v>
      </c>
      <c r="J168" s="140">
        <f ca="1">SUM(J136:J166)</f>
        <v>22720071.507269129</v>
      </c>
      <c r="K168" s="79">
        <f ca="1">IFERROR(L168 / (SUM($C136:$C166) / COUNT($C136:$C166)), 0)</f>
        <v>0.3600357536345643</v>
      </c>
      <c r="L168" s="138">
        <f ca="1">SUM(L136:L166)</f>
        <v>720071.50726912857</v>
      </c>
      <c r="M168" s="140">
        <f ca="1">SUM(M136:M166)</f>
        <v>22352719.837296221</v>
      </c>
      <c r="N168" s="79">
        <f ca="1">IFERROR(O168 / (SUM($C136:$C166) / COUNT($C136:$C166)), 0)</f>
        <v>0.17635991864811087</v>
      </c>
      <c r="O168" s="138">
        <f ca="1">SUM(O136:O166)</f>
        <v>352719.83729622175</v>
      </c>
    </row>
    <row r="170" spans="1:15" ht="16.5" customHeight="1" thickBot="1"/>
    <row r="171" spans="1:15" ht="16.5" customHeight="1" thickBot="1">
      <c r="A171" s="201" t="str">
        <f>TEXT(투자전략!$G$1, "[$-ko-KR]yyyy년 mm월 ") &amp; "[엽전코인] 전일대비 상승률 Bottom20 월말결산"</f>
        <v>2021년 09월 [엽전코인] 전일대비 상승률 Bottom20 월말결산</v>
      </c>
      <c r="B171" s="202"/>
      <c r="C171" s="202"/>
      <c r="D171" s="202"/>
      <c r="E171" s="202"/>
      <c r="F171" s="202"/>
      <c r="G171" s="202"/>
      <c r="H171" s="202"/>
      <c r="I171" s="202"/>
      <c r="J171" s="202"/>
      <c r="K171" s="202"/>
      <c r="L171" s="202"/>
      <c r="M171" s="202"/>
      <c r="N171" s="202"/>
      <c r="O171" s="203"/>
    </row>
    <row r="172" spans="1:15" ht="16.5" customHeight="1" thickBot="1">
      <c r="A172" s="262" t="s">
        <v>284</v>
      </c>
      <c r="B172" s="216" t="s">
        <v>282</v>
      </c>
      <c r="C172" s="218"/>
      <c r="D172" s="216" t="s">
        <v>274</v>
      </c>
      <c r="E172" s="217"/>
      <c r="F172" s="218"/>
      <c r="G172" s="216" t="s">
        <v>275</v>
      </c>
      <c r="H172" s="217"/>
      <c r="I172" s="218"/>
      <c r="J172" s="216" t="s">
        <v>276</v>
      </c>
      <c r="K172" s="217"/>
      <c r="L172" s="218"/>
      <c r="M172" s="216" t="s">
        <v>277</v>
      </c>
      <c r="N172" s="217"/>
      <c r="O172" s="218"/>
    </row>
    <row r="173" spans="1:15" ht="16.5" customHeight="1" thickBot="1">
      <c r="A173" s="266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2021.09.01</v>
      </c>
      <c r="C174" s="134">
        <f ca="1">IFERROR(COUNTA(INDIRECT($B174&amp;"!A125:A144")) * INDIRECT($B174&amp;"!B145"), "")</f>
        <v>1700000</v>
      </c>
      <c r="D174" s="142">
        <f ca="1">IFERROR($C174 * (1 + E174), "")</f>
        <v>1733291.8626538999</v>
      </c>
      <c r="E174" s="76">
        <f ca="1">IFERROR(INDIRECT($B174&amp;"!E145"), "")</f>
        <v>1.9583448619941168E-2</v>
      </c>
      <c r="F174" s="141">
        <f ca="1">IFERROR(INDIRECT($B174&amp;"!F145"), "")</f>
        <v>33291.862653899989</v>
      </c>
      <c r="G174" s="142">
        <f ca="1">IFERROR($C174 * (1 + H174), "")</f>
        <v>1833534.6945913995</v>
      </c>
      <c r="H174" s="76">
        <f ca="1">IFERROR(INDIRECT($B174&amp;"!H145"), "")</f>
        <v>7.8549820347881952E-2</v>
      </c>
      <c r="I174" s="141">
        <f ca="1">IFERROR(INDIRECT($B174&amp;"!I145"), "")</f>
        <v>133534.69459139931</v>
      </c>
      <c r="J174" s="142">
        <f ca="1">IFERROR($C174 * (1 + K174), "")</f>
        <v>1811760.4124033859</v>
      </c>
      <c r="K174" s="76">
        <f ca="1">IFERROR(INDIRECT($B174&amp;"!K145"), "")</f>
        <v>6.5741419060815168E-2</v>
      </c>
      <c r="L174" s="141">
        <f ca="1">IFERROR(INDIRECT($B174&amp;"!L145"), "")</f>
        <v>111760.4124033858</v>
      </c>
      <c r="M174" s="142">
        <f ca="1">IFERROR($C174 * (1 + N174), "")</f>
        <v>1796004.1924465848</v>
      </c>
      <c r="N174" s="76">
        <f ca="1">IFERROR(INDIRECT($B174&amp;"!N145"), "")</f>
        <v>5.6473054380343897E-2</v>
      </c>
      <c r="O174" s="141">
        <f ca="1">IFERROR(INDIRECT($B174&amp;"!O145"), "")</f>
        <v>96004.19244658461</v>
      </c>
    </row>
    <row r="175" spans="1:15" ht="16.5" customHeight="1">
      <c r="A175" s="153">
        <v>2</v>
      </c>
      <c r="B175" s="153" t="str">
        <f>TEXT(투자전략!$G$1+1, "[$-ko-KR]yyyy.mm.dd")</f>
        <v>2021.09.02</v>
      </c>
      <c r="C175" s="135">
        <f t="shared" ref="C175:C204" ca="1" si="52">IFERROR(COUNTA(INDIRECT($B175&amp;"!A125:A144")) * INDIRECT($B175&amp;"!B145"), "")</f>
        <v>1700000</v>
      </c>
      <c r="D175" s="139">
        <f t="shared" ref="D175:D204" ca="1" si="53">IFERROR($C175 * (1 + E175), "")</f>
        <v>1736758.7017872678</v>
      </c>
      <c r="E175" s="77">
        <f t="shared" ref="E175:E204" ca="1" si="54">IFERROR(INDIRECT($B175&amp;"!E145"), "")</f>
        <v>2.1622765757216306E-2</v>
      </c>
      <c r="F175" s="137">
        <f t="shared" ref="F175:F204" ca="1" si="55">IFERROR(INDIRECT($B175&amp;"!F145"), "")</f>
        <v>36758.70178726771</v>
      </c>
      <c r="G175" s="139">
        <f t="shared" ref="G175:G204" ca="1" si="56">IFERROR($C175 * (1 + H175), "")</f>
        <v>1746788.5735212532</v>
      </c>
      <c r="H175" s="77">
        <f t="shared" ref="H175:H204" ca="1" si="57">IFERROR(INDIRECT($B175&amp;"!H145"), "")</f>
        <v>2.7522690306619434E-2</v>
      </c>
      <c r="I175" s="137">
        <f t="shared" ref="I175:I204" ca="1" si="58">IFERROR(INDIRECT($B175&amp;"!I145"), "")</f>
        <v>46788.573521253042</v>
      </c>
      <c r="J175" s="139">
        <f t="shared" ref="J175:J204" ca="1" si="59">IFERROR($C175 * (1 + K175), "")</f>
        <v>1758796.7725073465</v>
      </c>
      <c r="K175" s="77">
        <f t="shared" ref="K175:K204" ca="1" si="60">IFERROR(INDIRECT($B175&amp;"!K145"), "")</f>
        <v>3.4586336769027295E-2</v>
      </c>
      <c r="L175" s="137">
        <f t="shared" ref="L175:L204" ca="1" si="61">IFERROR(INDIRECT($B175&amp;"!L145"), "")</f>
        <v>58796.772507346395</v>
      </c>
      <c r="M175" s="139">
        <f t="shared" ref="M175:M204" ca="1" si="62">IFERROR($C175 * (1 + N175), "")</f>
        <v>1733743.0985039275</v>
      </c>
      <c r="N175" s="77">
        <f t="shared" ref="N175:N204" ca="1" si="63">IFERROR(INDIRECT($B175&amp;"!N145"), "")</f>
        <v>1.9848881472898473E-2</v>
      </c>
      <c r="O175" s="137">
        <f t="shared" ref="O175:O204" ca="1" si="64">IFERROR(INDIRECT($B175&amp;"!O145"), "")</f>
        <v>33743.098503927409</v>
      </c>
    </row>
    <row r="176" spans="1:15" ht="16.5" customHeight="1">
      <c r="A176" s="153">
        <v>3</v>
      </c>
      <c r="B176" s="153" t="str">
        <f>TEXT(투자전략!$G$1+2, "[$-ko-KR]yyyy.mm.dd")</f>
        <v>2021.09.03</v>
      </c>
      <c r="C176" s="135">
        <f t="shared" ca="1" si="52"/>
        <v>1700000</v>
      </c>
      <c r="D176" s="139">
        <f t="shared" ca="1" si="53"/>
        <v>1721202.1173712069</v>
      </c>
      <c r="E176" s="77">
        <f t="shared" ca="1" si="54"/>
        <v>1.2471833747768647E-2</v>
      </c>
      <c r="F176" s="137">
        <f t="shared" ca="1" si="55"/>
        <v>21202.117371206696</v>
      </c>
      <c r="G176" s="139">
        <f t="shared" ca="1" si="56"/>
        <v>1741444.1811495631</v>
      </c>
      <c r="H176" s="77">
        <f t="shared" ca="1" si="57"/>
        <v>2.4378930087978156E-2</v>
      </c>
      <c r="I176" s="137">
        <f t="shared" ca="1" si="58"/>
        <v>41444.181149562857</v>
      </c>
      <c r="J176" s="139">
        <f t="shared" ca="1" si="59"/>
        <v>1743859.3105802843</v>
      </c>
      <c r="K176" s="77">
        <f t="shared" ca="1" si="60"/>
        <v>2.5799594458990764E-2</v>
      </c>
      <c r="L176" s="137">
        <f t="shared" ca="1" si="61"/>
        <v>43859.310580284298</v>
      </c>
      <c r="M176" s="139">
        <f t="shared" ca="1" si="62"/>
        <v>1747400.9691209516</v>
      </c>
      <c r="N176" s="77">
        <f t="shared" ca="1" si="63"/>
        <v>2.7882923012324555E-2</v>
      </c>
      <c r="O176" s="137">
        <f t="shared" ca="1" si="64"/>
        <v>47400.969120951755</v>
      </c>
    </row>
    <row r="177" spans="1:15" ht="16.5" customHeight="1">
      <c r="A177" s="153">
        <v>4</v>
      </c>
      <c r="B177" s="153" t="str">
        <f>TEXT(투자전략!$G$1+3, "[$-ko-KR]yyyy.mm.dd")</f>
        <v>2021.09.04</v>
      </c>
      <c r="C177" s="135">
        <f t="shared" ca="1" si="52"/>
        <v>1600000</v>
      </c>
      <c r="D177" s="139">
        <f t="shared" ca="1" si="53"/>
        <v>1711159.2651843508</v>
      </c>
      <c r="E177" s="77">
        <f t="shared" ca="1" si="54"/>
        <v>6.9474540740219359E-2</v>
      </c>
      <c r="F177" s="137">
        <f t="shared" ca="1" si="55"/>
        <v>111159.26518435098</v>
      </c>
      <c r="G177" s="139">
        <f t="shared" ca="1" si="56"/>
        <v>1782632.5097885884</v>
      </c>
      <c r="H177" s="77">
        <f t="shared" ca="1" si="57"/>
        <v>0.11414531861786774</v>
      </c>
      <c r="I177" s="137">
        <f t="shared" ca="1" si="58"/>
        <v>182632.50978858842</v>
      </c>
      <c r="J177" s="139">
        <f t="shared" ca="1" si="59"/>
        <v>1718306.8433823313</v>
      </c>
      <c r="K177" s="77">
        <f t="shared" ca="1" si="60"/>
        <v>7.3941777113957025E-2</v>
      </c>
      <c r="L177" s="137">
        <f t="shared" ca="1" si="61"/>
        <v>118306.84338233124</v>
      </c>
      <c r="M177" s="139">
        <f t="shared" ca="1" si="62"/>
        <v>1742415.3707727757</v>
      </c>
      <c r="N177" s="77">
        <f t="shared" ca="1" si="63"/>
        <v>8.9009606732984803E-2</v>
      </c>
      <c r="O177" s="137">
        <f t="shared" ca="1" si="64"/>
        <v>142415.3707727757</v>
      </c>
    </row>
    <row r="178" spans="1:15" ht="16.5" customHeight="1">
      <c r="A178" s="153">
        <v>5</v>
      </c>
      <c r="B178" s="153" t="str">
        <f>TEXT(투자전략!$G$1+4, "[$-ko-KR]yyyy.mm.dd")</f>
        <v>2021.09.05</v>
      </c>
      <c r="C178" s="135">
        <f t="shared" ca="1" si="52"/>
        <v>1500000</v>
      </c>
      <c r="D178" s="139">
        <f t="shared" ca="1" si="53"/>
        <v>1623719.2125597408</v>
      </c>
      <c r="E178" s="77">
        <f t="shared" ca="1" si="54"/>
        <v>8.2479475039827249E-2</v>
      </c>
      <c r="F178" s="137">
        <f t="shared" ca="1" si="55"/>
        <v>123719.21255974089</v>
      </c>
      <c r="G178" s="139">
        <f t="shared" ca="1" si="56"/>
        <v>1633912.8010124592</v>
      </c>
      <c r="H178" s="77">
        <f t="shared" ca="1" si="57"/>
        <v>8.9275200674972952E-2</v>
      </c>
      <c r="I178" s="137">
        <f t="shared" ca="1" si="58"/>
        <v>133912.80101245944</v>
      </c>
      <c r="J178" s="139">
        <f t="shared" ca="1" si="59"/>
        <v>1638660.4224978937</v>
      </c>
      <c r="K178" s="77">
        <f t="shared" ca="1" si="60"/>
        <v>9.2440281665262525E-2</v>
      </c>
      <c r="L178" s="137">
        <f t="shared" ca="1" si="61"/>
        <v>138660.4224978938</v>
      </c>
      <c r="M178" s="139">
        <f t="shared" ca="1" si="62"/>
        <v>1581940.0581297958</v>
      </c>
      <c r="N178" s="77">
        <f t="shared" ca="1" si="63"/>
        <v>5.4626705419863829E-2</v>
      </c>
      <c r="O178" s="137">
        <f t="shared" ca="1" si="64"/>
        <v>81940.05812979574</v>
      </c>
    </row>
    <row r="179" spans="1:15" ht="16.5" customHeight="1">
      <c r="A179" s="153">
        <v>6</v>
      </c>
      <c r="B179" s="153" t="str">
        <f>TEXT(투자전략!$G$1+5, "[$-ko-KR]yyyy.mm.dd")</f>
        <v>2021.09.06</v>
      </c>
      <c r="C179" s="135">
        <f t="shared" ca="1" si="52"/>
        <v>1400000</v>
      </c>
      <c r="D179" s="139">
        <f t="shared" ca="1" si="53"/>
        <v>1400819.109810133</v>
      </c>
      <c r="E179" s="77">
        <f t="shared" ca="1" si="54"/>
        <v>5.8507843580929517E-4</v>
      </c>
      <c r="F179" s="137">
        <f t="shared" ca="1" si="55"/>
        <v>819.10981013301398</v>
      </c>
      <c r="G179" s="139">
        <f t="shared" ca="1" si="56"/>
        <v>1380083.0744764647</v>
      </c>
      <c r="H179" s="77">
        <f t="shared" ca="1" si="57"/>
        <v>-1.4226375373953737E-2</v>
      </c>
      <c r="I179" s="137">
        <f t="shared" ca="1" si="58"/>
        <v>-19916.925523535232</v>
      </c>
      <c r="J179" s="139">
        <f t="shared" ca="1" si="59"/>
        <v>1341028.7341923963</v>
      </c>
      <c r="K179" s="77">
        <f t="shared" ca="1" si="60"/>
        <v>-4.2122332719717007E-2</v>
      </c>
      <c r="L179" s="137">
        <f t="shared" ca="1" si="61"/>
        <v>-58971.265807603813</v>
      </c>
      <c r="M179" s="139">
        <f t="shared" ca="1" si="62"/>
        <v>1368999.7810305515</v>
      </c>
      <c r="N179" s="77">
        <f t="shared" ca="1" si="63"/>
        <v>-2.2143013549606107E-2</v>
      </c>
      <c r="O179" s="137">
        <f t="shared" ca="1" si="64"/>
        <v>-31000.21896944855</v>
      </c>
    </row>
    <row r="180" spans="1:15" ht="16.5" customHeight="1" thickBot="1">
      <c r="A180" s="155">
        <v>7</v>
      </c>
      <c r="B180" s="155" t="str">
        <f>TEXT(투자전략!$G$1+6, "[$-ko-KR]yyyy.mm.dd")</f>
        <v>2021.09.07</v>
      </c>
      <c r="C180" s="135">
        <f t="shared" ca="1" si="52"/>
        <v>1400000</v>
      </c>
      <c r="D180" s="139">
        <f t="shared" ca="1" si="53"/>
        <v>1401420.3920765119</v>
      </c>
      <c r="E180" s="77">
        <f t="shared" ca="1" si="54"/>
        <v>1.0145657689371046E-3</v>
      </c>
      <c r="F180" s="137">
        <f t="shared" ca="1" si="55"/>
        <v>1420.3920765119465</v>
      </c>
      <c r="G180" s="139">
        <f t="shared" ca="1" si="56"/>
        <v>1335836.6411713152</v>
      </c>
      <c r="H180" s="77">
        <f t="shared" ca="1" si="57"/>
        <v>-4.583097059191777E-2</v>
      </c>
      <c r="I180" s="137">
        <f t="shared" ca="1" si="58"/>
        <v>-64163.358828684875</v>
      </c>
      <c r="J180" s="139">
        <f t="shared" ca="1" si="59"/>
        <v>1344181.1566962199</v>
      </c>
      <c r="K180" s="77">
        <f t="shared" ca="1" si="60"/>
        <v>-3.9870602359842806E-2</v>
      </c>
      <c r="L180" s="137">
        <f t="shared" ca="1" si="61"/>
        <v>-55818.843303779911</v>
      </c>
      <c r="M180" s="139">
        <f t="shared" ca="1" si="62"/>
        <v>1216456.4249767708</v>
      </c>
      <c r="N180" s="77">
        <f t="shared" ca="1" si="63"/>
        <v>-0.13110255358802084</v>
      </c>
      <c r="O180" s="137">
        <f t="shared" ca="1" si="64"/>
        <v>-183543.5750232292</v>
      </c>
    </row>
    <row r="181" spans="1:15" ht="16.5" customHeight="1">
      <c r="A181" s="154">
        <v>8</v>
      </c>
      <c r="B181" s="154" t="str">
        <f>TEXT(투자전략!$G$1+7, "[$-ko-KR]yyyy.mm.dd")</f>
        <v>2021.09.08</v>
      </c>
      <c r="C181" s="134">
        <f t="shared" ca="1" si="52"/>
        <v>1700000</v>
      </c>
      <c r="D181" s="142">
        <f t="shared" ca="1" si="53"/>
        <v>1649061.8066034061</v>
      </c>
      <c r="E181" s="76">
        <f t="shared" ca="1" si="54"/>
        <v>-2.9963643174466943E-2</v>
      </c>
      <c r="F181" s="141">
        <f t="shared" ca="1" si="55"/>
        <v>-50938.193396593808</v>
      </c>
      <c r="G181" s="142">
        <f t="shared" ca="1" si="56"/>
        <v>1593927.6672694979</v>
      </c>
      <c r="H181" s="76">
        <f t="shared" ca="1" si="57"/>
        <v>-6.2395489841471807E-2</v>
      </c>
      <c r="I181" s="141">
        <f t="shared" ca="1" si="58"/>
        <v>-106072.33273050206</v>
      </c>
      <c r="J181" s="142">
        <f t="shared" ca="1" si="59"/>
        <v>1650626.936261391</v>
      </c>
      <c r="K181" s="76">
        <f t="shared" ca="1" si="60"/>
        <v>-2.9042978669769962E-2</v>
      </c>
      <c r="L181" s="141">
        <f t="shared" ca="1" si="61"/>
        <v>-49373.063738608937</v>
      </c>
      <c r="M181" s="142">
        <f t="shared" ca="1" si="62"/>
        <v>1615868.1779961148</v>
      </c>
      <c r="N181" s="76">
        <f t="shared" ca="1" si="63"/>
        <v>-4.948930706110892E-2</v>
      </c>
      <c r="O181" s="141">
        <f t="shared" ca="1" si="64"/>
        <v>-84131.822003885172</v>
      </c>
    </row>
    <row r="182" spans="1:15" ht="16.5" customHeight="1">
      <c r="A182" s="153">
        <v>9</v>
      </c>
      <c r="B182" s="153" t="str">
        <f>TEXT(투자전략!$G$1+8, "[$-ko-KR]yyyy.mm.dd")</f>
        <v>2021.09.09</v>
      </c>
      <c r="C182" s="135">
        <f t="shared" ca="1" si="52"/>
        <v>1700000</v>
      </c>
      <c r="D182" s="139">
        <f t="shared" ca="1" si="53"/>
        <v>1847982.1597450376</v>
      </c>
      <c r="E182" s="77">
        <f t="shared" ca="1" si="54"/>
        <v>8.704832926178678E-2</v>
      </c>
      <c r="F182" s="137">
        <f t="shared" ca="1" si="55"/>
        <v>147982.15974503756</v>
      </c>
      <c r="G182" s="139">
        <f t="shared" ca="1" si="56"/>
        <v>1879757.8193615505</v>
      </c>
      <c r="H182" s="77">
        <f t="shared" ca="1" si="57"/>
        <v>0.1057398937420887</v>
      </c>
      <c r="I182" s="137">
        <f t="shared" ca="1" si="58"/>
        <v>179757.81936155079</v>
      </c>
      <c r="J182" s="139">
        <f t="shared" ca="1" si="59"/>
        <v>1900439.2615120506</v>
      </c>
      <c r="K182" s="77">
        <f t="shared" ca="1" si="60"/>
        <v>0.1179054479482651</v>
      </c>
      <c r="L182" s="137">
        <f t="shared" ca="1" si="61"/>
        <v>200439.26151205067</v>
      </c>
      <c r="M182" s="139">
        <f t="shared" ca="1" si="62"/>
        <v>1906289.4951082671</v>
      </c>
      <c r="N182" s="77">
        <f t="shared" ca="1" si="63"/>
        <v>0.12134676182839238</v>
      </c>
      <c r="O182" s="137">
        <f t="shared" ca="1" si="64"/>
        <v>206289.49510826709</v>
      </c>
    </row>
    <row r="183" spans="1:15" ht="16.5" customHeight="1">
      <c r="A183" s="153">
        <v>10</v>
      </c>
      <c r="B183" s="153" t="str">
        <f>TEXT(투자전략!$G$1+9, "[$-ko-KR]yyyy.mm.dd")</f>
        <v>2021.09.10</v>
      </c>
      <c r="C183" s="135">
        <f t="shared" ca="1" si="52"/>
        <v>1600000</v>
      </c>
      <c r="D183" s="139">
        <f t="shared" ca="1" si="53"/>
        <v>1641981.7692109526</v>
      </c>
      <c r="E183" s="77">
        <f t="shared" ca="1" si="54"/>
        <v>2.6238605756845407E-2</v>
      </c>
      <c r="F183" s="137">
        <f t="shared" ca="1" si="55"/>
        <v>41981.769210952654</v>
      </c>
      <c r="G183" s="139">
        <f t="shared" ca="1" si="56"/>
        <v>1576372.5095657571</v>
      </c>
      <c r="H183" s="77">
        <f t="shared" ca="1" si="57"/>
        <v>-1.4767181521401719E-2</v>
      </c>
      <c r="I183" s="137">
        <f t="shared" ca="1" si="58"/>
        <v>-23627.490434242747</v>
      </c>
      <c r="J183" s="139">
        <f t="shared" ca="1" si="59"/>
        <v>1590609.1107057447</v>
      </c>
      <c r="K183" s="77">
        <f t="shared" ca="1" si="60"/>
        <v>-5.8693058089095045E-3</v>
      </c>
      <c r="L183" s="137">
        <f t="shared" ca="1" si="61"/>
        <v>-9390.8892942552102</v>
      </c>
      <c r="M183" s="139">
        <f t="shared" ca="1" si="62"/>
        <v>1528294.6061561699</v>
      </c>
      <c r="N183" s="77">
        <f t="shared" ca="1" si="63"/>
        <v>-4.4815871152393778E-2</v>
      </c>
      <c r="O183" s="137">
        <f t="shared" ca="1" si="64"/>
        <v>-71705.393843830054</v>
      </c>
    </row>
    <row r="184" spans="1:15" ht="16.5" customHeight="1">
      <c r="A184" s="153">
        <v>11</v>
      </c>
      <c r="B184" s="153" t="str">
        <f>TEXT(투자전략!$G$1+10, "[$-ko-KR]yyyy.mm.dd")</f>
        <v>2021.09.11</v>
      </c>
      <c r="C184" s="135">
        <f t="shared" ca="1" si="52"/>
        <v>1700000</v>
      </c>
      <c r="D184" s="139">
        <f t="shared" ca="1" si="53"/>
        <v>1713734.1601792632</v>
      </c>
      <c r="E184" s="77">
        <f t="shared" ca="1" si="54"/>
        <v>8.078917752507752E-3</v>
      </c>
      <c r="F184" s="137">
        <f t="shared" ca="1" si="55"/>
        <v>13734.160179263177</v>
      </c>
      <c r="G184" s="139">
        <f t="shared" ca="1" si="56"/>
        <v>1722111.566875462</v>
      </c>
      <c r="H184" s="77">
        <f t="shared" ca="1" si="57"/>
        <v>1.3006804044389378E-2</v>
      </c>
      <c r="I184" s="137">
        <f t="shared" ca="1" si="58"/>
        <v>22111.56687546194</v>
      </c>
      <c r="J184" s="139">
        <f t="shared" ca="1" si="59"/>
        <v>1721926.5153961151</v>
      </c>
      <c r="K184" s="77">
        <f t="shared" ca="1" si="60"/>
        <v>1.2897950233008874E-2</v>
      </c>
      <c r="L184" s="137">
        <f t="shared" ca="1" si="61"/>
        <v>21926.515396115083</v>
      </c>
      <c r="M184" s="139">
        <f t="shared" ca="1" si="62"/>
        <v>1700000</v>
      </c>
      <c r="N184" s="77">
        <f t="shared" ca="1" si="63"/>
        <v>0</v>
      </c>
      <c r="O184" s="137">
        <f t="shared" ca="1" si="64"/>
        <v>0</v>
      </c>
    </row>
    <row r="185" spans="1:15" ht="16.5" customHeight="1">
      <c r="A185" s="153">
        <v>12</v>
      </c>
      <c r="B185" s="153" t="str">
        <f>TEXT(투자전략!$G$1+11, "[$-ko-KR]yyyy.mm.dd")</f>
        <v>2021.09.12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2021.09.13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2021.09.14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2021.09.15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2021.09.16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2021.09.17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2021.09.18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2021.09.19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2021.09.20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2021.09.21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2021.09.22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2021.09.23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2021.09.24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2021.09.25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2021.09.26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2021.09.27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2021.09.28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2021.09.29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2021.09.30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10" t="s">
        <v>283</v>
      </c>
      <c r="B205" s="212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16"/>
      <c r="B206" s="218"/>
      <c r="C206" s="136">
        <f ca="1">SUM(C174:C204)</f>
        <v>17700000</v>
      </c>
      <c r="D206" s="140">
        <f ca="1">SUM(D174:D204)</f>
        <v>18181130.557181772</v>
      </c>
      <c r="E206" s="79">
        <f ca="1">IFERROR(F206 / (SUM($C174:$C204) / COUNT($C174:$C204)), 0)</f>
        <v>0.29900769090392532</v>
      </c>
      <c r="F206" s="138">
        <f ca="1">SUM(F174:F204)</f>
        <v>481130.55718177074</v>
      </c>
      <c r="G206" s="140">
        <f ca="1">SUM(G174:G204)</f>
        <v>18226402.038783316</v>
      </c>
      <c r="H206" s="79">
        <f ca="1">IFERROR(I206 / (SUM($C174:$C204) / COUNT($C174:$C204)), 0)</f>
        <v>0.32714250997832878</v>
      </c>
      <c r="I206" s="138">
        <f ca="1">SUM(I174:I204)</f>
        <v>526402.03878331091</v>
      </c>
      <c r="J206" s="140">
        <f ca="1">SUM(J174:J204)</f>
        <v>18220195.476135157</v>
      </c>
      <c r="K206" s="79">
        <f ca="1">IFERROR(L206 / (SUM($C174:$C204) / COUNT($C174:$C204)), 0)</f>
        <v>0.32328532415179395</v>
      </c>
      <c r="L206" s="138">
        <f ca="1">SUM(L174:L204)</f>
        <v>520195.47613515938</v>
      </c>
      <c r="M206" s="140">
        <f ca="1">SUM(M174:M204)</f>
        <v>17937412.174241908</v>
      </c>
      <c r="N206" s="79">
        <f ca="1">IFERROR(O206 / (SUM($C174:$C204) / COUNT($C174:$C204)), 0)</f>
        <v>0.14754428907689282</v>
      </c>
      <c r="O206" s="138">
        <f ca="1">SUM(O174:O204)</f>
        <v>237412.17424190935</v>
      </c>
    </row>
    <row r="208" spans="1:15" ht="16.5" customHeight="1" thickBot="1"/>
    <row r="209" spans="1:15" ht="16.5" customHeight="1" thickBot="1">
      <c r="A209" s="201" t="str">
        <f>TEXT(투자전략!$G$1, "[$-ko-KR]yyyy년 mm월 ") &amp; "[동전코인] 전일대비 상승률 Bottom20 월말결산"</f>
        <v>2021년 09월 [동전코인] 전일대비 상승률 Bottom20 월말결산</v>
      </c>
      <c r="B209" s="202"/>
      <c r="C209" s="202"/>
      <c r="D209" s="202"/>
      <c r="E209" s="202"/>
      <c r="F209" s="202"/>
      <c r="G209" s="202"/>
      <c r="H209" s="202"/>
      <c r="I209" s="202"/>
      <c r="J209" s="202"/>
      <c r="K209" s="202"/>
      <c r="L209" s="202"/>
      <c r="M209" s="202"/>
      <c r="N209" s="202"/>
      <c r="O209" s="203"/>
    </row>
    <row r="210" spans="1:15" ht="16.5" customHeight="1" thickBot="1">
      <c r="A210" s="262" t="s">
        <v>284</v>
      </c>
      <c r="B210" s="216" t="s">
        <v>282</v>
      </c>
      <c r="C210" s="218"/>
      <c r="D210" s="216" t="s">
        <v>274</v>
      </c>
      <c r="E210" s="217"/>
      <c r="F210" s="218"/>
      <c r="G210" s="216" t="s">
        <v>275</v>
      </c>
      <c r="H210" s="217"/>
      <c r="I210" s="218"/>
      <c r="J210" s="216" t="s">
        <v>276</v>
      </c>
      <c r="K210" s="217"/>
      <c r="L210" s="218"/>
      <c r="M210" s="216" t="s">
        <v>277</v>
      </c>
      <c r="N210" s="217"/>
      <c r="O210" s="218"/>
    </row>
    <row r="211" spans="1:15" ht="16.5" customHeight="1" thickBot="1">
      <c r="A211" s="266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2021.09.01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2008606.2947564228</v>
      </c>
      <c r="E212" s="76">
        <f ca="1">IFERROR(INDIRECT($B212&amp;"!E172"), "")</f>
        <v>4.3031473782113661E-3</v>
      </c>
      <c r="F212" s="141">
        <f ca="1">IFERROR(INDIRECT($B212&amp;"!F172"), "")</f>
        <v>8606.2947564227325</v>
      </c>
      <c r="G212" s="142">
        <f ca="1">IFERROR($C212 * (1 + H212), "")</f>
        <v>2029057.8653976263</v>
      </c>
      <c r="H212" s="76">
        <f ca="1">IFERROR(INDIRECT($B212&amp;"!H172"), "")</f>
        <v>1.4528932698813149E-2</v>
      </c>
      <c r="I212" s="141">
        <f ca="1">IFERROR(INDIRECT($B212&amp;"!I172"), "")</f>
        <v>29057.865397626301</v>
      </c>
      <c r="J212" s="142">
        <f ca="1">IFERROR($C212 * (1 + K212), "")</f>
        <v>2043256.4281756608</v>
      </c>
      <c r="K212" s="76">
        <f ca="1">IFERROR(INDIRECT($B212&amp;"!K172"), "")</f>
        <v>2.1628214087830226E-2</v>
      </c>
      <c r="L212" s="141">
        <f ca="1">IFERROR(INDIRECT($B212&amp;"!L172"), "")</f>
        <v>43256.428175660461</v>
      </c>
      <c r="M212" s="142">
        <f ca="1">IFERROR($C212 * (1 + N212), "")</f>
        <v>2039605.1435095645</v>
      </c>
      <c r="N212" s="76">
        <f ca="1">IFERROR(INDIRECT($B212&amp;"!N172"), "")</f>
        <v>1.9802571754782207E-2</v>
      </c>
      <c r="O212" s="141">
        <f ca="1">IFERROR(INDIRECT($B212&amp;"!O172"), "")</f>
        <v>39605.143509564412</v>
      </c>
    </row>
    <row r="213" spans="1:15" ht="16.5" customHeight="1">
      <c r="A213" s="153">
        <v>2</v>
      </c>
      <c r="B213" s="153" t="str">
        <f>TEXT(투자전략!$G$1+1, "[$-ko-KR]yyyy.mm.dd")</f>
        <v>2021.09.02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2041194.8341563581</v>
      </c>
      <c r="E213" s="77">
        <f t="shared" ref="E213:E242" ca="1" si="67">IFERROR(INDIRECT($B213&amp;"!E172"), "")</f>
        <v>2.0597417078179182E-2</v>
      </c>
      <c r="F213" s="137">
        <f t="shared" ref="F213:F242" ca="1" si="68">IFERROR(INDIRECT($B213&amp;"!F172"), "")</f>
        <v>41194.834156358353</v>
      </c>
      <c r="G213" s="139">
        <f t="shared" ref="G213:G242" ca="1" si="69">IFERROR($C213 * (1 + H213), "")</f>
        <v>2072831.2240386368</v>
      </c>
      <c r="H213" s="77">
        <f t="shared" ref="H213:H242" ca="1" si="70">IFERROR(INDIRECT($B213&amp;"!H172"), "")</f>
        <v>3.6415612019318318E-2</v>
      </c>
      <c r="I213" s="137">
        <f t="shared" ref="I213:I242" ca="1" si="71">IFERROR(INDIRECT($B213&amp;"!I172"), "")</f>
        <v>72831.224038636632</v>
      </c>
      <c r="J213" s="139">
        <f t="shared" ref="J213:J242" ca="1" si="72">IFERROR($C213 * (1 + K213), "")</f>
        <v>2082991.1697785936</v>
      </c>
      <c r="K213" s="77">
        <f t="shared" ref="K213:K242" ca="1" si="73">IFERROR(INDIRECT($B213&amp;"!K172"), "")</f>
        <v>4.1495584889296777E-2</v>
      </c>
      <c r="L213" s="137">
        <f t="shared" ref="L213:L242" ca="1" si="74">IFERROR(INDIRECT($B213&amp;"!L172"), "")</f>
        <v>82991.169778593568</v>
      </c>
      <c r="M213" s="139">
        <f t="shared" ref="M213:M242" ca="1" si="75">IFERROR($C213 * (1 + N213), "")</f>
        <v>2058142.2432547517</v>
      </c>
      <c r="N213" s="77">
        <f t="shared" ref="N213:N242" ca="1" si="76">IFERROR(INDIRECT($B213&amp;"!N172"), "")</f>
        <v>2.9071121627375778E-2</v>
      </c>
      <c r="O213" s="137">
        <f t="shared" ref="O213:O242" ca="1" si="77">IFERROR(INDIRECT($B213&amp;"!O172"), "")</f>
        <v>58142.243254751556</v>
      </c>
    </row>
    <row r="214" spans="1:15" ht="16.5" customHeight="1">
      <c r="A214" s="153">
        <v>3</v>
      </c>
      <c r="B214" s="153" t="str">
        <f>TEXT(투자전략!$G$1+2, "[$-ko-KR]yyyy.mm.dd")</f>
        <v>2021.09.03</v>
      </c>
      <c r="C214" s="135">
        <f t="shared" ca="1" si="65"/>
        <v>2000000</v>
      </c>
      <c r="D214" s="139">
        <f t="shared" ca="1" si="66"/>
        <v>2028718.4708410217</v>
      </c>
      <c r="E214" s="77">
        <f t="shared" ca="1" si="67"/>
        <v>1.4359235420510805E-2</v>
      </c>
      <c r="F214" s="137">
        <f t="shared" ca="1" si="68"/>
        <v>28718.470841021612</v>
      </c>
      <c r="G214" s="139">
        <f t="shared" ca="1" si="69"/>
        <v>2062054.6169069165</v>
      </c>
      <c r="H214" s="77">
        <f t="shared" ca="1" si="70"/>
        <v>3.1027308453458274E-2</v>
      </c>
      <c r="I214" s="137">
        <f t="shared" ca="1" si="71"/>
        <v>62054.616906916555</v>
      </c>
      <c r="J214" s="139">
        <f t="shared" ca="1" si="72"/>
        <v>2069822.1072811584</v>
      </c>
      <c r="K214" s="77">
        <f t="shared" ca="1" si="73"/>
        <v>3.491105364057924E-2</v>
      </c>
      <c r="L214" s="137">
        <f t="shared" ca="1" si="74"/>
        <v>69822.107281158518</v>
      </c>
      <c r="M214" s="139">
        <f t="shared" ca="1" si="75"/>
        <v>2079787.8516853245</v>
      </c>
      <c r="N214" s="77">
        <f t="shared" ca="1" si="76"/>
        <v>3.9893925842662249E-2</v>
      </c>
      <c r="O214" s="137">
        <f t="shared" ca="1" si="77"/>
        <v>79787.851685324509</v>
      </c>
    </row>
    <row r="215" spans="1:15" ht="16.5" customHeight="1">
      <c r="A215" s="153">
        <v>4</v>
      </c>
      <c r="B215" s="153" t="str">
        <f>TEXT(투자전략!$G$1+3, "[$-ko-KR]yyyy.mm.dd")</f>
        <v>2021.09.04</v>
      </c>
      <c r="C215" s="135">
        <f t="shared" ca="1" si="65"/>
        <v>2000000</v>
      </c>
      <c r="D215" s="139">
        <f t="shared" ca="1" si="66"/>
        <v>2109945.3941560537</v>
      </c>
      <c r="E215" s="77">
        <f t="shared" ca="1" si="67"/>
        <v>5.4972697078026912E-2</v>
      </c>
      <c r="F215" s="137">
        <f t="shared" ca="1" si="68"/>
        <v>109945.39415605379</v>
      </c>
      <c r="G215" s="139">
        <f t="shared" ca="1" si="69"/>
        <v>2203823.0394438407</v>
      </c>
      <c r="H215" s="77">
        <f t="shared" ca="1" si="70"/>
        <v>0.10191151972192045</v>
      </c>
      <c r="I215" s="137">
        <f t="shared" ca="1" si="71"/>
        <v>203823.03944384083</v>
      </c>
      <c r="J215" s="139">
        <f t="shared" ca="1" si="72"/>
        <v>2139589.5296724834</v>
      </c>
      <c r="K215" s="77">
        <f t="shared" ca="1" si="73"/>
        <v>6.9794764836241918E-2</v>
      </c>
      <c r="L215" s="137">
        <f t="shared" ca="1" si="74"/>
        <v>139589.52967248383</v>
      </c>
      <c r="M215" s="139">
        <f t="shared" ca="1" si="75"/>
        <v>2184777.9208790869</v>
      </c>
      <c r="N215" s="77">
        <f t="shared" ca="1" si="76"/>
        <v>9.2388960439543311E-2</v>
      </c>
      <c r="O215" s="137">
        <f t="shared" ca="1" si="77"/>
        <v>184777.92087908665</v>
      </c>
    </row>
    <row r="216" spans="1:15" ht="16.5" customHeight="1">
      <c r="A216" s="153">
        <v>5</v>
      </c>
      <c r="B216" s="153" t="str">
        <f>TEXT(투자전략!$G$1+4, "[$-ko-KR]yyyy.mm.dd")</f>
        <v>2021.09.05</v>
      </c>
      <c r="C216" s="135">
        <f t="shared" ca="1" si="65"/>
        <v>2000000</v>
      </c>
      <c r="D216" s="139">
        <f t="shared" ca="1" si="66"/>
        <v>2113367.0231352961</v>
      </c>
      <c r="E216" s="77">
        <f t="shared" ca="1" si="67"/>
        <v>5.6683511567648136E-2</v>
      </c>
      <c r="F216" s="137">
        <f t="shared" ca="1" si="68"/>
        <v>113367.02313529623</v>
      </c>
      <c r="G216" s="139">
        <f t="shared" ca="1" si="69"/>
        <v>2150635.7460744018</v>
      </c>
      <c r="H216" s="77">
        <f t="shared" ca="1" si="70"/>
        <v>7.5317873037200722E-2</v>
      </c>
      <c r="I216" s="137">
        <f t="shared" ca="1" si="71"/>
        <v>150635.7460744014</v>
      </c>
      <c r="J216" s="139">
        <f t="shared" ca="1" si="72"/>
        <v>2138818.14356281</v>
      </c>
      <c r="K216" s="77">
        <f t="shared" ca="1" si="73"/>
        <v>6.9409071781405068E-2</v>
      </c>
      <c r="L216" s="137">
        <f t="shared" ca="1" si="74"/>
        <v>138818.14356281012</v>
      </c>
      <c r="M216" s="139">
        <f t="shared" ca="1" si="75"/>
        <v>2097421.4266921929</v>
      </c>
      <c r="N216" s="77">
        <f t="shared" ca="1" si="76"/>
        <v>4.8710713346096411E-2</v>
      </c>
      <c r="O216" s="137">
        <f t="shared" ca="1" si="77"/>
        <v>97421.426692192836</v>
      </c>
    </row>
    <row r="217" spans="1:15" ht="16.5" customHeight="1">
      <c r="A217" s="153">
        <v>6</v>
      </c>
      <c r="B217" s="153" t="str">
        <f>TEXT(투자전략!$G$1+5, "[$-ko-KR]yyyy.mm.dd")</f>
        <v>2021.09.06</v>
      </c>
      <c r="C217" s="135">
        <f t="shared" ca="1" si="65"/>
        <v>2000000</v>
      </c>
      <c r="D217" s="139">
        <f t="shared" ca="1" si="66"/>
        <v>2005751.826722713</v>
      </c>
      <c r="E217" s="77">
        <f t="shared" ca="1" si="67"/>
        <v>2.8759133613565808E-3</v>
      </c>
      <c r="F217" s="137">
        <f t="shared" ca="1" si="68"/>
        <v>5751.8267227131619</v>
      </c>
      <c r="G217" s="139">
        <f t="shared" ca="1" si="69"/>
        <v>1985398.3961094539</v>
      </c>
      <c r="H217" s="77">
        <f t="shared" ca="1" si="70"/>
        <v>-7.3008019452730291E-3</v>
      </c>
      <c r="I217" s="137">
        <f t="shared" ca="1" si="71"/>
        <v>-14601.603890546061</v>
      </c>
      <c r="J217" s="139">
        <f t="shared" ca="1" si="72"/>
        <v>1981052.4397873604</v>
      </c>
      <c r="K217" s="77">
        <f t="shared" ca="1" si="73"/>
        <v>-9.4737801063198204E-3</v>
      </c>
      <c r="L217" s="137">
        <f t="shared" ca="1" si="74"/>
        <v>-18947.560212639648</v>
      </c>
      <c r="M217" s="139">
        <f t="shared" ca="1" si="75"/>
        <v>2038210.1669726174</v>
      </c>
      <c r="N217" s="77">
        <f t="shared" ca="1" si="76"/>
        <v>1.9105083486308658E-2</v>
      </c>
      <c r="O217" s="137">
        <f t="shared" ca="1" si="77"/>
        <v>38210.16697261732</v>
      </c>
    </row>
    <row r="218" spans="1:15" ht="16.5" customHeight="1" thickBot="1">
      <c r="A218" s="155">
        <v>7</v>
      </c>
      <c r="B218" s="155" t="str">
        <f>TEXT(투자전략!$G$1+6, "[$-ko-KR]yyyy.mm.dd")</f>
        <v>2021.09.07</v>
      </c>
      <c r="C218" s="135">
        <f t="shared" ca="1" si="65"/>
        <v>2000000</v>
      </c>
      <c r="D218" s="139">
        <f t="shared" ca="1" si="66"/>
        <v>2044615.795330042</v>
      </c>
      <c r="E218" s="77">
        <f t="shared" ca="1" si="67"/>
        <v>2.2307897665020983E-2</v>
      </c>
      <c r="F218" s="137">
        <f t="shared" ca="1" si="68"/>
        <v>44615.795330041961</v>
      </c>
      <c r="G218" s="139">
        <f t="shared" ca="1" si="69"/>
        <v>1919846.3162041199</v>
      </c>
      <c r="H218" s="77">
        <f t="shared" ca="1" si="70"/>
        <v>-4.0076841897940023E-2</v>
      </c>
      <c r="I218" s="137">
        <f t="shared" ca="1" si="71"/>
        <v>-80153.683795880046</v>
      </c>
      <c r="J218" s="139">
        <f t="shared" ca="1" si="72"/>
        <v>1939911.927241344</v>
      </c>
      <c r="K218" s="77">
        <f t="shared" ca="1" si="73"/>
        <v>-3.0044036379328003E-2</v>
      </c>
      <c r="L218" s="137">
        <f t="shared" ca="1" si="74"/>
        <v>-60088.072758656032</v>
      </c>
      <c r="M218" s="139">
        <f t="shared" ca="1" si="75"/>
        <v>1754728.8605284002</v>
      </c>
      <c r="N218" s="77">
        <f t="shared" ca="1" si="76"/>
        <v>-0.12263556973579988</v>
      </c>
      <c r="O218" s="137">
        <f t="shared" ca="1" si="77"/>
        <v>-245271.13947159972</v>
      </c>
    </row>
    <row r="219" spans="1:15" ht="16.5" customHeight="1">
      <c r="A219" s="154">
        <v>8</v>
      </c>
      <c r="B219" s="154" t="str">
        <f>TEXT(투자전략!$G$1+7, "[$-ko-KR]yyyy.mm.dd")</f>
        <v>2021.09.08</v>
      </c>
      <c r="C219" s="134">
        <f t="shared" ca="1" si="65"/>
        <v>2000000</v>
      </c>
      <c r="D219" s="142">
        <f t="shared" ca="1" si="66"/>
        <v>1959799.278292805</v>
      </c>
      <c r="E219" s="76">
        <f t="shared" ca="1" si="67"/>
        <v>-2.0100360853597541E-2</v>
      </c>
      <c r="F219" s="141">
        <f t="shared" ca="1" si="68"/>
        <v>-40200.72170719508</v>
      </c>
      <c r="G219" s="142">
        <f t="shared" ca="1" si="69"/>
        <v>1885336.9796261759</v>
      </c>
      <c r="H219" s="76">
        <f t="shared" ca="1" si="70"/>
        <v>-5.7331510186912085E-2</v>
      </c>
      <c r="I219" s="141">
        <f t="shared" ca="1" si="71"/>
        <v>-114663.0203738242</v>
      </c>
      <c r="J219" s="142">
        <f t="shared" ca="1" si="72"/>
        <v>1926952.4401837536</v>
      </c>
      <c r="K219" s="76">
        <f t="shared" ca="1" si="73"/>
        <v>-3.6523779908123173E-2</v>
      </c>
      <c r="L219" s="141">
        <f t="shared" ca="1" si="74"/>
        <v>-73047.559816246343</v>
      </c>
      <c r="M219" s="142">
        <f t="shared" ca="1" si="75"/>
        <v>1896712.4715285492</v>
      </c>
      <c r="N219" s="76">
        <f t="shared" ca="1" si="76"/>
        <v>-5.1643764235725323E-2</v>
      </c>
      <c r="O219" s="141">
        <f t="shared" ca="1" si="77"/>
        <v>-103287.52847145066</v>
      </c>
    </row>
    <row r="220" spans="1:15" ht="16.5" customHeight="1">
      <c r="A220" s="153">
        <v>9</v>
      </c>
      <c r="B220" s="153" t="str">
        <f>TEXT(투자전략!$G$1+8, "[$-ko-KR]yyyy.mm.dd")</f>
        <v>2021.09.09</v>
      </c>
      <c r="C220" s="135">
        <f t="shared" ca="1" si="65"/>
        <v>2000000</v>
      </c>
      <c r="D220" s="139">
        <f t="shared" ca="1" si="66"/>
        <v>2106705.0323351584</v>
      </c>
      <c r="E220" s="77">
        <f t="shared" ca="1" si="67"/>
        <v>5.3352516167579134E-2</v>
      </c>
      <c r="F220" s="137">
        <f t="shared" ca="1" si="68"/>
        <v>106705.03233515829</v>
      </c>
      <c r="G220" s="139">
        <f t="shared" ca="1" si="69"/>
        <v>2132674.6377115836</v>
      </c>
      <c r="H220" s="77">
        <f t="shared" ca="1" si="70"/>
        <v>6.6337318855791874E-2</v>
      </c>
      <c r="I220" s="137">
        <f t="shared" ca="1" si="71"/>
        <v>132674.63771158372</v>
      </c>
      <c r="J220" s="139">
        <f t="shared" ca="1" si="72"/>
        <v>2179444.882697457</v>
      </c>
      <c r="K220" s="77">
        <f t="shared" ca="1" si="73"/>
        <v>8.9722441348728477E-2</v>
      </c>
      <c r="L220" s="137">
        <f t="shared" ca="1" si="74"/>
        <v>179444.88269745695</v>
      </c>
      <c r="M220" s="139">
        <f t="shared" ca="1" si="75"/>
        <v>2181307.985831215</v>
      </c>
      <c r="N220" s="77">
        <f t="shared" ca="1" si="76"/>
        <v>9.065399291560769E-2</v>
      </c>
      <c r="O220" s="137">
        <f t="shared" ca="1" si="77"/>
        <v>181307.98583121534</v>
      </c>
    </row>
    <row r="221" spans="1:15" ht="16.5" customHeight="1">
      <c r="A221" s="153">
        <v>10</v>
      </c>
      <c r="B221" s="153" t="str">
        <f>TEXT(투자전략!$G$1+9, "[$-ko-KR]yyyy.mm.dd")</f>
        <v>2021.09.10</v>
      </c>
      <c r="C221" s="135">
        <f t="shared" ca="1" si="65"/>
        <v>2000000</v>
      </c>
      <c r="D221" s="139">
        <f t="shared" ca="1" si="66"/>
        <v>2045813.8793087914</v>
      </c>
      <c r="E221" s="77">
        <f t="shared" ca="1" si="67"/>
        <v>2.2906939654395671E-2</v>
      </c>
      <c r="F221" s="137">
        <f t="shared" ca="1" si="68"/>
        <v>45813.879308791351</v>
      </c>
      <c r="G221" s="139">
        <f t="shared" ca="1" si="69"/>
        <v>1970918.1759519589</v>
      </c>
      <c r="H221" s="77">
        <f t="shared" ca="1" si="70"/>
        <v>-1.4540912024020535E-2</v>
      </c>
      <c r="I221" s="137">
        <f t="shared" ca="1" si="71"/>
        <v>-29081.824048041075</v>
      </c>
      <c r="J221" s="139">
        <f t="shared" ca="1" si="72"/>
        <v>1983156.9910124256</v>
      </c>
      <c r="K221" s="77">
        <f t="shared" ca="1" si="73"/>
        <v>-8.4215044937872192E-3</v>
      </c>
      <c r="L221" s="137">
        <f t="shared" ca="1" si="74"/>
        <v>-16843.008987574442</v>
      </c>
      <c r="M221" s="139">
        <f t="shared" ca="1" si="75"/>
        <v>1903085.0850651239</v>
      </c>
      <c r="N221" s="77">
        <f t="shared" ca="1" si="76"/>
        <v>-4.8457457467438105E-2</v>
      </c>
      <c r="O221" s="137">
        <f t="shared" ca="1" si="77"/>
        <v>-96914.9149348762</v>
      </c>
    </row>
    <row r="222" spans="1:15" ht="16.5" customHeight="1">
      <c r="A222" s="153">
        <v>11</v>
      </c>
      <c r="B222" s="153" t="str">
        <f>TEXT(투자전략!$G$1+10, "[$-ko-KR]yyyy.mm.dd")</f>
        <v>2021.09.11</v>
      </c>
      <c r="C222" s="135">
        <f t="shared" ca="1" si="65"/>
        <v>2000000</v>
      </c>
      <c r="D222" s="139">
        <f t="shared" ca="1" si="66"/>
        <v>2017882.8155198256</v>
      </c>
      <c r="E222" s="77">
        <f t="shared" ca="1" si="67"/>
        <v>8.9414077599128221E-3</v>
      </c>
      <c r="F222" s="137">
        <f t="shared" ca="1" si="68"/>
        <v>17882.815519825657</v>
      </c>
      <c r="G222" s="139">
        <f t="shared" ca="1" si="69"/>
        <v>2050337.4103375163</v>
      </c>
      <c r="H222" s="77">
        <f t="shared" ca="1" si="70"/>
        <v>2.5168705168758236E-2</v>
      </c>
      <c r="I222" s="137">
        <f t="shared" ca="1" si="71"/>
        <v>50337.410337516485</v>
      </c>
      <c r="J222" s="139">
        <f t="shared" ca="1" si="72"/>
        <v>2047347.5471463294</v>
      </c>
      <c r="K222" s="77">
        <f t="shared" ca="1" si="73"/>
        <v>2.3673773573164615E-2</v>
      </c>
      <c r="L222" s="137">
        <f t="shared" ca="1" si="74"/>
        <v>47347.547146329198</v>
      </c>
      <c r="M222" s="139">
        <f t="shared" ca="1" si="75"/>
        <v>2000000</v>
      </c>
      <c r="N222" s="77">
        <f t="shared" ca="1" si="76"/>
        <v>0</v>
      </c>
      <c r="O222" s="137">
        <f t="shared" ca="1" si="77"/>
        <v>0</v>
      </c>
    </row>
    <row r="223" spans="1:15" ht="16.5" customHeight="1">
      <c r="A223" s="153">
        <v>12</v>
      </c>
      <c r="B223" s="153" t="str">
        <f>TEXT(투자전략!$G$1+11, "[$-ko-KR]yyyy.mm.dd")</f>
        <v>2021.09.12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2021.09.13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2021.09.14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2021.09.15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2021.09.16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2021.09.17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2021.09.18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2021.09.19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2021.09.20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2021.09.21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2021.09.22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2021.09.23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2021.09.24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2021.09.25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2021.09.26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2021.09.27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2021.09.28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2021.09.29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2021.09.30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10" t="s">
        <v>283</v>
      </c>
      <c r="B243" s="212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16"/>
      <c r="B244" s="218"/>
      <c r="C244" s="136">
        <f ca="1">SUM(C212:C242)</f>
        <v>22000000</v>
      </c>
      <c r="D244" s="140">
        <f ca="1">SUM(D212:D242)</f>
        <v>22482400.644554485</v>
      </c>
      <c r="E244" s="79">
        <f ca="1">IFERROR(F244 / (SUM($C212:$C242) / COUNT($C212:$C242)), 0)</f>
        <v>0.24120032227724406</v>
      </c>
      <c r="F244" s="138">
        <f ca="1">SUM(F212:F242)</f>
        <v>482400.64455448813</v>
      </c>
      <c r="G244" s="140">
        <f ca="1">SUM(G212:G242)</f>
        <v>22462914.407802228</v>
      </c>
      <c r="H244" s="79">
        <f ca="1">IFERROR(I244 / (SUM($C212:$C242) / COUNT($C212:$C242)), 0)</f>
        <v>0.23145720390111529</v>
      </c>
      <c r="I244" s="138">
        <f ca="1">SUM(I212:I242)</f>
        <v>462914.40780223056</v>
      </c>
      <c r="J244" s="140">
        <f ca="1">SUM(J212:J242)</f>
        <v>22532343.606539372</v>
      </c>
      <c r="K244" s="79">
        <f ca="1">IFERROR(L244 / (SUM($C212:$C242) / COUNT($C212:$C242)), 0)</f>
        <v>0.26617180326968815</v>
      </c>
      <c r="L244" s="138">
        <f ca="1">SUM(L212:L242)</f>
        <v>532343.60653937631</v>
      </c>
      <c r="M244" s="140">
        <f ca="1">SUM(M212:M242)</f>
        <v>22233779.155946825</v>
      </c>
      <c r="N244" s="79">
        <f ca="1">IFERROR(O244 / (SUM($C212:$C242) / COUNT($C212:$C242)), 0)</f>
        <v>0.11688957797341305</v>
      </c>
      <c r="O244" s="138">
        <f ca="1">SUM(O212:O242)</f>
        <v>233779.1559468261</v>
      </c>
    </row>
    <row r="246" spans="1:15" ht="16.5" customHeight="1" thickBot="1"/>
    <row r="247" spans="1:15" ht="16.5" customHeight="1" thickBot="1">
      <c r="A247" s="201" t="str">
        <f>TEXT(투자전략!$G$1, "[$-ko-KR]yyyy년 mm월 ") &amp; "전일대비 상승률 Bottom20 월말결산"</f>
        <v>2021년 09월 전일대비 상승률 Bottom20 월말결산</v>
      </c>
      <c r="B247" s="202"/>
      <c r="C247" s="202"/>
      <c r="D247" s="202"/>
      <c r="E247" s="202"/>
      <c r="F247" s="202"/>
      <c r="G247" s="202"/>
      <c r="H247" s="202"/>
      <c r="I247" s="202"/>
      <c r="J247" s="202"/>
      <c r="K247" s="202"/>
      <c r="L247" s="202"/>
      <c r="M247" s="202"/>
      <c r="N247" s="202"/>
      <c r="O247" s="203"/>
    </row>
    <row r="248" spans="1:15" ht="16.5" customHeight="1" thickBot="1">
      <c r="A248" s="262" t="s">
        <v>284</v>
      </c>
      <c r="B248" s="216" t="s">
        <v>282</v>
      </c>
      <c r="C248" s="218"/>
      <c r="D248" s="216" t="s">
        <v>274</v>
      </c>
      <c r="E248" s="217"/>
      <c r="F248" s="218"/>
      <c r="G248" s="216" t="s">
        <v>275</v>
      </c>
      <c r="H248" s="217"/>
      <c r="I248" s="218"/>
      <c r="J248" s="216" t="s">
        <v>276</v>
      </c>
      <c r="K248" s="217"/>
      <c r="L248" s="218"/>
      <c r="M248" s="216" t="s">
        <v>277</v>
      </c>
      <c r="N248" s="217"/>
      <c r="O248" s="218"/>
    </row>
    <row r="249" spans="1:15" ht="16.5" customHeight="1" thickBot="1">
      <c r="A249" s="266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2021.09.01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2033573.4283060294</v>
      </c>
      <c r="E250" s="76">
        <f ca="1">IFERROR(INDIRECT($B250&amp;"!E199"), "")</f>
        <v>1.6786714153014762E-2</v>
      </c>
      <c r="F250" s="141">
        <f ca="1">IFERROR(INDIRECT($B250&amp;"!F199"), "")</f>
        <v>33573.428306029527</v>
      </c>
      <c r="G250" s="142">
        <f ca="1">IFERROR($C250 * (1 + H250), "")</f>
        <v>2083257.4253848412</v>
      </c>
      <c r="H250" s="76">
        <f ca="1">IFERROR(INDIRECT($B250&amp;"!H199"), "")</f>
        <v>4.1628712692420543E-2</v>
      </c>
      <c r="I250" s="141">
        <f ca="1">IFERROR(INDIRECT($B250&amp;"!I199"), "")</f>
        <v>83257.425384841088</v>
      </c>
      <c r="J250" s="142">
        <f ca="1">IFERROR($C250 * (1 + K250), "")</f>
        <v>2068226.7049169659</v>
      </c>
      <c r="K250" s="76">
        <f ca="1">IFERROR(INDIRECT($B250&amp;"!K199"), "")</f>
        <v>3.4113352458483001E-2</v>
      </c>
      <c r="L250" s="141">
        <f ca="1">IFERROR(INDIRECT($B250&amp;"!L199"), "")</f>
        <v>68226.704916965988</v>
      </c>
      <c r="M250" s="142">
        <f ca="1">IFERROR($C250 * (1 + N250), "")</f>
        <v>2057489.0441630061</v>
      </c>
      <c r="N250" s="76">
        <f ca="1">IFERROR(INDIRECT($B250&amp;"!N199"), "")</f>
        <v>2.8744522081503059E-2</v>
      </c>
      <c r="O250" s="141">
        <f ca="1">IFERROR(INDIRECT($B250&amp;"!O199"), "")</f>
        <v>57489.04416300611</v>
      </c>
    </row>
    <row r="251" spans="1:15" ht="16.5" customHeight="1">
      <c r="A251" s="153">
        <v>2</v>
      </c>
      <c r="B251" s="153" t="str">
        <f>TEXT(투자전략!$G$1+1, "[$-ko-KR]yyyy.mm.dd")</f>
        <v>2021.09.02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2034530.5378608706</v>
      </c>
      <c r="E251" s="77">
        <f t="shared" ref="E251:E280" ca="1" si="80">IFERROR(INDIRECT($B251&amp;"!E199"), "")</f>
        <v>1.7265268930435285E-2</v>
      </c>
      <c r="F251" s="137">
        <f t="shared" ref="F251:F280" ca="1" si="81">IFERROR(INDIRECT($B251&amp;"!F199"), "")</f>
        <v>34530.537860870572</v>
      </c>
      <c r="G251" s="139">
        <f t="shared" ref="G251:G280" ca="1" si="82">IFERROR($C251 * (1 + H251), "")</f>
        <v>2050378.5848161126</v>
      </c>
      <c r="H251" s="77">
        <f t="shared" ref="H251:H280" ca="1" si="83">IFERROR(INDIRECT($B251&amp;"!H199"), "")</f>
        <v>2.5189292408056303E-2</v>
      </c>
      <c r="I251" s="137">
        <f t="shared" ref="I251:I280" ca="1" si="84">IFERROR(INDIRECT($B251&amp;"!I199"), "")</f>
        <v>50378.584816112598</v>
      </c>
      <c r="J251" s="139">
        <f t="shared" ref="J251:J280" ca="1" si="85">IFERROR($C251 * (1 + K251), "")</f>
        <v>2056813.5104084178</v>
      </c>
      <c r="K251" s="77">
        <f t="shared" ref="K251:K280" ca="1" si="86">IFERROR(INDIRECT($B251&amp;"!K199"), "")</f>
        <v>2.8406755204208833E-2</v>
      </c>
      <c r="L251" s="137">
        <f t="shared" ref="L251:L280" ca="1" si="87">IFERROR(INDIRECT($B251&amp;"!L199"), "")</f>
        <v>56813.510408417664</v>
      </c>
      <c r="M251" s="139">
        <f t="shared" ref="M251:M280" ca="1" si="88">IFERROR($C251 * (1 + N251), "")</f>
        <v>2039648.2088115872</v>
      </c>
      <c r="N251" s="77">
        <f t="shared" ref="N251:N280" ca="1" si="89">IFERROR(INDIRECT($B251&amp;"!N199"), "")</f>
        <v>1.9824104405793679E-2</v>
      </c>
      <c r="O251" s="137">
        <f t="shared" ref="O251:O280" ca="1" si="90">IFERROR(INDIRECT($B251&amp;"!O199"), "")</f>
        <v>39648.208811587348</v>
      </c>
    </row>
    <row r="252" spans="1:15" ht="16.5" customHeight="1">
      <c r="A252" s="153">
        <v>3</v>
      </c>
      <c r="B252" s="153" t="str">
        <f>TEXT(투자전략!$G$1+2, "[$-ko-KR]yyyy.mm.dd")</f>
        <v>2021.09.03</v>
      </c>
      <c r="C252" s="135">
        <f t="shared" ca="1" si="78"/>
        <v>2000000</v>
      </c>
      <c r="D252" s="139">
        <f t="shared" ca="1" si="79"/>
        <v>2022305.9507364277</v>
      </c>
      <c r="E252" s="77">
        <f t="shared" ca="1" si="80"/>
        <v>1.1152975368213743E-2</v>
      </c>
      <c r="F252" s="137">
        <f t="shared" ca="1" si="81"/>
        <v>22305.950736427483</v>
      </c>
      <c r="G252" s="139">
        <f t="shared" ca="1" si="82"/>
        <v>2032667.1034007897</v>
      </c>
      <c r="H252" s="77">
        <f t="shared" ca="1" si="83"/>
        <v>1.6333551700394931E-2</v>
      </c>
      <c r="I252" s="137">
        <f t="shared" ca="1" si="84"/>
        <v>32667.103400789863</v>
      </c>
      <c r="J252" s="139">
        <f t="shared" ca="1" si="85"/>
        <v>2024865.658526581</v>
      </c>
      <c r="K252" s="77">
        <f t="shared" ca="1" si="86"/>
        <v>1.2432829263290411E-2</v>
      </c>
      <c r="L252" s="137">
        <f t="shared" ca="1" si="87"/>
        <v>24865.658526580824</v>
      </c>
      <c r="M252" s="139">
        <f t="shared" ca="1" si="88"/>
        <v>2035878.1737531642</v>
      </c>
      <c r="N252" s="77">
        <f t="shared" ca="1" si="89"/>
        <v>1.7939086876582105E-2</v>
      </c>
      <c r="O252" s="137">
        <f t="shared" ca="1" si="90"/>
        <v>35878.173753164221</v>
      </c>
    </row>
    <row r="253" spans="1:15" ht="16.5" customHeight="1">
      <c r="A253" s="153">
        <v>4</v>
      </c>
      <c r="B253" s="153" t="str">
        <f>TEXT(투자전략!$G$1+3, "[$-ko-KR]yyyy.mm.dd")</f>
        <v>2021.09.04</v>
      </c>
      <c r="C253" s="135">
        <f t="shared" ca="1" si="78"/>
        <v>2000000</v>
      </c>
      <c r="D253" s="139">
        <f t="shared" ca="1" si="79"/>
        <v>2063665.5402759097</v>
      </c>
      <c r="E253" s="77">
        <f t="shared" ca="1" si="80"/>
        <v>3.1832770137954713E-2</v>
      </c>
      <c r="F253" s="137">
        <f t="shared" ca="1" si="81"/>
        <v>63665.540275909443</v>
      </c>
      <c r="G253" s="139">
        <f t="shared" ca="1" si="82"/>
        <v>2113338.8631924675</v>
      </c>
      <c r="H253" s="77">
        <f t="shared" ca="1" si="83"/>
        <v>5.6669431596233708E-2</v>
      </c>
      <c r="I253" s="137">
        <f t="shared" ca="1" si="84"/>
        <v>113338.86319246741</v>
      </c>
      <c r="J253" s="139">
        <f t="shared" ca="1" si="85"/>
        <v>2085978.3638155132</v>
      </c>
      <c r="K253" s="77">
        <f t="shared" ca="1" si="86"/>
        <v>4.2989181907756566E-2</v>
      </c>
      <c r="L253" s="137">
        <f t="shared" ca="1" si="87"/>
        <v>85978.363815513105</v>
      </c>
      <c r="M253" s="139">
        <f t="shared" ca="1" si="88"/>
        <v>2108124.1335738166</v>
      </c>
      <c r="N253" s="77">
        <f t="shared" ca="1" si="89"/>
        <v>5.4062066786908336E-2</v>
      </c>
      <c r="O253" s="137">
        <f t="shared" ca="1" si="90"/>
        <v>108124.13357381667</v>
      </c>
    </row>
    <row r="254" spans="1:15" ht="16.5" customHeight="1">
      <c r="A254" s="153">
        <v>5</v>
      </c>
      <c r="B254" s="153" t="str">
        <f>TEXT(투자전략!$G$1+4, "[$-ko-KR]yyyy.mm.dd")</f>
        <v>2021.09.05</v>
      </c>
      <c r="C254" s="135">
        <f t="shared" ca="1" si="78"/>
        <v>2000000</v>
      </c>
      <c r="D254" s="139">
        <f t="shared" ca="1" si="79"/>
        <v>1965172.0940476877</v>
      </c>
      <c r="E254" s="77">
        <f t="shared" ca="1" si="80"/>
        <v>-1.7413952976156076E-2</v>
      </c>
      <c r="F254" s="137">
        <f t="shared" ca="1" si="81"/>
        <v>-34827.905952312154</v>
      </c>
      <c r="G254" s="139">
        <f t="shared" ca="1" si="82"/>
        <v>1982443.5472809798</v>
      </c>
      <c r="H254" s="77">
        <f t="shared" ca="1" si="83"/>
        <v>-8.7782263595100572E-3</v>
      </c>
      <c r="I254" s="137">
        <f t="shared" ca="1" si="84"/>
        <v>-17556.452719020115</v>
      </c>
      <c r="J254" s="139">
        <f t="shared" ca="1" si="85"/>
        <v>1975822.8385958881</v>
      </c>
      <c r="K254" s="77">
        <f t="shared" ca="1" si="86"/>
        <v>-1.2088580702055939E-2</v>
      </c>
      <c r="L254" s="137">
        <f t="shared" ca="1" si="87"/>
        <v>-24177.161404111874</v>
      </c>
      <c r="M254" s="139">
        <f t="shared" ca="1" si="88"/>
        <v>2001520.3130052623</v>
      </c>
      <c r="N254" s="77">
        <f t="shared" ca="1" si="89"/>
        <v>7.6015650263111978E-4</v>
      </c>
      <c r="O254" s="137">
        <f t="shared" ca="1" si="90"/>
        <v>1520.3130052622355</v>
      </c>
    </row>
    <row r="255" spans="1:15" ht="16.5" customHeight="1">
      <c r="A255" s="153">
        <v>6</v>
      </c>
      <c r="B255" s="153" t="str">
        <f>TEXT(투자전략!$G$1+5, "[$-ko-KR]yyyy.mm.dd")</f>
        <v>2021.09.06</v>
      </c>
      <c r="C255" s="135">
        <f t="shared" ca="1" si="78"/>
        <v>2000000</v>
      </c>
      <c r="D255" s="139">
        <f t="shared" ca="1" si="79"/>
        <v>2011366.4476663517</v>
      </c>
      <c r="E255" s="77">
        <f t="shared" ca="1" si="80"/>
        <v>5.6832238331759244E-3</v>
      </c>
      <c r="F255" s="137">
        <f t="shared" ca="1" si="81"/>
        <v>11366.447666351853</v>
      </c>
      <c r="G255" s="139">
        <f t="shared" ca="1" si="82"/>
        <v>1990210.922096468</v>
      </c>
      <c r="H255" s="77">
        <f t="shared" ca="1" si="83"/>
        <v>-4.8945389517659286E-3</v>
      </c>
      <c r="I255" s="137">
        <f t="shared" ca="1" si="84"/>
        <v>-9789.0779035318556</v>
      </c>
      <c r="J255" s="139">
        <f t="shared" ca="1" si="85"/>
        <v>1977974.8519881533</v>
      </c>
      <c r="K255" s="77">
        <f t="shared" ca="1" si="86"/>
        <v>-1.1012574005923358E-2</v>
      </c>
      <c r="L255" s="137">
        <f t="shared" ca="1" si="87"/>
        <v>-22025.148011846719</v>
      </c>
      <c r="M255" s="139">
        <f t="shared" ca="1" si="88"/>
        <v>2031647.908921177</v>
      </c>
      <c r="N255" s="77">
        <f t="shared" ca="1" si="89"/>
        <v>1.5823954460588433E-2</v>
      </c>
      <c r="O255" s="137">
        <f t="shared" ca="1" si="90"/>
        <v>31647.908921176873</v>
      </c>
    </row>
    <row r="256" spans="1:15" ht="16.5" customHeight="1" thickBot="1">
      <c r="A256" s="155">
        <v>7</v>
      </c>
      <c r="B256" s="155" t="str">
        <f>TEXT(투자전략!$G$1+6, "[$-ko-KR]yyyy.mm.dd")</f>
        <v>2021.09.07</v>
      </c>
      <c r="C256" s="135">
        <f t="shared" ca="1" si="78"/>
        <v>2000000</v>
      </c>
      <c r="D256" s="139">
        <f t="shared" ca="1" si="79"/>
        <v>2007532.0429812856</v>
      </c>
      <c r="E256" s="77">
        <f t="shared" ca="1" si="80"/>
        <v>3.7660214906428124E-3</v>
      </c>
      <c r="F256" s="137">
        <f t="shared" ca="1" si="81"/>
        <v>7532.0429812856246</v>
      </c>
      <c r="G256" s="139">
        <f t="shared" ca="1" si="82"/>
        <v>1908712.6426991075</v>
      </c>
      <c r="H256" s="77">
        <f t="shared" ca="1" si="83"/>
        <v>-4.5643678650446287E-2</v>
      </c>
      <c r="I256" s="137">
        <f t="shared" ca="1" si="84"/>
        <v>-91287.35730089256</v>
      </c>
      <c r="J256" s="139">
        <f t="shared" ca="1" si="85"/>
        <v>1920695.1555211777</v>
      </c>
      <c r="K256" s="77">
        <f t="shared" ca="1" si="86"/>
        <v>-3.9652422239411123E-2</v>
      </c>
      <c r="L256" s="137">
        <f t="shared" ca="1" si="87"/>
        <v>-79304.844478822255</v>
      </c>
      <c r="M256" s="139">
        <f t="shared" ca="1" si="88"/>
        <v>1740169.0468129257</v>
      </c>
      <c r="N256" s="77">
        <f t="shared" ca="1" si="89"/>
        <v>-0.12991547659353703</v>
      </c>
      <c r="O256" s="137">
        <f t="shared" ca="1" si="90"/>
        <v>-259830.9531870741</v>
      </c>
    </row>
    <row r="257" spans="1:15" ht="16.5" customHeight="1">
      <c r="A257" s="154">
        <v>8</v>
      </c>
      <c r="B257" s="154" t="str">
        <f>TEXT(투자전략!$G$1+7, "[$-ko-KR]yyyy.mm.dd")</f>
        <v>2021.09.08</v>
      </c>
      <c r="C257" s="134">
        <f t="shared" ca="1" si="78"/>
        <v>2000000</v>
      </c>
      <c r="D257" s="142">
        <f t="shared" ca="1" si="79"/>
        <v>1941108.8682918956</v>
      </c>
      <c r="E257" s="76">
        <f t="shared" ca="1" si="80"/>
        <v>-2.9445565854052235E-2</v>
      </c>
      <c r="F257" s="141">
        <f t="shared" ca="1" si="81"/>
        <v>-58891.131708104476</v>
      </c>
      <c r="G257" s="142">
        <f t="shared" ca="1" si="82"/>
        <v>1877724.3372076426</v>
      </c>
      <c r="H257" s="76">
        <f t="shared" ca="1" si="83"/>
        <v>-6.1137831396178677E-2</v>
      </c>
      <c r="I257" s="141">
        <f t="shared" ca="1" si="84"/>
        <v>-122275.6627923574</v>
      </c>
      <c r="J257" s="142">
        <f t="shared" ca="1" si="85"/>
        <v>1917874.3176646875</v>
      </c>
      <c r="K257" s="76">
        <f t="shared" ca="1" si="86"/>
        <v>-4.1062841167656197E-2</v>
      </c>
      <c r="L257" s="141">
        <f t="shared" ca="1" si="87"/>
        <v>-82125.682335312391</v>
      </c>
      <c r="M257" s="142">
        <f t="shared" ca="1" si="88"/>
        <v>1886705.5152219369</v>
      </c>
      <c r="N257" s="76">
        <f t="shared" ca="1" si="89"/>
        <v>-5.6647242389031592E-2</v>
      </c>
      <c r="O257" s="141">
        <f t="shared" ca="1" si="90"/>
        <v>-113294.48477806318</v>
      </c>
    </row>
    <row r="258" spans="1:15" ht="16.5" customHeight="1">
      <c r="A258" s="153">
        <v>9</v>
      </c>
      <c r="B258" s="153" t="str">
        <f>TEXT(투자전략!$G$1+8, "[$-ko-KR]yyyy.mm.dd")</f>
        <v>2021.09.09</v>
      </c>
      <c r="C258" s="135">
        <f t="shared" ca="1" si="78"/>
        <v>2000000</v>
      </c>
      <c r="D258" s="139">
        <f t="shared" ca="1" si="79"/>
        <v>2135313.8205926139</v>
      </c>
      <c r="E258" s="77">
        <f t="shared" ca="1" si="80"/>
        <v>6.7656910296306924E-2</v>
      </c>
      <c r="F258" s="137">
        <f t="shared" ca="1" si="81"/>
        <v>135313.82059261383</v>
      </c>
      <c r="G258" s="139">
        <f t="shared" ca="1" si="82"/>
        <v>2189221.7580208001</v>
      </c>
      <c r="H258" s="77">
        <f t="shared" ca="1" si="83"/>
        <v>9.461087901040012E-2</v>
      </c>
      <c r="I258" s="137">
        <f t="shared" ca="1" si="84"/>
        <v>189221.75802080025</v>
      </c>
      <c r="J258" s="139">
        <f t="shared" ca="1" si="85"/>
        <v>2237861.6364275571</v>
      </c>
      <c r="K258" s="77">
        <f t="shared" ca="1" si="86"/>
        <v>0.11893081821377853</v>
      </c>
      <c r="L258" s="137">
        <f t="shared" ca="1" si="87"/>
        <v>237861.63642755704</v>
      </c>
      <c r="M258" s="139">
        <f t="shared" ca="1" si="88"/>
        <v>2243264.1213954617</v>
      </c>
      <c r="N258" s="77">
        <f t="shared" ca="1" si="89"/>
        <v>0.12163206069773073</v>
      </c>
      <c r="O258" s="137">
        <f t="shared" ca="1" si="90"/>
        <v>243264.12139546146</v>
      </c>
    </row>
    <row r="259" spans="1:15" ht="16.5" customHeight="1">
      <c r="A259" s="153">
        <v>10</v>
      </c>
      <c r="B259" s="153" t="str">
        <f>TEXT(투자전략!$G$1+9, "[$-ko-KR]yyyy.mm.dd")</f>
        <v>2021.09.10</v>
      </c>
      <c r="C259" s="135">
        <f t="shared" ca="1" si="78"/>
        <v>2000000</v>
      </c>
      <c r="D259" s="139">
        <f t="shared" ca="1" si="79"/>
        <v>2014317.2766812274</v>
      </c>
      <c r="E259" s="77">
        <f t="shared" ca="1" si="80"/>
        <v>7.1586383406138003E-3</v>
      </c>
      <c r="F259" s="137">
        <f t="shared" ca="1" si="81"/>
        <v>14317.2766812276</v>
      </c>
      <c r="G259" s="139">
        <f t="shared" ca="1" si="82"/>
        <v>1952258.6130359897</v>
      </c>
      <c r="H259" s="77">
        <f t="shared" ca="1" si="83"/>
        <v>-2.3870693482005084E-2</v>
      </c>
      <c r="I259" s="137">
        <f t="shared" ca="1" si="84"/>
        <v>-47741.386964010162</v>
      </c>
      <c r="J259" s="139">
        <f t="shared" ca="1" si="85"/>
        <v>1960945.5149779976</v>
      </c>
      <c r="K259" s="77">
        <f t="shared" ca="1" si="86"/>
        <v>-1.9527242511001092E-2</v>
      </c>
      <c r="L259" s="137">
        <f t="shared" ca="1" si="87"/>
        <v>-39054.485022002184</v>
      </c>
      <c r="M259" s="139">
        <f t="shared" ca="1" si="88"/>
        <v>1905110.0301061862</v>
      </c>
      <c r="N259" s="77">
        <f t="shared" ca="1" si="89"/>
        <v>-4.7444984946907021E-2</v>
      </c>
      <c r="O259" s="137">
        <f t="shared" ca="1" si="90"/>
        <v>-94889.96989381405</v>
      </c>
    </row>
    <row r="260" spans="1:15" ht="16.5" customHeight="1">
      <c r="A260" s="153">
        <v>11</v>
      </c>
      <c r="B260" s="153" t="str">
        <f>TEXT(투자전략!$G$1+10, "[$-ko-KR]yyyy.mm.dd")</f>
        <v>2021.09.11</v>
      </c>
      <c r="C260" s="135">
        <f t="shared" ca="1" si="78"/>
        <v>2000000</v>
      </c>
      <c r="D260" s="139">
        <f t="shared" ca="1" si="79"/>
        <v>2002492.4592416426</v>
      </c>
      <c r="E260" s="77">
        <f t="shared" ca="1" si="80"/>
        <v>1.2462296208212247E-3</v>
      </c>
      <c r="F260" s="137">
        <f t="shared" ca="1" si="81"/>
        <v>2492.4592416424457</v>
      </c>
      <c r="G260" s="139">
        <f t="shared" ca="1" si="82"/>
        <v>2025874.2735093858</v>
      </c>
      <c r="H260" s="77">
        <f t="shared" ca="1" si="83"/>
        <v>1.2937136754692945E-2</v>
      </c>
      <c r="I260" s="137">
        <f t="shared" ca="1" si="84"/>
        <v>25874.273509385894</v>
      </c>
      <c r="J260" s="139">
        <f t="shared" ca="1" si="85"/>
        <v>2021225.980044794</v>
      </c>
      <c r="K260" s="77">
        <f t="shared" ca="1" si="86"/>
        <v>1.0612990022396919E-2</v>
      </c>
      <c r="L260" s="137">
        <f t="shared" ca="1" si="87"/>
        <v>21225.980044793818</v>
      </c>
      <c r="M260" s="139">
        <f t="shared" ca="1" si="88"/>
        <v>2000000</v>
      </c>
      <c r="N260" s="77">
        <f t="shared" ca="1" si="89"/>
        <v>0</v>
      </c>
      <c r="O260" s="137">
        <f t="shared" ca="1" si="90"/>
        <v>0</v>
      </c>
    </row>
    <row r="261" spans="1:15" ht="16.5" customHeight="1">
      <c r="A261" s="153">
        <v>12</v>
      </c>
      <c r="B261" s="153" t="str">
        <f>TEXT(투자전략!$G$1+11, "[$-ko-KR]yyyy.mm.dd")</f>
        <v>2021.09.12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2021.09.13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2021.09.14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2021.09.15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2021.09.16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2021.09.17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2021.09.18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2021.09.19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2021.09.20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2021.09.21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2021.09.22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2021.09.23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2021.09.24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2021.09.25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2021.09.26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2021.09.27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2021.09.28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2021.09.29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2021.09.30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10" t="s">
        <v>283</v>
      </c>
      <c r="B281" s="212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16"/>
      <c r="B282" s="218"/>
      <c r="C282" s="136">
        <f ca="1">SUM(C250:C280)</f>
        <v>22000000</v>
      </c>
      <c r="D282" s="140">
        <f ca="1">SUM(D250:D280)</f>
        <v>22231378.466681939</v>
      </c>
      <c r="E282" s="79">
        <f ca="1">IFERROR(F282 / (SUM($C250:$C280) / COUNT($C250:$C280)), 0)</f>
        <v>0.11568923334097087</v>
      </c>
      <c r="F282" s="138">
        <f ca="1">SUM(F250:F280)</f>
        <v>231378.46668194173</v>
      </c>
      <c r="G282" s="140">
        <f ca="1">SUM(G250:G280)</f>
        <v>22206088.070644587</v>
      </c>
      <c r="H282" s="79">
        <f ca="1">IFERROR(I282 / (SUM($C250:$C280) / COUNT($C250:$C280)), 0)</f>
        <v>0.1030440353222925</v>
      </c>
      <c r="I282" s="138">
        <f ca="1">SUM(I250:I280)</f>
        <v>206088.07064458501</v>
      </c>
      <c r="J282" s="140">
        <f ca="1">SUM(J250:J280)</f>
        <v>22248284.532887731</v>
      </c>
      <c r="K282" s="79">
        <f ca="1">IFERROR(L282 / (SUM($C250:$C280) / COUNT($C250:$C280)), 0)</f>
        <v>0.12414226644386649</v>
      </c>
      <c r="L282" s="138">
        <f ca="1">SUM(L250:L280)</f>
        <v>248284.53288773296</v>
      </c>
      <c r="M282" s="140">
        <f ca="1">SUM(M250:M280)</f>
        <v>22049556.495764524</v>
      </c>
      <c r="N282" s="79">
        <f ca="1">IFERROR(O282 / (SUM($C250:$C280) / COUNT($C250:$C280)), 0)</f>
        <v>2.4778247882261791E-2</v>
      </c>
      <c r="O282" s="138">
        <f ca="1">SUM(O250:O280)</f>
        <v>49556.495764523585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2209" priority="323">
      <formula>$E$54 &gt; 0</formula>
    </cfRule>
    <cfRule type="expression" dxfId="2208" priority="324">
      <formula>$E$54 = 0</formula>
    </cfRule>
    <cfRule type="expression" dxfId="2207" priority="325">
      <formula>$E$54 &lt; 0</formula>
    </cfRule>
  </conditionalFormatting>
  <conditionalFormatting sqref="G20:I21 H54:I54">
    <cfRule type="expression" dxfId="2206" priority="320">
      <formula>$H$54 &gt; 0</formula>
    </cfRule>
    <cfRule type="expression" dxfId="2205" priority="321">
      <formula>$H$54 = 0</formula>
    </cfRule>
    <cfRule type="expression" dxfId="2204" priority="322">
      <formula>$H$54 &lt; 0</formula>
    </cfRule>
  </conditionalFormatting>
  <conditionalFormatting sqref="J20:L21 K54:L54">
    <cfRule type="expression" dxfId="2203" priority="317">
      <formula>$K$54 &gt; 0</formula>
    </cfRule>
    <cfRule type="expression" dxfId="2202" priority="318">
      <formula>$K$54 = 0</formula>
    </cfRule>
    <cfRule type="expression" dxfId="2201" priority="319">
      <formula>$K$54 &lt; 0</formula>
    </cfRule>
  </conditionalFormatting>
  <conditionalFormatting sqref="M20:O21 N54:O54">
    <cfRule type="expression" dxfId="2200" priority="314">
      <formula>$N$54 &gt; 0</formula>
    </cfRule>
    <cfRule type="expression" dxfId="2199" priority="315">
      <formula>$N$54 = 0</formula>
    </cfRule>
    <cfRule type="expression" dxfId="2198" priority="316">
      <formula>$N$54 &lt; 0</formula>
    </cfRule>
  </conditionalFormatting>
  <conditionalFormatting sqref="D22:F52">
    <cfRule type="expression" dxfId="2197" priority="299">
      <formula>AND($E22 &gt; 0, ISNUMBER($E22))</formula>
    </cfRule>
    <cfRule type="expression" dxfId="2196" priority="300">
      <formula>AND($E22 = 0, ISNUMBER($E22))</formula>
    </cfRule>
    <cfRule type="expression" dxfId="2195" priority="301">
      <formula>AND($E22 &lt; 0, ISNUMBER($E22))</formula>
    </cfRule>
  </conditionalFormatting>
  <conditionalFormatting sqref="G22:I52">
    <cfRule type="expression" dxfId="2194" priority="296">
      <formula>AND($H22 &gt; 0, ISNUMBER($H22))</formula>
    </cfRule>
    <cfRule type="expression" dxfId="2193" priority="297">
      <formula>AND($H22 = 0, ISNUMBER($H22))</formula>
    </cfRule>
    <cfRule type="expression" dxfId="2192" priority="298">
      <formula>AND($H22 &lt; 0, ISNUMBER($H22))</formula>
    </cfRule>
  </conditionalFormatting>
  <conditionalFormatting sqref="J22:L52">
    <cfRule type="expression" dxfId="2191" priority="293">
      <formula>AND($K22 &gt; 0, ISNUMBER($K22))</formula>
    </cfRule>
    <cfRule type="expression" dxfId="2190" priority="294">
      <formula>AND($K22 = 0, ISNUMBER($K22))</formula>
    </cfRule>
    <cfRule type="expression" dxfId="2189" priority="295">
      <formula>AND($K22 &lt; 0, ISNUMBER($K22))</formula>
    </cfRule>
  </conditionalFormatting>
  <conditionalFormatting sqref="M22:O52">
    <cfRule type="expression" dxfId="2188" priority="290">
      <formula>AND($N22 &gt; 0, ISNUMBER($N22))</formula>
    </cfRule>
    <cfRule type="expression" dxfId="2187" priority="291">
      <formula>AND($N22 = 0, ISNUMBER($N22))</formula>
    </cfRule>
    <cfRule type="expression" dxfId="2186" priority="292">
      <formula>AND($N22 &lt; 0, ISNUMBER($N22))</formula>
    </cfRule>
  </conditionalFormatting>
  <conditionalFormatting sqref="D58:F59 E92:F92">
    <cfRule type="expression" dxfId="2185" priority="287">
      <formula>$E$92 &gt; 0</formula>
    </cfRule>
    <cfRule type="expression" dxfId="2184" priority="288">
      <formula>$E$92 = 0</formula>
    </cfRule>
    <cfRule type="expression" dxfId="2183" priority="289">
      <formula>$E$92 &lt; 0</formula>
    </cfRule>
  </conditionalFormatting>
  <conditionalFormatting sqref="G58:I59 H92:I92">
    <cfRule type="expression" dxfId="2182" priority="284">
      <formula>$H$92 &gt; 0</formula>
    </cfRule>
    <cfRule type="expression" dxfId="2181" priority="285">
      <formula>$H$92 = 0</formula>
    </cfRule>
    <cfRule type="expression" dxfId="2180" priority="286">
      <formula>$H$92 &lt; 0</formula>
    </cfRule>
  </conditionalFormatting>
  <conditionalFormatting sqref="J58:L59 K92:L92">
    <cfRule type="expression" dxfId="2179" priority="281">
      <formula>$K$92 &gt; 0</formula>
    </cfRule>
    <cfRule type="expression" dxfId="2178" priority="282">
      <formula>$K$92 = 0</formula>
    </cfRule>
    <cfRule type="expression" dxfId="2177" priority="283">
      <formula>$K$92 &lt; 0</formula>
    </cfRule>
  </conditionalFormatting>
  <conditionalFormatting sqref="M58:O59 N92:O92">
    <cfRule type="expression" dxfId="2176" priority="278">
      <formula>$N$92 &gt; 0</formula>
    </cfRule>
    <cfRule type="expression" dxfId="2175" priority="279">
      <formula>$N$92 = 0</formula>
    </cfRule>
    <cfRule type="expression" dxfId="2174" priority="280">
      <formula>$N$92 &lt; 0</formula>
    </cfRule>
  </conditionalFormatting>
  <conditionalFormatting sqref="D60:F90">
    <cfRule type="expression" dxfId="2173" priority="275">
      <formula>AND($E60 &gt; 0, ISNUMBER($E60))</formula>
    </cfRule>
    <cfRule type="expression" dxfId="2172" priority="276">
      <formula>AND($E60 = 0, ISNUMBER($E60))</formula>
    </cfRule>
    <cfRule type="expression" dxfId="2171" priority="277">
      <formula>AND($E60 &lt; 0, ISNUMBER($E60))</formula>
    </cfRule>
  </conditionalFormatting>
  <conditionalFormatting sqref="G60:I90">
    <cfRule type="expression" dxfId="2170" priority="272">
      <formula>AND($H60 &gt; 0, ISNUMBER($H60))</formula>
    </cfRule>
    <cfRule type="expression" dxfId="2169" priority="273">
      <formula>AND($H60 = 0, ISNUMBER($H60))</formula>
    </cfRule>
    <cfRule type="expression" dxfId="2168" priority="274">
      <formula>AND($H60 &lt; 0, ISNUMBER($H60))</formula>
    </cfRule>
  </conditionalFormatting>
  <conditionalFormatting sqref="J60:L90">
    <cfRule type="expression" dxfId="2167" priority="269">
      <formula>AND($K60 &gt; 0, ISNUMBER($K60))</formula>
    </cfRule>
    <cfRule type="expression" dxfId="2166" priority="270">
      <formula>AND($K60 = 0, ISNUMBER($K60))</formula>
    </cfRule>
    <cfRule type="expression" dxfId="2165" priority="271">
      <formula>AND($K60 &lt; 0, ISNUMBER($K60))</formula>
    </cfRule>
  </conditionalFormatting>
  <conditionalFormatting sqref="M60:O90">
    <cfRule type="expression" dxfId="2164" priority="266">
      <formula>AND($N60 &gt; 0, ISNUMBER($N60))</formula>
    </cfRule>
    <cfRule type="expression" dxfId="2163" priority="267">
      <formula>AND($N60 = 0, ISNUMBER($N60))</formula>
    </cfRule>
    <cfRule type="expression" dxfId="2162" priority="268">
      <formula>AND($N60 &lt; 0, ISNUMBER($N60))</formula>
    </cfRule>
  </conditionalFormatting>
  <conditionalFormatting sqref="D96:F97 E130:F130">
    <cfRule type="expression" dxfId="2161" priority="263">
      <formula>$E$130 &gt; 0</formula>
    </cfRule>
    <cfRule type="expression" dxfId="2160" priority="264">
      <formula>$E$130 = 0</formula>
    </cfRule>
    <cfRule type="expression" dxfId="2159" priority="265">
      <formula>$E$130 &lt; 0</formula>
    </cfRule>
  </conditionalFormatting>
  <conditionalFormatting sqref="G96:I97 H130:I130">
    <cfRule type="expression" dxfId="2158" priority="260">
      <formula>$H$130 &gt; 0</formula>
    </cfRule>
    <cfRule type="expression" dxfId="2157" priority="261">
      <formula>$H$130 = 0</formula>
    </cfRule>
    <cfRule type="expression" dxfId="2156" priority="262">
      <formula>$H$130 &lt; 0</formula>
    </cfRule>
  </conditionalFormatting>
  <conditionalFormatting sqref="J96:L97 K130:L130">
    <cfRule type="expression" dxfId="2155" priority="257">
      <formula>$K$130 &gt; 0</formula>
    </cfRule>
    <cfRule type="expression" dxfId="2154" priority="258">
      <formula>$K$130 = 0</formula>
    </cfRule>
    <cfRule type="expression" dxfId="2153" priority="259">
      <formula>$K$130 &lt; 0</formula>
    </cfRule>
  </conditionalFormatting>
  <conditionalFormatting sqref="M96:O97 N130:O130">
    <cfRule type="expression" dxfId="2152" priority="254">
      <formula>$N$130 &gt; 0</formula>
    </cfRule>
    <cfRule type="expression" dxfId="2151" priority="255">
      <formula>$N$130 = 0</formula>
    </cfRule>
    <cfRule type="expression" dxfId="2150" priority="256">
      <formula>$N$130 &lt; 0</formula>
    </cfRule>
  </conditionalFormatting>
  <conditionalFormatting sqref="D98:F128">
    <cfRule type="expression" dxfId="2149" priority="251">
      <formula>AND($E98 &gt; 0, ISNUMBER($E98))</formula>
    </cfRule>
    <cfRule type="expression" dxfId="2148" priority="252">
      <formula>AND($E98 = 0, ISNUMBER($E98))</formula>
    </cfRule>
    <cfRule type="expression" dxfId="2147" priority="253">
      <formula>AND($E98 &lt; 0, ISNUMBER($E98))</formula>
    </cfRule>
  </conditionalFormatting>
  <conditionalFormatting sqref="G98:I128">
    <cfRule type="expression" dxfId="2146" priority="248">
      <formula>AND($H98 &gt; 0, ISNUMBER($H98))</formula>
    </cfRule>
    <cfRule type="expression" dxfId="2145" priority="249">
      <formula>AND($H98 = 0, ISNUMBER($H98))</formula>
    </cfRule>
    <cfRule type="expression" dxfId="2144" priority="250">
      <formula>AND($H98 &lt; 0, ISNUMBER($H98))</formula>
    </cfRule>
  </conditionalFormatting>
  <conditionalFormatting sqref="J98:L128">
    <cfRule type="expression" dxfId="2143" priority="245">
      <formula>AND($K98 &gt; 0, ISNUMBER($K98))</formula>
    </cfRule>
    <cfRule type="expression" dxfId="2142" priority="246">
      <formula>AND($K98 = 0, ISNUMBER($K98))</formula>
    </cfRule>
    <cfRule type="expression" dxfId="2141" priority="247">
      <formula>AND($K98 &lt; 0, ISNUMBER($K98))</formula>
    </cfRule>
  </conditionalFormatting>
  <conditionalFormatting sqref="M98:O128">
    <cfRule type="expression" dxfId="2140" priority="242">
      <formula>AND($N98 &gt; 0, ISNUMBER($N98))</formula>
    </cfRule>
    <cfRule type="expression" dxfId="2139" priority="243">
      <formula>AND($N98 = 0, ISNUMBER($N98))</formula>
    </cfRule>
    <cfRule type="expression" dxfId="2138" priority="244">
      <formula>AND($N98 &lt; 0, ISNUMBER($N98))</formula>
    </cfRule>
  </conditionalFormatting>
  <conditionalFormatting sqref="D134:F135 E168:F168">
    <cfRule type="expression" dxfId="2137" priority="239">
      <formula>$E$168 &gt; 0</formula>
    </cfRule>
    <cfRule type="expression" dxfId="2136" priority="240">
      <formula>$E$168 = 0</formula>
    </cfRule>
    <cfRule type="expression" dxfId="2135" priority="241">
      <formula>$E$168 &lt; 0</formula>
    </cfRule>
  </conditionalFormatting>
  <conditionalFormatting sqref="G134:I135 H168:I168">
    <cfRule type="expression" dxfId="2134" priority="236">
      <formula>$H$168 &gt; 0</formula>
    </cfRule>
    <cfRule type="expression" dxfId="2133" priority="237">
      <formula>$H$168 = 0</formula>
    </cfRule>
    <cfRule type="expression" dxfId="2132" priority="238">
      <formula>$H$168 &lt; 0</formula>
    </cfRule>
  </conditionalFormatting>
  <conditionalFormatting sqref="J134:L135 K168:L168">
    <cfRule type="expression" dxfId="2131" priority="233">
      <formula>$K$168 &gt; 0</formula>
    </cfRule>
    <cfRule type="expression" dxfId="2130" priority="234">
      <formula>$K$168 = 0</formula>
    </cfRule>
    <cfRule type="expression" dxfId="2129" priority="235">
      <formula>$K$168 &lt; 0</formula>
    </cfRule>
  </conditionalFormatting>
  <conditionalFormatting sqref="M134:O135 N168:O168">
    <cfRule type="expression" dxfId="2128" priority="230">
      <formula>$N$168 &gt; 0</formula>
    </cfRule>
    <cfRule type="expression" dxfId="2127" priority="231">
      <formula>$N$168 = 0</formula>
    </cfRule>
    <cfRule type="expression" dxfId="2126" priority="232">
      <formula>$N$168 &lt; 0</formula>
    </cfRule>
  </conditionalFormatting>
  <conditionalFormatting sqref="D136:F166">
    <cfRule type="expression" dxfId="2125" priority="227">
      <formula>AND($E136 &gt; 0, ISNUMBER($E136))</formula>
    </cfRule>
    <cfRule type="expression" dxfId="2124" priority="228">
      <formula>AND($E136 = 0, ISNUMBER($E136))</formula>
    </cfRule>
    <cfRule type="expression" dxfId="2123" priority="229">
      <formula>AND($E136 &lt; 0, ISNUMBER($E136))</formula>
    </cfRule>
  </conditionalFormatting>
  <conditionalFormatting sqref="G136:I166">
    <cfRule type="expression" dxfId="2122" priority="224">
      <formula>AND($H136 &gt; 0, ISNUMBER($H136))</formula>
    </cfRule>
    <cfRule type="expression" dxfId="2121" priority="225">
      <formula>AND($H136 = 0, ISNUMBER($H136))</formula>
    </cfRule>
    <cfRule type="expression" dxfId="2120" priority="226">
      <formula>AND($H136 &lt; 0, ISNUMBER($H136))</formula>
    </cfRule>
  </conditionalFormatting>
  <conditionalFormatting sqref="J136:L166">
    <cfRule type="expression" dxfId="2119" priority="221">
      <formula>AND($K136 &gt; 0, ISNUMBER($K136))</formula>
    </cfRule>
    <cfRule type="expression" dxfId="2118" priority="222">
      <formula>AND($K136 = 0, ISNUMBER($K136))</formula>
    </cfRule>
    <cfRule type="expression" dxfId="2117" priority="223">
      <formula>AND($K136 &lt; 0, ISNUMBER($K136))</formula>
    </cfRule>
  </conditionalFormatting>
  <conditionalFormatting sqref="M136:O166">
    <cfRule type="expression" dxfId="2116" priority="218">
      <formula>AND($N136 &gt; 0, ISNUMBER($N136))</formula>
    </cfRule>
    <cfRule type="expression" dxfId="2115" priority="219">
      <formula>AND($N136 = 0, ISNUMBER($N136))</formula>
    </cfRule>
    <cfRule type="expression" dxfId="2114" priority="220">
      <formula>AND($N136 &lt; 0, ISNUMBER($N136))</formula>
    </cfRule>
  </conditionalFormatting>
  <conditionalFormatting sqref="D172:F173 E206:F206">
    <cfRule type="expression" dxfId="2113" priority="215">
      <formula>$E$206 &gt; 0</formula>
    </cfRule>
    <cfRule type="expression" dxfId="2112" priority="216">
      <formula>$E$206 = 0</formula>
    </cfRule>
    <cfRule type="expression" dxfId="2111" priority="217">
      <formula>$E$206 &lt; 0</formula>
    </cfRule>
  </conditionalFormatting>
  <conditionalFormatting sqref="G172:I173 H206:I206">
    <cfRule type="expression" dxfId="2110" priority="212">
      <formula>$H$206 &gt; 0</formula>
    </cfRule>
    <cfRule type="expression" dxfId="2109" priority="213">
      <formula>$H$206 = 0</formula>
    </cfRule>
    <cfRule type="expression" dxfId="2108" priority="214">
      <formula>$H$206 &lt; 0</formula>
    </cfRule>
  </conditionalFormatting>
  <conditionalFormatting sqref="J172:L173 K206:L206">
    <cfRule type="expression" dxfId="2107" priority="209">
      <formula>$K$206 &gt; 0</formula>
    </cfRule>
    <cfRule type="expression" dxfId="2106" priority="210">
      <formula>$K$206 = 0</formula>
    </cfRule>
    <cfRule type="expression" dxfId="2105" priority="211">
      <formula>$K$206 &lt; 0</formula>
    </cfRule>
  </conditionalFormatting>
  <conditionalFormatting sqref="M172:O173 N206:O206">
    <cfRule type="expression" dxfId="2104" priority="206">
      <formula>$N$206 &gt; 0</formula>
    </cfRule>
    <cfRule type="expression" dxfId="2103" priority="207">
      <formula>$N$206 = 0</formula>
    </cfRule>
    <cfRule type="expression" dxfId="2102" priority="208">
      <formula>$N$206 &lt; 0</formula>
    </cfRule>
  </conditionalFormatting>
  <conditionalFormatting sqref="D174:F204">
    <cfRule type="expression" dxfId="2101" priority="203">
      <formula>AND($E174 &gt; 0, ISNUMBER($E174))</formula>
    </cfRule>
    <cfRule type="expression" dxfId="2100" priority="204">
      <formula>AND($E174 = 0, ISNUMBER($E174))</formula>
    </cfRule>
    <cfRule type="expression" dxfId="2099" priority="205">
      <formula>AND($E174 &lt; 0, ISNUMBER($E174))</formula>
    </cfRule>
  </conditionalFormatting>
  <conditionalFormatting sqref="G174:I204">
    <cfRule type="expression" dxfId="2098" priority="200">
      <formula>AND($H174 &gt; 0, ISNUMBER($H174))</formula>
    </cfRule>
    <cfRule type="expression" dxfId="2097" priority="201">
      <formula>AND($H174 = 0, ISNUMBER($H174))</formula>
    </cfRule>
    <cfRule type="expression" dxfId="2096" priority="202">
      <formula>AND($H174 &lt; 0, ISNUMBER($H174))</formula>
    </cfRule>
  </conditionalFormatting>
  <conditionalFormatting sqref="J174:L204">
    <cfRule type="expression" dxfId="2095" priority="197">
      <formula>AND($K174 &gt; 0, ISNUMBER($K174))</formula>
    </cfRule>
    <cfRule type="expression" dxfId="2094" priority="198">
      <formula>AND($K174 = 0, ISNUMBER($K174))</formula>
    </cfRule>
    <cfRule type="expression" dxfId="2093" priority="199">
      <formula>AND($K174 &lt; 0, ISNUMBER($K174))</formula>
    </cfRule>
  </conditionalFormatting>
  <conditionalFormatting sqref="M174:O204">
    <cfRule type="expression" dxfId="2092" priority="194">
      <formula>AND($N174 &gt; 0, ISNUMBER($N174))</formula>
    </cfRule>
    <cfRule type="expression" dxfId="2091" priority="195">
      <formula>AND($N174 = 0, ISNUMBER($N174))</formula>
    </cfRule>
    <cfRule type="expression" dxfId="2090" priority="196">
      <formula>AND($N174 &lt; 0, ISNUMBER($N174))</formula>
    </cfRule>
  </conditionalFormatting>
  <conditionalFormatting sqref="D210:F211 E244:F244">
    <cfRule type="expression" dxfId="2089" priority="191">
      <formula>$E$244 &gt; 0</formula>
    </cfRule>
    <cfRule type="expression" dxfId="2088" priority="192">
      <formula>$E$244 = 0</formula>
    </cfRule>
    <cfRule type="expression" dxfId="2087" priority="193">
      <formula>$E$244 &lt; 0</formula>
    </cfRule>
  </conditionalFormatting>
  <conditionalFormatting sqref="G210:I211 H244:I244">
    <cfRule type="expression" dxfId="2086" priority="188">
      <formula>$H$244 &gt; 0</formula>
    </cfRule>
    <cfRule type="expression" dxfId="2085" priority="189">
      <formula>$H$244 = 0</formula>
    </cfRule>
    <cfRule type="expression" dxfId="2084" priority="190">
      <formula>$H$244 &lt; 0</formula>
    </cfRule>
  </conditionalFormatting>
  <conditionalFormatting sqref="J210:L211 K244:L244">
    <cfRule type="expression" dxfId="2083" priority="185">
      <formula>$K$244 &gt; 0</formula>
    </cfRule>
    <cfRule type="expression" dxfId="2082" priority="186">
      <formula>$K$244 = 0</formula>
    </cfRule>
    <cfRule type="expression" dxfId="2081" priority="187">
      <formula>$K$244 &lt; 0</formula>
    </cfRule>
  </conditionalFormatting>
  <conditionalFormatting sqref="M210:O211 N244:O244">
    <cfRule type="expression" dxfId="2080" priority="182">
      <formula>$N$244 &gt; 0</formula>
    </cfRule>
    <cfRule type="expression" dxfId="2079" priority="183">
      <formula>$N$244 = 0</formula>
    </cfRule>
    <cfRule type="expression" dxfId="2078" priority="184">
      <formula>$N$244 &lt; 0</formula>
    </cfRule>
  </conditionalFormatting>
  <conditionalFormatting sqref="D212:F242">
    <cfRule type="expression" dxfId="2077" priority="179">
      <formula>AND($E212 &gt; 0, ISNUMBER($E212))</formula>
    </cfRule>
    <cfRule type="expression" dxfId="2076" priority="180">
      <formula>AND($E212 = 0, ISNUMBER($E212))</formula>
    </cfRule>
    <cfRule type="expression" dxfId="2075" priority="181">
      <formula>AND($E212 &lt; 0, ISNUMBER($E212))</formula>
    </cfRule>
  </conditionalFormatting>
  <conditionalFormatting sqref="G212:I242">
    <cfRule type="expression" dxfId="2074" priority="176">
      <formula>AND($H212 &gt; 0, ISNUMBER($H212))</formula>
    </cfRule>
    <cfRule type="expression" dxfId="2073" priority="177">
      <formula>AND($H212 = 0, ISNUMBER($H212))</formula>
    </cfRule>
    <cfRule type="expression" dxfId="2072" priority="178">
      <formula>AND($H212 &lt; 0, ISNUMBER($H212))</formula>
    </cfRule>
  </conditionalFormatting>
  <conditionalFormatting sqref="J212:L242">
    <cfRule type="expression" dxfId="2071" priority="173">
      <formula>AND($K212 &gt; 0, ISNUMBER($K212))</formula>
    </cfRule>
    <cfRule type="expression" dxfId="2070" priority="174">
      <formula>AND($K212 = 0, ISNUMBER($K212))</formula>
    </cfRule>
    <cfRule type="expression" dxfId="2069" priority="175">
      <formula>AND($K212 &lt; 0, ISNUMBER($K212))</formula>
    </cfRule>
  </conditionalFormatting>
  <conditionalFormatting sqref="M212:O242">
    <cfRule type="expression" dxfId="2068" priority="170">
      <formula>AND($N212 &gt; 0, ISNUMBER($N212))</formula>
    </cfRule>
    <cfRule type="expression" dxfId="2067" priority="171">
      <formula>AND($N212 = 0, ISNUMBER($N212))</formula>
    </cfRule>
    <cfRule type="expression" dxfId="2066" priority="172">
      <formula>AND($N212 &lt; 0, ISNUMBER($N212))</formula>
    </cfRule>
  </conditionalFormatting>
  <conditionalFormatting sqref="D248:F249 E282:F282">
    <cfRule type="expression" dxfId="2065" priority="167">
      <formula>$E$282 &gt; 0</formula>
    </cfRule>
    <cfRule type="expression" dxfId="2064" priority="168">
      <formula>$E$282 = 0</formula>
    </cfRule>
    <cfRule type="expression" dxfId="2063" priority="169">
      <formula>$E$282 &lt; 0</formula>
    </cfRule>
  </conditionalFormatting>
  <conditionalFormatting sqref="G248:I249 H282:I282">
    <cfRule type="expression" dxfId="2062" priority="164">
      <formula>$H$282 &gt; 0</formula>
    </cfRule>
    <cfRule type="expression" dxfId="2061" priority="165">
      <formula>$H$282 = 0</formula>
    </cfRule>
    <cfRule type="expression" dxfId="2060" priority="166">
      <formula>$H$282 &lt; 0</formula>
    </cfRule>
  </conditionalFormatting>
  <conditionalFormatting sqref="J248:L249 K282:L282">
    <cfRule type="expression" dxfId="2059" priority="161">
      <formula>$K$282 &gt; 0</formula>
    </cfRule>
    <cfRule type="expression" dxfId="2058" priority="162">
      <formula>$K$282 = 0</formula>
    </cfRule>
    <cfRule type="expression" dxfId="2057" priority="163">
      <formula>$K$282 &lt; 0</formula>
    </cfRule>
  </conditionalFormatting>
  <conditionalFormatting sqref="M248:O249 N282:O282">
    <cfRule type="expression" dxfId="2056" priority="158">
      <formula>$N$282 &gt; 0</formula>
    </cfRule>
    <cfRule type="expression" dxfId="2055" priority="159">
      <formula>$N$282 = 0</formula>
    </cfRule>
    <cfRule type="expression" dxfId="2054" priority="160">
      <formula>$N$282 &lt; 0</formula>
    </cfRule>
  </conditionalFormatting>
  <conditionalFormatting sqref="D250:F280">
    <cfRule type="expression" dxfId="2053" priority="155">
      <formula>AND($E250 &gt; 0, ISNUMBER($E250))</formula>
    </cfRule>
    <cfRule type="expression" dxfId="2052" priority="156">
      <formula>AND($E250 = 0, ISNUMBER($E250))</formula>
    </cfRule>
    <cfRule type="expression" dxfId="2051" priority="157">
      <formula>AND($E250 &lt; 0, ISNUMBER($E250))</formula>
    </cfRule>
  </conditionalFormatting>
  <conditionalFormatting sqref="G250:I280">
    <cfRule type="expression" dxfId="2050" priority="152">
      <formula>AND($H250 &gt; 0, ISNUMBER($H250))</formula>
    </cfRule>
    <cfRule type="expression" dxfId="2049" priority="153">
      <formula>AND($H250 = 0, ISNUMBER($H250))</formula>
    </cfRule>
    <cfRule type="expression" dxfId="2048" priority="154">
      <formula>AND($H250 &lt; 0, ISNUMBER($H250))</formula>
    </cfRule>
  </conditionalFormatting>
  <conditionalFormatting sqref="J250:L280">
    <cfRule type="expression" dxfId="2047" priority="149">
      <formula>AND($K250 &gt; 0, ISNUMBER($K250))</formula>
    </cfRule>
    <cfRule type="expression" dxfId="2046" priority="150">
      <formula>AND($K250 = 0, ISNUMBER($K250))</formula>
    </cfRule>
    <cfRule type="expression" dxfId="2045" priority="151">
      <formula>AND($K250 &lt; 0, ISNUMBER($K250))</formula>
    </cfRule>
  </conditionalFormatting>
  <conditionalFormatting sqref="M250:O280">
    <cfRule type="expression" dxfId="2044" priority="146">
      <formula>AND($N250 &gt; 0, ISNUMBER($N250))</formula>
    </cfRule>
    <cfRule type="expression" dxfId="2043" priority="147">
      <formula>AND($N250 = 0, ISNUMBER($N250))</formula>
    </cfRule>
    <cfRule type="expression" dxfId="2042" priority="148">
      <formula>AND($N250 &lt; 0, ISNUMBER($N250))</formula>
    </cfRule>
  </conditionalFormatting>
  <conditionalFormatting sqref="D5:F6">
    <cfRule type="expression" dxfId="2041" priority="143">
      <formula>$F$130 &gt; 0</formula>
    </cfRule>
    <cfRule type="expression" dxfId="2040" priority="144">
      <formula>$F$130 = 0</formula>
    </cfRule>
    <cfRule type="expression" dxfId="2039" priority="145">
      <formula>$F$130 &lt; 0</formula>
    </cfRule>
  </conditionalFormatting>
  <conditionalFormatting sqref="D7:F8">
    <cfRule type="expression" dxfId="2038" priority="140">
      <formula>$F$206 &gt; 0</formula>
    </cfRule>
    <cfRule type="expression" dxfId="2037" priority="141">
      <formula>$F$206 = 0</formula>
    </cfRule>
    <cfRule type="expression" dxfId="2036" priority="142">
      <formula>$F$206 &lt; 0</formula>
    </cfRule>
  </conditionalFormatting>
  <conditionalFormatting sqref="D9:F10">
    <cfRule type="expression" dxfId="2035" priority="137">
      <formula>$F$244 &gt; 0</formula>
    </cfRule>
    <cfRule type="expression" dxfId="2034" priority="138">
      <formula>$F$244 = 0</formula>
    </cfRule>
    <cfRule type="expression" dxfId="2033" priority="139">
      <formula>$F$244 &lt; 0</formula>
    </cfRule>
  </conditionalFormatting>
  <conditionalFormatting sqref="D11:F12">
    <cfRule type="expression" dxfId="2032" priority="134">
      <formula>$F$168 &gt; 0</formula>
    </cfRule>
    <cfRule type="expression" dxfId="2031" priority="135">
      <formula>$F$168 = 0</formula>
    </cfRule>
    <cfRule type="expression" dxfId="2030" priority="136">
      <formula>$F$168 &lt; 0</formula>
    </cfRule>
  </conditionalFormatting>
  <conditionalFormatting sqref="D13:F14">
    <cfRule type="expression" dxfId="2029" priority="92">
      <formula>$F$282 &gt; 0</formula>
    </cfRule>
    <cfRule type="expression" dxfId="2028" priority="93">
      <formula>$F$282 = 0</formula>
    </cfRule>
    <cfRule type="expression" dxfId="2027" priority="94">
      <formula>$F$282 &lt; 0</formula>
    </cfRule>
  </conditionalFormatting>
  <conditionalFormatting sqref="D15:F16">
    <cfRule type="expression" dxfId="2026" priority="77">
      <formula>$F$54 &gt; 0</formula>
    </cfRule>
    <cfRule type="expression" dxfId="2025" priority="78">
      <formula>$F$54 = 0</formula>
    </cfRule>
    <cfRule type="expression" dxfId="2024" priority="79">
      <formula>$F$54 &lt; 0</formula>
    </cfRule>
  </conditionalFormatting>
  <conditionalFormatting sqref="G5:I6">
    <cfRule type="expression" dxfId="2023" priority="65">
      <formula>$I$130 &gt; 0</formula>
    </cfRule>
    <cfRule type="expression" dxfId="2022" priority="66">
      <formula>$I$130 = 0</formula>
    </cfRule>
    <cfRule type="expression" dxfId="2021" priority="67">
      <formula>$I$130 &lt; 0</formula>
    </cfRule>
  </conditionalFormatting>
  <conditionalFormatting sqref="G7:I8">
    <cfRule type="expression" dxfId="2020" priority="62">
      <formula>$I$206 &gt; 0</formula>
    </cfRule>
    <cfRule type="expression" dxfId="2019" priority="63">
      <formula>$I$206 = 0</formula>
    </cfRule>
    <cfRule type="expression" dxfId="2018" priority="64">
      <formula>$I$206 &lt; 0</formula>
    </cfRule>
  </conditionalFormatting>
  <conditionalFormatting sqref="G9:I10">
    <cfRule type="expression" dxfId="2017" priority="59">
      <formula>$I$244 &gt; 0</formula>
    </cfRule>
    <cfRule type="expression" dxfId="2016" priority="60">
      <formula>$I$244 = 0</formula>
    </cfRule>
    <cfRule type="expression" dxfId="2015" priority="61">
      <formula>$I$244 &lt; 0</formula>
    </cfRule>
  </conditionalFormatting>
  <conditionalFormatting sqref="G11:I12">
    <cfRule type="expression" dxfId="2014" priority="56">
      <formula>$I$168 &gt; 0</formula>
    </cfRule>
    <cfRule type="expression" dxfId="2013" priority="57">
      <formula>$I$168 = 0</formula>
    </cfRule>
    <cfRule type="expression" dxfId="2012" priority="58">
      <formula>$I$168 &lt; 0</formula>
    </cfRule>
  </conditionalFormatting>
  <conditionalFormatting sqref="G13:I14">
    <cfRule type="expression" dxfId="2011" priority="53">
      <formula>$I$282 &gt; 0</formula>
    </cfRule>
    <cfRule type="expression" dxfId="2010" priority="54">
      <formula>$I$282 = 0</formula>
    </cfRule>
    <cfRule type="expression" dxfId="2009" priority="55">
      <formula>$I$282 &lt; 0</formula>
    </cfRule>
  </conditionalFormatting>
  <conditionalFormatting sqref="G15:I16">
    <cfRule type="expression" dxfId="2008" priority="50">
      <formula>$I$54 &gt; 0</formula>
    </cfRule>
    <cfRule type="expression" dxfId="2007" priority="51">
      <formula>$I$54 = 0</formula>
    </cfRule>
    <cfRule type="expression" dxfId="2006" priority="52">
      <formula>$I$54 &lt; 0</formula>
    </cfRule>
  </conditionalFormatting>
  <conditionalFormatting sqref="J5:L6">
    <cfRule type="expression" dxfId="2005" priority="47">
      <formula>$L$130 &gt; 0</formula>
    </cfRule>
    <cfRule type="expression" dxfId="2004" priority="48">
      <formula>$L$130 = 0</formula>
    </cfRule>
    <cfRule type="expression" dxfId="2003" priority="49">
      <formula>$L$130 &lt; 0</formula>
    </cfRule>
  </conditionalFormatting>
  <conditionalFormatting sqref="J7:L8">
    <cfRule type="expression" dxfId="2002" priority="44">
      <formula>$L$206 &gt; 0</formula>
    </cfRule>
    <cfRule type="expression" dxfId="2001" priority="45">
      <formula>$L$206 = 0</formula>
    </cfRule>
    <cfRule type="expression" dxfId="2000" priority="46">
      <formula>$L$206 &lt; 0</formula>
    </cfRule>
  </conditionalFormatting>
  <conditionalFormatting sqref="J9:L10">
    <cfRule type="expression" dxfId="1999" priority="41">
      <formula>$L$244 &gt; 0</formula>
    </cfRule>
    <cfRule type="expression" dxfId="1998" priority="42">
      <formula>$L$244 = 0</formula>
    </cfRule>
    <cfRule type="expression" dxfId="1997" priority="43">
      <formula>$L$244 &lt; 0</formula>
    </cfRule>
  </conditionalFormatting>
  <conditionalFormatting sqref="J11:L12">
    <cfRule type="expression" dxfId="1996" priority="38">
      <formula>$L$168 &gt; 0</formula>
    </cfRule>
    <cfRule type="expression" dxfId="1995" priority="39">
      <formula>$L$168 = 0</formula>
    </cfRule>
    <cfRule type="expression" dxfId="1994" priority="40">
      <formula>$L$168 &lt; 0</formula>
    </cfRule>
  </conditionalFormatting>
  <conditionalFormatting sqref="J13:L14">
    <cfRule type="expression" dxfId="1993" priority="35">
      <formula>$L$282 &gt; 0</formula>
    </cfRule>
    <cfRule type="expression" dxfId="1992" priority="36">
      <formula>$L$282 = 0</formula>
    </cfRule>
    <cfRule type="expression" dxfId="1991" priority="37">
      <formula>$L$282 &lt; 0</formula>
    </cfRule>
  </conditionalFormatting>
  <conditionalFormatting sqref="J15:L16">
    <cfRule type="expression" dxfId="1990" priority="32">
      <formula>$L$54 &gt; 0</formula>
    </cfRule>
    <cfRule type="expression" dxfId="1989" priority="33">
      <formula>$L$54 = 0</formula>
    </cfRule>
    <cfRule type="expression" dxfId="1988" priority="34">
      <formula>$L$54 &lt; 0</formula>
    </cfRule>
  </conditionalFormatting>
  <conditionalFormatting sqref="M5:O6">
    <cfRule type="expression" dxfId="1987" priority="29">
      <formula>$O$130 &gt; 0</formula>
    </cfRule>
    <cfRule type="expression" dxfId="1986" priority="30">
      <formula>$O$130 = 0</formula>
    </cfRule>
    <cfRule type="expression" dxfId="1985" priority="31">
      <formula>$O$130 &lt; 0</formula>
    </cfRule>
  </conditionalFormatting>
  <conditionalFormatting sqref="M7:O8">
    <cfRule type="expression" dxfId="1984" priority="26">
      <formula>$O$206 &gt; 0</formula>
    </cfRule>
    <cfRule type="expression" dxfId="1983" priority="27">
      <formula>$O$206 = 0</formula>
    </cfRule>
    <cfRule type="expression" dxfId="1982" priority="28">
      <formula>$O$206 &lt; 0</formula>
    </cfRule>
  </conditionalFormatting>
  <conditionalFormatting sqref="M9:O10">
    <cfRule type="expression" dxfId="1981" priority="23">
      <formula>$O$244 &gt; 0</formula>
    </cfRule>
    <cfRule type="expression" dxfId="1980" priority="24">
      <formula>$O$244 = 0</formula>
    </cfRule>
    <cfRule type="expression" dxfId="1979" priority="25">
      <formula>$O$244 &lt; 0</formula>
    </cfRule>
  </conditionalFormatting>
  <conditionalFormatting sqref="M11:O12">
    <cfRule type="expression" dxfId="1978" priority="20">
      <formula>$O$168 &gt; 0</formula>
    </cfRule>
    <cfRule type="expression" dxfId="1977" priority="21">
      <formula>$O$168 = 0</formula>
    </cfRule>
    <cfRule type="expression" dxfId="1976" priority="22">
      <formula>$O$168 &lt; 0</formula>
    </cfRule>
  </conditionalFormatting>
  <conditionalFormatting sqref="M13:O14">
    <cfRule type="expression" dxfId="1975" priority="17">
      <formula>$O$282 &gt; 0</formula>
    </cfRule>
    <cfRule type="expression" dxfId="1974" priority="18">
      <formula>$O$282 = 0</formula>
    </cfRule>
    <cfRule type="expression" dxfId="1973" priority="19">
      <formula>$O$282 &lt; 0</formula>
    </cfRule>
  </conditionalFormatting>
  <conditionalFormatting sqref="M15:O16">
    <cfRule type="expression" dxfId="1972" priority="14">
      <formula>$O$54 &gt; 0</formula>
    </cfRule>
    <cfRule type="expression" dxfId="1971" priority="15">
      <formula>$O$54 = 0</formula>
    </cfRule>
    <cfRule type="expression" dxfId="1970" priority="16">
      <formula>$O$54 &lt; 0</formula>
    </cfRule>
  </conditionalFormatting>
  <conditionalFormatting sqref="D3:F4">
    <cfRule type="expression" dxfId="1969" priority="13">
      <formula>$F$92 &lt; 0</formula>
    </cfRule>
    <cfRule type="expression" dxfId="1968" priority="12">
      <formula>$F$92 = 0</formula>
    </cfRule>
    <cfRule type="expression" dxfId="1967" priority="11">
      <formula>$F$92 &gt; 0</formula>
    </cfRule>
  </conditionalFormatting>
  <conditionalFormatting sqref="G3:I4">
    <cfRule type="expression" dxfId="1966" priority="10">
      <formula>$I$92 &lt; 0</formula>
    </cfRule>
    <cfRule type="expression" dxfId="1965" priority="9">
      <formula>$I$92 = 0</formula>
    </cfRule>
    <cfRule type="expression" dxfId="1964" priority="8">
      <formula>$I$92 &gt; 0</formula>
    </cfRule>
  </conditionalFormatting>
  <conditionalFormatting sqref="J3:L4">
    <cfRule type="expression" dxfId="1963" priority="5">
      <formula>$L$92 &gt; 0</formula>
    </cfRule>
    <cfRule type="expression" dxfId="1962" priority="6">
      <formula>$L$92 = 0</formula>
    </cfRule>
    <cfRule type="expression" dxfId="1961" priority="7">
      <formula>$L$92 &lt; 0</formula>
    </cfRule>
  </conditionalFormatting>
  <conditionalFormatting sqref="M3:O4">
    <cfRule type="expression" dxfId="1960" priority="2">
      <formula>$O$92 &gt; 0</formula>
    </cfRule>
    <cfRule type="expression" dxfId="1959" priority="3">
      <formula>$O$92 = 0</formula>
    </cfRule>
    <cfRule type="expression" dxfId="195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F8C1-87C7-4EE6-92BA-BF6C0EACEE4B}">
  <sheetPr codeName="Sheet6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44440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320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328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-1,949 KRW (-0.10%)</v>
      </c>
      <c r="H3" s="217"/>
      <c r="I3" s="218"/>
      <c r="J3" s="4" t="s">
        <v>7</v>
      </c>
      <c r="K3" s="213" t="s">
        <v>321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322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319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96,004 KRW (5.65%)</v>
      </c>
      <c r="H5" s="217"/>
      <c r="I5" s="218"/>
      <c r="J5" s="4" t="s">
        <v>15</v>
      </c>
      <c r="K5" s="213" t="s">
        <v>323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324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51,027 KRW (2.55%)</v>
      </c>
      <c r="H7" s="217"/>
      <c r="I7" s="218"/>
      <c r="J7" s="4" t="s">
        <v>21</v>
      </c>
      <c r="K7" s="213" t="s">
        <v>325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255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57,489 KRW (2.87%)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326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327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318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57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55149000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2.1442459999999998E-3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2021-09-01(수) 오전 00:00</v>
      </c>
      <c r="C15" s="268"/>
      <c r="D15" s="224" t="str">
        <f>TEXT($G$1, "[$-ko-KR]yyyy-mm-dd(ddd) ") &amp; "오후 14:00"</f>
        <v>2021-09-01(수) 오후 14:00</v>
      </c>
      <c r="E15" s="225"/>
      <c r="F15" s="226"/>
      <c r="G15" s="224" t="str">
        <f>TEXT($G$1, "[$-ko-KR]yyyy-mm-dd(ddd) ") &amp; "오후 19:00"</f>
        <v>2021-09-01(수) 오후 19:00</v>
      </c>
      <c r="H15" s="225"/>
      <c r="I15" s="226"/>
      <c r="J15" s="224" t="str">
        <f>TEXT($G$1, "[$-ko-KR]yyyy-mm-dd(ddd) ") &amp; "오후 21:00"</f>
        <v>2021-09-01(수) 오후 21:00</v>
      </c>
      <c r="K15" s="225"/>
      <c r="L15" s="226"/>
      <c r="M15" s="224" t="str">
        <f>TEXT($G$1+1, "[$-ko-KR]yyyy-mm-dd(ddd) ") &amp; "오전 00:00"</f>
        <v>2021-09-02(목)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57" t="s">
        <v>267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55149000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2.1442459999999998E-3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2021-09-01(수) 오전 00:00</v>
      </c>
      <c r="C42" s="265"/>
      <c r="D42" s="224" t="str">
        <f>TEXT($G$1, "[$-ko-KR]yyyy-mm-dd(ddd) ") &amp; "오후 14:00"</f>
        <v>2021-09-01(수) 오후 14:00</v>
      </c>
      <c r="E42" s="225"/>
      <c r="F42" s="226"/>
      <c r="G42" s="224" t="str">
        <f>TEXT($G$1, "[$-ko-KR]yyyy-mm-dd(ddd) ") &amp; "오후 19:00"</f>
        <v>2021-09-01(수) 오후 19:00</v>
      </c>
      <c r="H42" s="225"/>
      <c r="I42" s="226"/>
      <c r="J42" s="224" t="str">
        <f>TEXT($G$1, "[$-ko-KR]yyyy-mm-dd(ddd) ") &amp; "오후 21:00"</f>
        <v>2021-09-01(수) 오후 21:00</v>
      </c>
      <c r="K42" s="225"/>
      <c r="L42" s="226"/>
      <c r="M42" s="224" t="str">
        <f>TEXT($G$1+1, "[$-ko-KR]yyyy-mm-dd(ddd) ") &amp; "오전 00:00"</f>
        <v>2021-09-02(목)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7"/>
      <c r="R43" s="227"/>
      <c r="S43" s="227"/>
    </row>
    <row r="44" spans="1:19" ht="17.25" customHeight="1" thickBot="1">
      <c r="A44" s="123" t="s">
        <v>122</v>
      </c>
      <c r="B44" s="124">
        <v>38.700000000000003</v>
      </c>
      <c r="C44" s="76">
        <v>3.2000000000000001E-2</v>
      </c>
      <c r="D44" s="13">
        <v>41</v>
      </c>
      <c r="E44" s="14">
        <f>IF(ISNUMBER(D44), (D44 - $B44) / $B44, "")</f>
        <v>5.9431524547803538E-2</v>
      </c>
      <c r="F44" s="16">
        <f>IF(ISNUMBER(D44), $B64 * E44, "")</f>
        <v>5943.1524547803538</v>
      </c>
      <c r="G44" s="29">
        <v>40.799999999999997</v>
      </c>
      <c r="H44" s="14">
        <f>IF(ISNUMBER(G44), (G44 - $B44) / $B44, "")</f>
        <v>5.4263565891472715E-2</v>
      </c>
      <c r="I44" s="100">
        <f>IF(ISNUMBER(G44), $B64 * H44, "")</f>
        <v>5426.3565891472717</v>
      </c>
      <c r="J44" s="13">
        <v>40.1</v>
      </c>
      <c r="K44" s="14">
        <f>IF(ISNUMBER(J44), (J44 - $B44) / $B44, "")</f>
        <v>3.6175710594315208E-2</v>
      </c>
      <c r="L44" s="16">
        <f>IF(ISNUMBER(J44), $B64 * K44, "")</f>
        <v>3617.571059431521</v>
      </c>
      <c r="M44" s="29">
        <v>40.799999999999997</v>
      </c>
      <c r="N44" s="14">
        <f>IF(ISNUMBER(M44), (M44 - $B44) / $B44, "")</f>
        <v>5.4263565891472715E-2</v>
      </c>
      <c r="O44" s="16">
        <f>IF(ISNUMBER(M44), $B64 * N44, "")</f>
        <v>5426.3565891472717</v>
      </c>
      <c r="Q44" s="222"/>
      <c r="R44" s="222"/>
      <c r="S44" s="222"/>
    </row>
    <row r="45" spans="1:19" ht="17.25" customHeight="1" thickBot="1">
      <c r="A45" s="125" t="s">
        <v>98</v>
      </c>
      <c r="B45" s="126">
        <v>4.88</v>
      </c>
      <c r="C45" s="77">
        <v>2.3060796599999999E-2</v>
      </c>
      <c r="D45" s="15">
        <v>4.96</v>
      </c>
      <c r="E45" s="32">
        <f t="shared" ref="E45:E48" si="14">IF(ISNUMBER(D45), (D45 - $B45) / $B45, "")</f>
        <v>1.6393442622950834E-2</v>
      </c>
      <c r="F45" s="18">
        <f>IF(ISNUMBER(D45), $B64 * E45, "")</f>
        <v>1639.3442622950834</v>
      </c>
      <c r="G45" s="31">
        <v>5.05</v>
      </c>
      <c r="H45" s="32">
        <f t="shared" ref="H45:H48" si="15">IF(ISNUMBER(G45), (G45 - $B45) / $B45, "")</f>
        <v>3.4836065573770475E-2</v>
      </c>
      <c r="I45" s="101">
        <f>IF(ISNUMBER(G45), $B64 * H45, "")</f>
        <v>3483.6065573770475</v>
      </c>
      <c r="J45" s="15">
        <v>5.1100000000000003</v>
      </c>
      <c r="K45" s="32">
        <f t="shared" ref="K45:K48" si="16">IF(ISNUMBER(J45), (J45 - $B45) / $B45, "")</f>
        <v>4.7131147540983694E-2</v>
      </c>
      <c r="L45" s="18">
        <f>IF(ISNUMBER(J45), $B64 * K45, "")</f>
        <v>4713.1147540983693</v>
      </c>
      <c r="M45" s="31">
        <v>5.05</v>
      </c>
      <c r="N45" s="32">
        <f t="shared" ref="N45:N48" si="17">IF(ISNUMBER(M45), (M45 - $B45) / $B45, "")</f>
        <v>3.4836065573770475E-2</v>
      </c>
      <c r="O45" s="18">
        <f>IF(ISNUMBER(M45), $B64 * N45, "")</f>
        <v>3483.6065573770475</v>
      </c>
      <c r="Q45" s="222"/>
      <c r="R45" s="222"/>
      <c r="S45" s="222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</v>
      </c>
      <c r="E46" s="32">
        <f t="shared" si="14"/>
        <v>-5.2356020942409117E-3</v>
      </c>
      <c r="F46" s="18">
        <f>IF(ISNUMBER(D46), $B64 * E46, "")</f>
        <v>-523.56020942409123</v>
      </c>
      <c r="G46" s="31">
        <v>19.8</v>
      </c>
      <c r="H46" s="32">
        <f t="shared" si="15"/>
        <v>3.6649214659685826E-2</v>
      </c>
      <c r="I46" s="101">
        <f>IF(ISNUMBER(G46), $B64 * H46, "")</f>
        <v>3664.9214659685827</v>
      </c>
      <c r="J46" s="15">
        <v>19.5</v>
      </c>
      <c r="K46" s="32">
        <f t="shared" si="16"/>
        <v>2.0942408376963276E-2</v>
      </c>
      <c r="L46" s="18">
        <f>IF(ISNUMBER(J46), $B64 * K46, "")</f>
        <v>2094.2408376963276</v>
      </c>
      <c r="M46" s="31">
        <v>19.399999999999999</v>
      </c>
      <c r="N46" s="32">
        <f t="shared" si="17"/>
        <v>1.5706806282722363E-2</v>
      </c>
      <c r="O46" s="18">
        <f>IF(ISNUMBER(M46), $B64 * N46, "")</f>
        <v>1570.6806282722364</v>
      </c>
      <c r="Q46" s="227"/>
      <c r="R46" s="227"/>
      <c r="S46" s="227"/>
    </row>
    <row r="47" spans="1:19" ht="17.25" customHeight="1" thickBot="1">
      <c r="A47" s="125" t="s">
        <v>208</v>
      </c>
      <c r="B47" s="126">
        <v>14</v>
      </c>
      <c r="C47" s="77">
        <v>7.1942446E-3</v>
      </c>
      <c r="D47" s="15">
        <v>14.2</v>
      </c>
      <c r="E47" s="32">
        <f t="shared" si="14"/>
        <v>1.4285714285714235E-2</v>
      </c>
      <c r="F47" s="18">
        <f>IF(ISNUMBER(D47), $B64 * E47, "")</f>
        <v>1428.5714285714234</v>
      </c>
      <c r="G47" s="31">
        <v>14.6</v>
      </c>
      <c r="H47" s="32">
        <f t="shared" si="15"/>
        <v>4.285714285714283E-2</v>
      </c>
      <c r="I47" s="101">
        <f>IF(ISNUMBER(G47), $B64 * H47, "")</f>
        <v>4285.7142857142826</v>
      </c>
      <c r="J47" s="15">
        <v>14.4</v>
      </c>
      <c r="K47" s="32">
        <f t="shared" si="16"/>
        <v>2.8571428571428598E-2</v>
      </c>
      <c r="L47" s="18">
        <f>IF(ISNUMBER(J47), $B64 * K47, "")</f>
        <v>2857.1428571428596</v>
      </c>
      <c r="M47" s="31">
        <v>14.3</v>
      </c>
      <c r="N47" s="32">
        <f t="shared" si="17"/>
        <v>2.1428571428571481E-2</v>
      </c>
      <c r="O47" s="18">
        <f>IF(ISNUMBER(M47), $B64 * N47, "")</f>
        <v>2142.8571428571481</v>
      </c>
      <c r="Q47" s="227"/>
      <c r="R47" s="227"/>
      <c r="S47" s="227"/>
    </row>
    <row r="48" spans="1:19" ht="17.25" customHeight="1" thickBot="1">
      <c r="A48" s="127" t="s">
        <v>250</v>
      </c>
      <c r="B48" s="128">
        <v>84.1</v>
      </c>
      <c r="C48" s="78">
        <v>4.7789725E-3</v>
      </c>
      <c r="D48" s="20">
        <v>85.7</v>
      </c>
      <c r="E48" s="21">
        <f t="shared" si="14"/>
        <v>1.902497027348405E-2</v>
      </c>
      <c r="F48" s="22">
        <f>IF(ISNUMBER(D48), $B64 * E48, "")</f>
        <v>1902.497027348405</v>
      </c>
      <c r="G48" s="30">
        <v>87.5</v>
      </c>
      <c r="H48" s="21">
        <f t="shared" si="15"/>
        <v>4.042806183115346E-2</v>
      </c>
      <c r="I48" s="105">
        <f>IF(ISNUMBER(G48), $B64 * H48, "")</f>
        <v>4042.8061831153459</v>
      </c>
      <c r="J48" s="20">
        <v>90.6</v>
      </c>
      <c r="K48" s="21">
        <f t="shared" si="16"/>
        <v>7.7288941736028544E-2</v>
      </c>
      <c r="L48" s="22">
        <f>IF(ISNUMBER(J48), $B64 * K48, "")</f>
        <v>7728.8941736028546</v>
      </c>
      <c r="M48" s="30">
        <v>88.8</v>
      </c>
      <c r="N48" s="21">
        <f t="shared" si="17"/>
        <v>5.5885850178359134E-2</v>
      </c>
      <c r="O48" s="22">
        <f>IF(ISNUMBER(M48), $B64 * N48, "")</f>
        <v>5588.5850178359133</v>
      </c>
      <c r="Q48" s="227"/>
      <c r="R48" s="227"/>
      <c r="S48" s="227"/>
    </row>
    <row r="49" spans="1:19" ht="17.25" customHeight="1" thickBot="1">
      <c r="A49" s="125" t="s">
        <v>240</v>
      </c>
      <c r="B49" s="129">
        <v>72.3</v>
      </c>
      <c r="C49" s="80">
        <v>4.1666667000000001E-3</v>
      </c>
      <c r="D49" s="106">
        <v>72.099999999999994</v>
      </c>
      <c r="E49" s="107">
        <f>IF(ISNUMBER(D49), (D49 - $B49) / $B49, "")</f>
        <v>-2.7662517289073702E-3</v>
      </c>
      <c r="F49" s="108">
        <f>IF(ISNUMBER(D49), $B64 * E49, "")</f>
        <v>-276.62517289073702</v>
      </c>
      <c r="G49" s="109">
        <v>73.3</v>
      </c>
      <c r="H49" s="107">
        <f>IF(ISNUMBER(G49), (G49 - $B49) / $B49, "")</f>
        <v>1.3831258644536654E-2</v>
      </c>
      <c r="I49" s="110">
        <f>IF(ISNUMBER(G49), $B64 * H49, "")</f>
        <v>1383.1258644536654</v>
      </c>
      <c r="J49" s="106">
        <v>73.900000000000006</v>
      </c>
      <c r="K49" s="107">
        <f>IF(ISNUMBER(J49), (J49 - $B49) / $B49, "")</f>
        <v>2.2130013831258764E-2</v>
      </c>
      <c r="L49" s="108">
        <f>IF(ISNUMBER(J49), $B64 * K49, "")</f>
        <v>2213.0013831258761</v>
      </c>
      <c r="M49" s="109">
        <v>73.5</v>
      </c>
      <c r="N49" s="107">
        <f>IF(ISNUMBER(M49), (M49 - $B49) / $B49, "")</f>
        <v>1.6597510373444025E-2</v>
      </c>
      <c r="O49" s="108">
        <f>IF(ISNUMBER(M49), $B64 * N49, "")</f>
        <v>1659.7510373444024</v>
      </c>
      <c r="Q49" s="227"/>
      <c r="R49" s="227"/>
      <c r="S49" s="227"/>
    </row>
    <row r="50" spans="1:19" ht="17.25" customHeight="1" thickBot="1">
      <c r="A50" s="125" t="s">
        <v>72</v>
      </c>
      <c r="B50" s="126">
        <v>25.1</v>
      </c>
      <c r="C50" s="77">
        <v>4.0000000000000001E-3</v>
      </c>
      <c r="D50" s="15">
        <v>25.3</v>
      </c>
      <c r="E50" s="32">
        <f t="shared" ref="E50:E53" si="18">IF(ISNUMBER(D50), (D50 - $B50) / $B50, "")</f>
        <v>7.9681274900398127E-3</v>
      </c>
      <c r="F50" s="18">
        <f>IF(ISNUMBER(D50), $B64 * E50, "")</f>
        <v>796.81274900398125</v>
      </c>
      <c r="G50" s="31">
        <v>26</v>
      </c>
      <c r="H50" s="32">
        <f t="shared" ref="H50:H53" si="19">IF(ISNUMBER(G50), (G50 - $B50) / $B50, "")</f>
        <v>3.5856573705179223E-2</v>
      </c>
      <c r="I50" s="101">
        <f>IF(ISNUMBER(G50), $B64 * H50, "")</f>
        <v>3585.6573705179221</v>
      </c>
      <c r="J50" s="15">
        <v>25.9</v>
      </c>
      <c r="K50" s="32">
        <f t="shared" ref="K50:K53" si="20">IF(ISNUMBER(J50), (J50 - $B50) / $B50, "")</f>
        <v>3.1872509960159251E-2</v>
      </c>
      <c r="L50" s="18">
        <f>IF(ISNUMBER(J50), $B64 * K50, "")</f>
        <v>3187.250996015925</v>
      </c>
      <c r="M50" s="31">
        <v>26</v>
      </c>
      <c r="N50" s="32">
        <f t="shared" ref="N50:N53" si="21">IF(ISNUMBER(M50), (M50 - $B50) / $B50, "")</f>
        <v>3.5856573705179223E-2</v>
      </c>
      <c r="O50" s="18">
        <f>IF(ISNUMBER(M50), $B64 * N50, "")</f>
        <v>3585.6573705179221</v>
      </c>
      <c r="Q50" s="227"/>
      <c r="R50" s="227"/>
      <c r="S50" s="227"/>
    </row>
    <row r="51" spans="1:19" ht="17.25" customHeight="1" thickBot="1">
      <c r="A51" s="125" t="s">
        <v>204</v>
      </c>
      <c r="B51" s="126">
        <v>15.4</v>
      </c>
      <c r="C51" s="77">
        <v>0</v>
      </c>
      <c r="D51" s="15">
        <v>15.4</v>
      </c>
      <c r="E51" s="32">
        <f t="shared" si="18"/>
        <v>0</v>
      </c>
      <c r="F51" s="18">
        <f>IF(ISNUMBER(D51), $B64 * E51, "")</f>
        <v>0</v>
      </c>
      <c r="G51" s="31">
        <v>16.3</v>
      </c>
      <c r="H51" s="32">
        <f t="shared" si="19"/>
        <v>5.8441558441558461E-2</v>
      </c>
      <c r="I51" s="101">
        <f>IF(ISNUMBER(G51), $B64 * H51, "")</f>
        <v>5844.1558441558464</v>
      </c>
      <c r="J51" s="15">
        <v>16.399999999999999</v>
      </c>
      <c r="K51" s="32">
        <f t="shared" si="20"/>
        <v>6.4935064935064818E-2</v>
      </c>
      <c r="L51" s="18">
        <f>IF(ISNUMBER(J51), $B64 * K51, "")</f>
        <v>6493.506493506482</v>
      </c>
      <c r="M51" s="31">
        <v>15.8</v>
      </c>
      <c r="N51" s="32">
        <f t="shared" si="21"/>
        <v>2.5974025974025997E-2</v>
      </c>
      <c r="O51" s="18">
        <f>IF(ISNUMBER(M51), $B64 * N51, "")</f>
        <v>2597.4025974025994</v>
      </c>
      <c r="Q51" s="227"/>
      <c r="R51" s="227"/>
      <c r="S51" s="227"/>
    </row>
    <row r="52" spans="1:19" ht="17.25" customHeight="1" thickBot="1">
      <c r="A52" s="125" t="s">
        <v>178</v>
      </c>
      <c r="B52" s="126">
        <v>18.600000000000001</v>
      </c>
      <c r="C52" s="77">
        <v>0</v>
      </c>
      <c r="D52" s="15">
        <v>19.100000000000001</v>
      </c>
      <c r="E52" s="32">
        <f t="shared" si="18"/>
        <v>2.6881720430107524E-2</v>
      </c>
      <c r="F52" s="18">
        <f>IF(ISNUMBER(D52), $B64 * E52, "")</f>
        <v>2688.1720430107525</v>
      </c>
      <c r="G52" s="31">
        <v>19.600000000000001</v>
      </c>
      <c r="H52" s="32">
        <f t="shared" si="19"/>
        <v>5.3763440860215048E-2</v>
      </c>
      <c r="I52" s="101">
        <f>IF(ISNUMBER(G52), $B64 * H52, "")</f>
        <v>5376.3440860215051</v>
      </c>
      <c r="J52" s="15">
        <v>19.5</v>
      </c>
      <c r="K52" s="32">
        <f t="shared" si="20"/>
        <v>4.8387096774193471E-2</v>
      </c>
      <c r="L52" s="18">
        <f>IF(ISNUMBER(J52), $B64 * K52, "")</f>
        <v>4838.7096774193469</v>
      </c>
      <c r="M52" s="31">
        <v>19.8</v>
      </c>
      <c r="N52" s="32">
        <f t="shared" si="21"/>
        <v>6.4516129032258021E-2</v>
      </c>
      <c r="O52" s="18">
        <f>IF(ISNUMBER(M52), $B64 * N52, "")</f>
        <v>6451.6129032258023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0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11.9</v>
      </c>
      <c r="H53" s="25">
        <f t="shared" si="19"/>
        <v>6.2500000000000097E-2</v>
      </c>
      <c r="I53" s="103">
        <f>IF(ISNUMBER(G53), $B64 * H53, "")</f>
        <v>6250.00000000001</v>
      </c>
      <c r="J53" s="24">
        <v>11.7</v>
      </c>
      <c r="K53" s="25">
        <f t="shared" si="20"/>
        <v>4.4642857142857144E-2</v>
      </c>
      <c r="L53" s="104">
        <f>IF(ISNUMBER(J53), $B64 * K53, "")</f>
        <v>4464.2857142857147</v>
      </c>
      <c r="M53" s="102">
        <v>11.7</v>
      </c>
      <c r="N53" s="25">
        <f t="shared" si="21"/>
        <v>4.4642857142857144E-2</v>
      </c>
      <c r="O53" s="104">
        <f>IF(ISNUMBER(M53), $B64 * N53, "")</f>
        <v>4464.2857142857147</v>
      </c>
      <c r="Q53" s="236"/>
      <c r="R53" s="237"/>
      <c r="S53" s="238"/>
    </row>
    <row r="54" spans="1:19" ht="17.25" customHeight="1">
      <c r="A54" s="123" t="s">
        <v>65</v>
      </c>
      <c r="B54" s="124">
        <v>48.9</v>
      </c>
      <c r="C54" s="76">
        <v>-2.0408163000000001E-3</v>
      </c>
      <c r="D54" s="13">
        <v>48.9</v>
      </c>
      <c r="E54" s="14">
        <f>IF(ISNUMBER(D54), (D54 - $B54) / $B54, "")</f>
        <v>0</v>
      </c>
      <c r="F54" s="16">
        <f>IF(ISNUMBER(D54), $B64 * E54, "")</f>
        <v>0</v>
      </c>
      <c r="G54" s="29">
        <v>49.9</v>
      </c>
      <c r="H54" s="14">
        <f>IF(ISNUMBER(G54), (G54 - $B54) / $B54, "")</f>
        <v>2.0449897750511249E-2</v>
      </c>
      <c r="I54" s="100">
        <f>IF(ISNUMBER(G54), $B64 * H54, "")</f>
        <v>2044.9897750511248</v>
      </c>
      <c r="J54" s="13">
        <v>50.4</v>
      </c>
      <c r="K54" s="14">
        <f>IF(ISNUMBER(J54), (J54 - $B54) / $B54, "")</f>
        <v>3.0674846625766871E-2</v>
      </c>
      <c r="L54" s="16">
        <f>IF(ISNUMBER(J54), $B64 * K54, "")</f>
        <v>3067.4846625766872</v>
      </c>
      <c r="M54" s="29">
        <v>50</v>
      </c>
      <c r="N54" s="14">
        <f>IF(ISNUMBER(M54), (M54 - $B54) / $B54, "")</f>
        <v>2.2494887525562401E-2</v>
      </c>
      <c r="O54" s="16">
        <f>IF(ISNUMBER(M54), $B64 * N54, "")</f>
        <v>2249.4887525562399</v>
      </c>
      <c r="Q54" s="239"/>
      <c r="R54" s="240"/>
      <c r="S54" s="241"/>
    </row>
    <row r="55" spans="1:19" ht="17.25" customHeight="1" thickBot="1">
      <c r="A55" s="125" t="s">
        <v>148</v>
      </c>
      <c r="B55" s="126">
        <v>23.2</v>
      </c>
      <c r="C55" s="77">
        <v>-4.2918454999999996E-3</v>
      </c>
      <c r="D55" s="15">
        <v>23.2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23.6</v>
      </c>
      <c r="H55" s="32">
        <f t="shared" ref="H55:H58" si="23">IF(ISNUMBER(G55), (G55 - $B55) / $B55, "")</f>
        <v>1.7241379310344921E-2</v>
      </c>
      <c r="I55" s="101">
        <f>IF(ISNUMBER(G55), $B64 * H55, "")</f>
        <v>1724.1379310344921</v>
      </c>
      <c r="J55" s="15">
        <v>24.1</v>
      </c>
      <c r="K55" s="32">
        <f t="shared" ref="K55:K58" si="24">IF(ISNUMBER(J55), (J55 - $B55) / $B55, "")</f>
        <v>3.8793103448275953E-2</v>
      </c>
      <c r="L55" s="18">
        <f>IF(ISNUMBER(J55), $B64 * K55, "")</f>
        <v>3879.3103448275951</v>
      </c>
      <c r="M55" s="31">
        <v>23.8</v>
      </c>
      <c r="N55" s="32">
        <f t="shared" ref="N55:N58" si="25">IF(ISNUMBER(M55), (M55 - $B55) / $B55, "")</f>
        <v>2.5862068965517303E-2</v>
      </c>
      <c r="O55" s="18">
        <f>IF(ISNUMBER(M55), $B64 * N55, "")</f>
        <v>2586.2068965517306</v>
      </c>
      <c r="Q55" s="242"/>
      <c r="R55" s="243"/>
      <c r="S55" s="244"/>
    </row>
    <row r="56" spans="1:19" ht="17.25" customHeight="1" thickBot="1">
      <c r="A56" s="125" t="s">
        <v>188</v>
      </c>
      <c r="B56" s="126">
        <v>13.2</v>
      </c>
      <c r="C56" s="77">
        <v>-7.5187969999999998E-3</v>
      </c>
      <c r="D56" s="15">
        <v>13.5</v>
      </c>
      <c r="E56" s="32">
        <f t="shared" si="22"/>
        <v>2.2727272727272783E-2</v>
      </c>
      <c r="F56" s="18">
        <f>IF(ISNUMBER(D56), $B64 * E56, "")</f>
        <v>2272.7272727272784</v>
      </c>
      <c r="G56" s="31">
        <v>14.3</v>
      </c>
      <c r="H56" s="32">
        <f t="shared" si="23"/>
        <v>8.333333333333344E-2</v>
      </c>
      <c r="I56" s="101">
        <f>IF(ISNUMBER(G56), $B64 * H56, "")</f>
        <v>8333.3333333333449</v>
      </c>
      <c r="J56" s="15">
        <v>14</v>
      </c>
      <c r="K56" s="32">
        <f t="shared" si="24"/>
        <v>6.0606060606060663E-2</v>
      </c>
      <c r="L56" s="18">
        <f>IF(ISNUMBER(J56), $B64 * K56, "")</f>
        <v>6060.6060606060664</v>
      </c>
      <c r="M56" s="31">
        <v>13.9</v>
      </c>
      <c r="N56" s="32">
        <f t="shared" si="25"/>
        <v>5.3030303030303115E-2</v>
      </c>
      <c r="O56" s="18">
        <f>IF(ISNUMBER(M56), $B64 * N56, "")</f>
        <v>5303.0303030303112</v>
      </c>
      <c r="Q56" s="227"/>
      <c r="R56" s="227"/>
      <c r="S56" s="227"/>
    </row>
    <row r="57" spans="1:19" ht="17.25" customHeight="1" thickBot="1">
      <c r="A57" s="125" t="s">
        <v>150</v>
      </c>
      <c r="B57" s="126">
        <v>13</v>
      </c>
      <c r="C57" s="77">
        <v>-7.6335878000000001E-3</v>
      </c>
      <c r="D57" s="15">
        <v>13.1</v>
      </c>
      <c r="E57" s="32">
        <f t="shared" si="22"/>
        <v>7.692307692307665E-3</v>
      </c>
      <c r="F57" s="18">
        <f>IF(ISNUMBER(D57), $B64 * E57, "")</f>
        <v>769.23076923076655</v>
      </c>
      <c r="G57" s="31">
        <v>13.6</v>
      </c>
      <c r="H57" s="32">
        <f t="shared" si="23"/>
        <v>4.6153846153846129E-2</v>
      </c>
      <c r="I57" s="101">
        <f>IF(ISNUMBER(G57), $B64 * H57, "")</f>
        <v>4615.3846153846125</v>
      </c>
      <c r="J57" s="15">
        <v>13.6</v>
      </c>
      <c r="K57" s="32">
        <f t="shared" si="24"/>
        <v>4.6153846153846129E-2</v>
      </c>
      <c r="L57" s="18">
        <f>IF(ISNUMBER(J57), $B64 * K57, "")</f>
        <v>4615.3846153846125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22"/>
      <c r="R57" s="222"/>
      <c r="S57" s="222"/>
    </row>
    <row r="58" spans="1:19" ht="17.25" customHeight="1" thickBot="1">
      <c r="A58" s="127" t="s">
        <v>234</v>
      </c>
      <c r="B58" s="128">
        <v>84.6</v>
      </c>
      <c r="C58" s="78">
        <v>-1.05263158E-2</v>
      </c>
      <c r="D58" s="20">
        <v>84.5</v>
      </c>
      <c r="E58" s="21">
        <f t="shared" si="22"/>
        <v>-1.1820330969266469E-3</v>
      </c>
      <c r="F58" s="22">
        <f>IF(ISNUMBER(D58), $B64 * E58, "")</f>
        <v>-118.20330969266469</v>
      </c>
      <c r="G58" s="30">
        <v>84.9</v>
      </c>
      <c r="H58" s="21">
        <f t="shared" si="23"/>
        <v>3.5460992907802766E-3</v>
      </c>
      <c r="I58" s="105">
        <f>IF(ISNUMBER(G58), $B64 * H58, "")</f>
        <v>354.60992907802768</v>
      </c>
      <c r="J58" s="20">
        <v>85.8</v>
      </c>
      <c r="K58" s="21">
        <f t="shared" si="24"/>
        <v>1.4184397163120602E-2</v>
      </c>
      <c r="L58" s="22">
        <f>IF(ISNUMBER(J58), $B64 * K58, "")</f>
        <v>1418.4397163120602</v>
      </c>
      <c r="M58" s="30">
        <v>85.7</v>
      </c>
      <c r="N58" s="21">
        <f t="shared" si="25"/>
        <v>1.3002364066193955E-2</v>
      </c>
      <c r="O58" s="22">
        <f>IF(ISNUMBER(M58), $B64 * N58, "")</f>
        <v>1300.2364066193954</v>
      </c>
      <c r="Q58" s="222"/>
      <c r="R58" s="222"/>
      <c r="S58" s="222"/>
    </row>
    <row r="59" spans="1:19" ht="17.25" customHeight="1" thickBot="1">
      <c r="A59" s="125" t="s">
        <v>202</v>
      </c>
      <c r="B59" s="129">
        <v>90.9</v>
      </c>
      <c r="C59" s="80">
        <v>-1.08813928E-2</v>
      </c>
      <c r="D59" s="106">
        <v>93.8</v>
      </c>
      <c r="E59" s="107">
        <f>IF(ISNUMBER(D59), (D59 - $B59) / $B59, "")</f>
        <v>3.1903190319031806E-2</v>
      </c>
      <c r="F59" s="108">
        <f>IF(ISNUMBER(D59), $B64 * E59, "")</f>
        <v>3190.3190319031805</v>
      </c>
      <c r="G59" s="109">
        <v>93.6</v>
      </c>
      <c r="H59" s="107">
        <f>IF(ISNUMBER(G59), (G59 - $B59) / $B59, "")</f>
        <v>2.9702970297029577E-2</v>
      </c>
      <c r="I59" s="110">
        <f>IF(ISNUMBER(G59), $B64 * H59, "")</f>
        <v>2970.2970297029578</v>
      </c>
      <c r="J59" s="106">
        <v>93.4</v>
      </c>
      <c r="K59" s="107">
        <f>IF(ISNUMBER(J59), (J59 - $B59) / $B59, "")</f>
        <v>2.75027502750275E-2</v>
      </c>
      <c r="L59" s="108">
        <f>IF(ISNUMBER(J59), $B64 * K59, "")</f>
        <v>2750.2750275027502</v>
      </c>
      <c r="M59" s="109">
        <v>92.7</v>
      </c>
      <c r="N59" s="107">
        <f>IF(ISNUMBER(M59), (M59 - $B59) / $B59, "")</f>
        <v>1.9801980198019771E-2</v>
      </c>
      <c r="O59" s="108">
        <f>IF(ISNUMBER(M59), $B64 * N59, "")</f>
        <v>1980.1980198019771</v>
      </c>
      <c r="Q59" s="227"/>
      <c r="R59" s="227"/>
      <c r="S59" s="227"/>
    </row>
    <row r="60" spans="1:19" ht="17.25" customHeight="1" thickBot="1">
      <c r="A60" s="125" t="s">
        <v>210</v>
      </c>
      <c r="B60" s="126">
        <v>13.4</v>
      </c>
      <c r="C60" s="77">
        <v>-2.1897810199999999E-2</v>
      </c>
      <c r="D60" s="15">
        <v>15.1</v>
      </c>
      <c r="E60" s="32">
        <f t="shared" ref="E60:E63" si="26">IF(ISNUMBER(D60), (D60 - $B60) / $B60, "")</f>
        <v>0.12686567164179099</v>
      </c>
      <c r="F60" s="18">
        <f>IF(ISNUMBER(D60), $B64 * E60, "")</f>
        <v>12686.5671641791</v>
      </c>
      <c r="G60" s="31">
        <v>22.8</v>
      </c>
      <c r="H60" s="32">
        <f t="shared" ref="H60:H63" si="27">IF(ISNUMBER(G60), (G60 - $B60) / $B60, "")</f>
        <v>0.70149253731343286</v>
      </c>
      <c r="I60" s="101">
        <f>IF(ISNUMBER(G60), $B64 * H60, "")</f>
        <v>70149.253731343284</v>
      </c>
      <c r="J60" s="15">
        <v>19.8</v>
      </c>
      <c r="K60" s="32">
        <f t="shared" ref="K60:K63" si="28">IF(ISNUMBER(J60), (J60 - $B60) / $B60, "")</f>
        <v>0.47761194029850745</v>
      </c>
      <c r="L60" s="18">
        <f>IF(ISNUMBER(J60), $B64 * K60, "")</f>
        <v>47761.194029850747</v>
      </c>
      <c r="M60" s="31">
        <v>19.100000000000001</v>
      </c>
      <c r="N60" s="32">
        <f t="shared" ref="N60:N63" si="29">IF(ISNUMBER(M60), (M60 - $B60) / $B60, "")</f>
        <v>0.42537313432835827</v>
      </c>
      <c r="O60" s="18">
        <f>IF(ISNUMBER(M60), $B64 * N60, "")</f>
        <v>42537.313432835828</v>
      </c>
      <c r="Q60" s="227"/>
      <c r="R60" s="227"/>
      <c r="S60" s="22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132" t="s">
        <v>270</v>
      </c>
      <c r="B64" s="260">
        <f>$B$37</f>
        <v>100000</v>
      </c>
      <c r="C64" s="261"/>
      <c r="D64" s="26" t="s">
        <v>271</v>
      </c>
      <c r="E64" s="27">
        <f>IF(COUNT(E44:E63), SUM(E44:E63) / COUNT(E44:E63), 0)</f>
        <v>1.9583448619941168E-2</v>
      </c>
      <c r="F64" s="28">
        <f>SUM(F44:F63)</f>
        <v>33291.862653899989</v>
      </c>
      <c r="G64" s="26" t="s">
        <v>271</v>
      </c>
      <c r="H64" s="27">
        <f>IF(COUNT(H44:H63), SUM(H44:H63) / COUNT(H44:H63), 0)</f>
        <v>7.8549820347881952E-2</v>
      </c>
      <c r="I64" s="28">
        <f>SUM(I44:I63)</f>
        <v>133534.69459139931</v>
      </c>
      <c r="J64" s="26" t="s">
        <v>271</v>
      </c>
      <c r="K64" s="27">
        <f>IF(COUNT(K44:K63), SUM(K44:K63) / COUNT(K44:K63), 0)</f>
        <v>6.5741419060815168E-2</v>
      </c>
      <c r="L64" s="28">
        <f>SUM(L44:L63)</f>
        <v>111760.4124033858</v>
      </c>
      <c r="M64" s="26" t="s">
        <v>271</v>
      </c>
      <c r="N64" s="27">
        <f>IF(COUNT(N44:N63), SUM(N44:N63) / COUNT(N44:N63), 0)</f>
        <v>5.6473054380343897E-2</v>
      </c>
      <c r="O64" s="28">
        <f>SUM(O44:O63)</f>
        <v>96004.19244658461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57" t="s">
        <v>267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55149000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2.1442459999999998E-3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2021-09-01(수) 오전 00:00</v>
      </c>
      <c r="C69" s="265"/>
      <c r="D69" s="224" t="str">
        <f>TEXT($G$1, "[$-ko-KR]yyyy-mm-dd(ddd) ") &amp; "오후 14:00"</f>
        <v>2021-09-01(수) 오후 14:00</v>
      </c>
      <c r="E69" s="225"/>
      <c r="F69" s="226"/>
      <c r="G69" s="224" t="str">
        <f>TEXT($G$1, "[$-ko-KR]yyyy-mm-dd(ddd) ") &amp; "오후 19:00"</f>
        <v>2021-09-01(수) 오후 19:00</v>
      </c>
      <c r="H69" s="225"/>
      <c r="I69" s="226"/>
      <c r="J69" s="224" t="str">
        <f>TEXT($G$1, "[$-ko-KR]yyyy-mm-dd(ddd) ") &amp; "오후 21:00"</f>
        <v>2021-09-01(수) 오후 21:00</v>
      </c>
      <c r="K69" s="225"/>
      <c r="L69" s="226"/>
      <c r="M69" s="224" t="str">
        <f>TEXT($G$1+1, "[$-ko-KR]yyyy-mm-dd(ddd) ") &amp; "오전 00:00"</f>
        <v>2021-09-02(목)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7"/>
      <c r="R70" s="227"/>
      <c r="S70" s="227"/>
    </row>
    <row r="71" spans="1:19" ht="17.25" thickBot="1">
      <c r="A71" s="123" t="s">
        <v>164</v>
      </c>
      <c r="B71" s="124">
        <v>497</v>
      </c>
      <c r="C71" s="76">
        <v>7.1120689700000003E-2</v>
      </c>
      <c r="D71" s="13">
        <v>496</v>
      </c>
      <c r="E71" s="14">
        <f>IF(ISNUMBER(D71), (D71 - $B71) / $B71, "")</f>
        <v>-2.012072434607646E-3</v>
      </c>
      <c r="F71" s="16">
        <f>IF(ISNUMBER(D71), $B91 * E71, "")</f>
        <v>-201.2072434607646</v>
      </c>
      <c r="G71" s="29">
        <v>491</v>
      </c>
      <c r="H71" s="14">
        <f>IF(ISNUMBER(G71), (G71 - $B71) / $B71, "")</f>
        <v>-1.2072434607645875E-2</v>
      </c>
      <c r="I71" s="100">
        <f>IF(ISNUMBER(G71), $B91 * H71, "")</f>
        <v>-1207.2434607645876</v>
      </c>
      <c r="J71" s="13">
        <v>557</v>
      </c>
      <c r="K71" s="14">
        <f>IF(ISNUMBER(J71), (J71 - $B71) / $B71, "")</f>
        <v>0.12072434607645875</v>
      </c>
      <c r="L71" s="16">
        <f>IF(ISNUMBER(J71), $B91 * K71, "")</f>
        <v>12072.434607645875</v>
      </c>
      <c r="M71" s="29">
        <v>570</v>
      </c>
      <c r="N71" s="14">
        <f>IF(ISNUMBER(M71), (M71 - $B71) / $B71, "")</f>
        <v>0.14688128772635814</v>
      </c>
      <c r="O71" s="16">
        <f>IF(ISNUMBER(M71), $B91 * N71, "")</f>
        <v>14688.128772635813</v>
      </c>
      <c r="Q71" s="222"/>
      <c r="R71" s="222"/>
      <c r="S71" s="222"/>
    </row>
    <row r="72" spans="1:19" ht="17.25" thickBot="1">
      <c r="A72" s="125" t="s">
        <v>236</v>
      </c>
      <c r="B72" s="126">
        <v>706</v>
      </c>
      <c r="C72" s="77">
        <v>5.3731343299999998E-2</v>
      </c>
      <c r="D72" s="15">
        <v>675</v>
      </c>
      <c r="E72" s="32">
        <f t="shared" ref="E72:E75" si="30">IF(ISNUMBER(D72), (D72 - $B72) / $B72, "")</f>
        <v>-4.3909348441926344E-2</v>
      </c>
      <c r="F72" s="18">
        <f>IF(ISNUMBER(D72), $B91 * E72, "")</f>
        <v>-4390.934844192634</v>
      </c>
      <c r="G72" s="31">
        <v>684</v>
      </c>
      <c r="H72" s="32">
        <f t="shared" ref="H72:H75" si="31">IF(ISNUMBER(G72), (G72 - $B72) / $B72, "")</f>
        <v>-3.1161473087818695E-2</v>
      </c>
      <c r="I72" s="101">
        <f>IF(ISNUMBER(G72), $B91 * H72, "")</f>
        <v>-3116.1473087818695</v>
      </c>
      <c r="J72" s="15">
        <v>688</v>
      </c>
      <c r="K72" s="32">
        <f t="shared" ref="K72:K75" si="32">IF(ISNUMBER(J72), (J72 - $B72) / $B72, "")</f>
        <v>-2.5495750708215296E-2</v>
      </c>
      <c r="L72" s="18">
        <f>IF(ISNUMBER(J72), $B91 * K72, "")</f>
        <v>-2549.5750708215296</v>
      </c>
      <c r="M72" s="31">
        <v>713</v>
      </c>
      <c r="N72" s="32">
        <f t="shared" ref="N72:N75" si="33">IF(ISNUMBER(M72), (M72 - $B72) / $B72, "")</f>
        <v>9.9150141643059488E-3</v>
      </c>
      <c r="O72" s="18">
        <f>IF(ISNUMBER(M72), $B91 * N72, "")</f>
        <v>991.50141643059487</v>
      </c>
      <c r="Q72" s="222"/>
      <c r="R72" s="222"/>
      <c r="S72" s="222"/>
    </row>
    <row r="73" spans="1:19" ht="17.25" thickBot="1">
      <c r="A73" s="125" t="s">
        <v>222</v>
      </c>
      <c r="B73" s="126">
        <v>188</v>
      </c>
      <c r="C73" s="77">
        <v>4.4444444399999998E-2</v>
      </c>
      <c r="D73" s="15">
        <v>189</v>
      </c>
      <c r="E73" s="32">
        <f t="shared" si="30"/>
        <v>5.3191489361702126E-3</v>
      </c>
      <c r="F73" s="18">
        <f>IF(ISNUMBER(D73), $B91 * E73, "")</f>
        <v>531.91489361702122</v>
      </c>
      <c r="G73" s="31">
        <v>213</v>
      </c>
      <c r="H73" s="32">
        <f t="shared" si="31"/>
        <v>0.13297872340425532</v>
      </c>
      <c r="I73" s="101">
        <f>IF(ISNUMBER(G73), $B91 * H73, "")</f>
        <v>13297.872340425532</v>
      </c>
      <c r="J73" s="15">
        <v>194</v>
      </c>
      <c r="K73" s="32">
        <f t="shared" si="32"/>
        <v>3.1914893617021274E-2</v>
      </c>
      <c r="L73" s="18">
        <f>IF(ISNUMBER(J73), $B91 * K73, "")</f>
        <v>3191.4893617021276</v>
      </c>
      <c r="M73" s="31">
        <v>191</v>
      </c>
      <c r="N73" s="32">
        <f t="shared" si="33"/>
        <v>1.5957446808510637E-2</v>
      </c>
      <c r="O73" s="18">
        <f>IF(ISNUMBER(M73), $B91 * N73, "")</f>
        <v>1595.7446808510638</v>
      </c>
      <c r="Q73" s="227"/>
      <c r="R73" s="227"/>
      <c r="S73" s="227"/>
    </row>
    <row r="74" spans="1:19" ht="17.25" thickBot="1">
      <c r="A74" s="125" t="s">
        <v>254</v>
      </c>
      <c r="B74" s="126">
        <v>343</v>
      </c>
      <c r="C74" s="77">
        <v>3.62537764E-2</v>
      </c>
      <c r="D74" s="15">
        <v>335</v>
      </c>
      <c r="E74" s="32">
        <f t="shared" si="30"/>
        <v>-2.3323615160349854E-2</v>
      </c>
      <c r="F74" s="18">
        <f>IF(ISNUMBER(D74), $B91 * E74, "")</f>
        <v>-2332.3615160349855</v>
      </c>
      <c r="G74" s="31">
        <v>338</v>
      </c>
      <c r="H74" s="32">
        <f t="shared" si="31"/>
        <v>-1.4577259475218658E-2</v>
      </c>
      <c r="I74" s="101">
        <f>IF(ISNUMBER(G74), $B91 * H74, "")</f>
        <v>-1457.7259475218659</v>
      </c>
      <c r="J74" s="15">
        <v>346</v>
      </c>
      <c r="K74" s="32">
        <f t="shared" si="32"/>
        <v>8.7463556851311956E-3</v>
      </c>
      <c r="L74" s="18">
        <f>IF(ISNUMBER(J74), $B91 * K74, "")</f>
        <v>874.63556851311955</v>
      </c>
      <c r="M74" s="31">
        <v>341</v>
      </c>
      <c r="N74" s="32">
        <f t="shared" si="33"/>
        <v>-5.8309037900874635E-3</v>
      </c>
      <c r="O74" s="18">
        <f>IF(ISNUMBER(M74), $B91 * N74, "")</f>
        <v>-583.09037900874637</v>
      </c>
      <c r="Q74" s="227"/>
      <c r="R74" s="227"/>
      <c r="S74" s="227"/>
    </row>
    <row r="75" spans="1:19" ht="17.25" thickBot="1">
      <c r="A75" s="127" t="s">
        <v>242</v>
      </c>
      <c r="B75" s="128">
        <v>572</v>
      </c>
      <c r="C75" s="78">
        <v>2.6929982000000002E-2</v>
      </c>
      <c r="D75" s="20">
        <v>571</v>
      </c>
      <c r="E75" s="21">
        <f t="shared" si="30"/>
        <v>-1.7482517482517483E-3</v>
      </c>
      <c r="F75" s="22">
        <f>IF(ISNUMBER(D75), $B91 * E75, "")</f>
        <v>-174.82517482517483</v>
      </c>
      <c r="G75" s="30">
        <v>565</v>
      </c>
      <c r="H75" s="21">
        <f t="shared" si="31"/>
        <v>-1.2237762237762238E-2</v>
      </c>
      <c r="I75" s="105">
        <f>IF(ISNUMBER(G75), $B91 * H75, "")</f>
        <v>-1223.7762237762238</v>
      </c>
      <c r="J75" s="20">
        <v>585</v>
      </c>
      <c r="K75" s="21">
        <f t="shared" si="32"/>
        <v>2.2727272727272728E-2</v>
      </c>
      <c r="L75" s="22">
        <f>IF(ISNUMBER(J75), $B91 * K75, "")</f>
        <v>2272.727272727273</v>
      </c>
      <c r="M75" s="30">
        <v>580</v>
      </c>
      <c r="N75" s="21">
        <f t="shared" si="33"/>
        <v>1.3986013986013986E-2</v>
      </c>
      <c r="O75" s="22">
        <f>IF(ISNUMBER(M75), $B91 * N75, "")</f>
        <v>1398.6013986013986</v>
      </c>
      <c r="Q75" s="227"/>
      <c r="R75" s="227"/>
      <c r="S75" s="227"/>
    </row>
    <row r="76" spans="1:19" ht="17.25" thickBot="1">
      <c r="A76" s="125" t="s">
        <v>54</v>
      </c>
      <c r="B76" s="129">
        <v>298</v>
      </c>
      <c r="C76" s="80">
        <v>2.4054982799999999E-2</v>
      </c>
      <c r="D76" s="106">
        <v>294</v>
      </c>
      <c r="E76" s="107">
        <f>IF(ISNUMBER(D76), (D76 - $B76) / $B76, "")</f>
        <v>-1.3422818791946308E-2</v>
      </c>
      <c r="F76" s="108">
        <f>IF(ISNUMBER(D76), $B91 * E76, "")</f>
        <v>-1342.2818791946308</v>
      </c>
      <c r="G76" s="109">
        <v>299</v>
      </c>
      <c r="H76" s="107">
        <f>IF(ISNUMBER(G76), (G76 - $B76) / $B76, "")</f>
        <v>3.3557046979865771E-3</v>
      </c>
      <c r="I76" s="110">
        <f>IF(ISNUMBER(G76), $B91 * H76, "")</f>
        <v>335.57046979865771</v>
      </c>
      <c r="J76" s="106">
        <v>303</v>
      </c>
      <c r="K76" s="107">
        <f>IF(ISNUMBER(J76), (J76 - $B76) / $B76, "")</f>
        <v>1.6778523489932886E-2</v>
      </c>
      <c r="L76" s="108">
        <f>IF(ISNUMBER(J76), $B91 * K76, "")</f>
        <v>1677.8523489932886</v>
      </c>
      <c r="M76" s="109">
        <v>300</v>
      </c>
      <c r="N76" s="107">
        <f>IF(ISNUMBER(M76), (M76 - $B76) / $B76, "")</f>
        <v>6.7114093959731542E-3</v>
      </c>
      <c r="O76" s="108">
        <f>IF(ISNUMBER(M76), $B91 * N76, "")</f>
        <v>671.14093959731542</v>
      </c>
      <c r="Q76" s="227"/>
      <c r="R76" s="227"/>
      <c r="S76" s="227"/>
    </row>
    <row r="77" spans="1:19" ht="17.25" thickBot="1">
      <c r="A77" s="125" t="s">
        <v>80</v>
      </c>
      <c r="B77" s="126">
        <v>962</v>
      </c>
      <c r="C77" s="77">
        <v>2.3404255299999999E-2</v>
      </c>
      <c r="D77" s="15">
        <v>971</v>
      </c>
      <c r="E77" s="32">
        <f t="shared" ref="E77:E80" si="34">IF(ISNUMBER(D77), (D77 - $B77) / $B77, "")</f>
        <v>9.355509355509356E-3</v>
      </c>
      <c r="F77" s="18">
        <f>IF(ISNUMBER(D77), $B91 * E77, "")</f>
        <v>935.55093555093561</v>
      </c>
      <c r="G77" s="31">
        <v>975</v>
      </c>
      <c r="H77" s="32">
        <f t="shared" ref="H77:H80" si="35">IF(ISNUMBER(G77), (G77 - $B77) / $B77, "")</f>
        <v>1.3513513513513514E-2</v>
      </c>
      <c r="I77" s="101">
        <f>IF(ISNUMBER(G77), $B91 * H77, "")</f>
        <v>1351.3513513513515</v>
      </c>
      <c r="J77" s="15">
        <v>977</v>
      </c>
      <c r="K77" s="32">
        <f t="shared" ref="K77:K80" si="36">IF(ISNUMBER(J77), (J77 - $B77) / $B77, "")</f>
        <v>1.5592515592515593E-2</v>
      </c>
      <c r="L77" s="18">
        <f>IF(ISNUMBER(J77), $B91 * K77, "")</f>
        <v>1559.2515592515592</v>
      </c>
      <c r="M77" s="31">
        <v>977</v>
      </c>
      <c r="N77" s="32">
        <f t="shared" ref="N77:N80" si="37">IF(ISNUMBER(M77), (M77 - $B77) / $B77, "")</f>
        <v>1.5592515592515593E-2</v>
      </c>
      <c r="O77" s="18">
        <f>IF(ISNUMBER(M77), $B91 * N77, "")</f>
        <v>1559.2515592515592</v>
      </c>
      <c r="Q77" s="227"/>
      <c r="R77" s="227"/>
      <c r="S77" s="227"/>
    </row>
    <row r="78" spans="1:19" ht="17.25" thickBot="1">
      <c r="A78" s="125" t="s">
        <v>192</v>
      </c>
      <c r="B78" s="126">
        <v>273</v>
      </c>
      <c r="C78" s="77">
        <v>1.8656716399999999E-2</v>
      </c>
      <c r="D78" s="15">
        <v>275</v>
      </c>
      <c r="E78" s="32">
        <f t="shared" si="34"/>
        <v>7.326007326007326E-3</v>
      </c>
      <c r="F78" s="18">
        <f>IF(ISNUMBER(D78), $B91 * E78, "")</f>
        <v>732.60073260073261</v>
      </c>
      <c r="G78" s="31">
        <v>279</v>
      </c>
      <c r="H78" s="32">
        <f t="shared" si="35"/>
        <v>2.197802197802198E-2</v>
      </c>
      <c r="I78" s="101">
        <f>IF(ISNUMBER(G78), $B91 * H78, "")</f>
        <v>2197.802197802198</v>
      </c>
      <c r="J78" s="15">
        <v>284</v>
      </c>
      <c r="K78" s="32">
        <f t="shared" si="36"/>
        <v>4.0293040293040296E-2</v>
      </c>
      <c r="L78" s="18">
        <f>IF(ISNUMBER(J78), $B91 * K78, "")</f>
        <v>4029.3040293040294</v>
      </c>
      <c r="M78" s="31">
        <v>284</v>
      </c>
      <c r="N78" s="32">
        <f t="shared" si="37"/>
        <v>4.0293040293040296E-2</v>
      </c>
      <c r="O78" s="18">
        <f>IF(ISNUMBER(M78), $B91 * N78, "")</f>
        <v>4029.3040293040294</v>
      </c>
      <c r="Q78" s="227"/>
      <c r="R78" s="227"/>
      <c r="S78" s="227"/>
    </row>
    <row r="79" spans="1:19" ht="17.25" thickBot="1">
      <c r="A79" s="125" t="s">
        <v>132</v>
      </c>
      <c r="B79" s="126">
        <v>128</v>
      </c>
      <c r="C79" s="77">
        <v>1.5873015899999999E-2</v>
      </c>
      <c r="D79" s="15">
        <v>126</v>
      </c>
      <c r="E79" s="32">
        <f t="shared" si="34"/>
        <v>-1.5625E-2</v>
      </c>
      <c r="F79" s="18">
        <f>IF(ISNUMBER(D79), $B91 * E79, "")</f>
        <v>-1562.5</v>
      </c>
      <c r="G79" s="31">
        <v>129</v>
      </c>
      <c r="H79" s="32">
        <f t="shared" si="35"/>
        <v>7.8125E-3</v>
      </c>
      <c r="I79" s="101">
        <f>IF(ISNUMBER(G79), $B91 * H79, "")</f>
        <v>781.25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131</v>
      </c>
      <c r="N79" s="32">
        <f t="shared" si="37"/>
        <v>2.34375E-2</v>
      </c>
      <c r="O79" s="18">
        <f>IF(ISNUMBER(M79), $B91 * N79, "")</f>
        <v>2343.75</v>
      </c>
      <c r="Q79" s="33"/>
      <c r="R79" s="33"/>
    </row>
    <row r="80" spans="1:19" ht="17.25" thickBot="1">
      <c r="A80" s="130" t="s">
        <v>124</v>
      </c>
      <c r="B80" s="131">
        <v>402</v>
      </c>
      <c r="C80" s="79">
        <v>1.51515152E-2</v>
      </c>
      <c r="D80" s="24">
        <v>397</v>
      </c>
      <c r="E80" s="25">
        <f t="shared" si="34"/>
        <v>-1.2437810945273632E-2</v>
      </c>
      <c r="F80" s="104">
        <f>IF(ISNUMBER(D80), $B91 * E80, "")</f>
        <v>-1243.7810945273632</v>
      </c>
      <c r="G80" s="102">
        <v>401</v>
      </c>
      <c r="H80" s="25">
        <f t="shared" si="35"/>
        <v>-2.4875621890547263E-3</v>
      </c>
      <c r="I80" s="103">
        <f>IF(ISNUMBER(G80), $B91 * H80, "")</f>
        <v>-248.75621890547262</v>
      </c>
      <c r="J80" s="24">
        <v>402</v>
      </c>
      <c r="K80" s="25">
        <f t="shared" si="36"/>
        <v>0</v>
      </c>
      <c r="L80" s="104">
        <f>IF(ISNUMBER(J80), $B91 * K80, "")</f>
        <v>0</v>
      </c>
      <c r="M80" s="102">
        <v>399</v>
      </c>
      <c r="N80" s="25">
        <f t="shared" si="37"/>
        <v>-7.462686567164179E-3</v>
      </c>
      <c r="O80" s="104">
        <f>IF(ISNUMBER(M80), $B91 * N80, "")</f>
        <v>-746.26865671641792</v>
      </c>
      <c r="Q80" s="236"/>
      <c r="R80" s="237"/>
      <c r="S80" s="238"/>
    </row>
    <row r="81" spans="1:19">
      <c r="A81" s="123" t="s">
        <v>128</v>
      </c>
      <c r="B81" s="124">
        <v>142</v>
      </c>
      <c r="C81" s="76">
        <v>1.42857143E-2</v>
      </c>
      <c r="D81" s="13">
        <v>145</v>
      </c>
      <c r="E81" s="14">
        <f>IF(ISNUMBER(D81), (D81 - $B81) / $B81, "")</f>
        <v>2.1126760563380281E-2</v>
      </c>
      <c r="F81" s="16">
        <f>IF(ISNUMBER(D81), $B91 * E81, "")</f>
        <v>2112.676056338028</v>
      </c>
      <c r="G81" s="29">
        <v>155</v>
      </c>
      <c r="H81" s="14">
        <f>IF(ISNUMBER(G81), (G81 - $B81) / $B81, "")</f>
        <v>9.154929577464789E-2</v>
      </c>
      <c r="I81" s="100">
        <f>IF(ISNUMBER(G81), $B91 * H81, "")</f>
        <v>9154.929577464789</v>
      </c>
      <c r="J81" s="13">
        <v>156</v>
      </c>
      <c r="K81" s="14">
        <f>IF(ISNUMBER(J81), (J81 - $B81) / $B81, "")</f>
        <v>9.8591549295774641E-2</v>
      </c>
      <c r="L81" s="16">
        <f>IF(ISNUMBER(J81), $B91 * K81, "")</f>
        <v>9859.1549295774639</v>
      </c>
      <c r="M81" s="29">
        <v>159</v>
      </c>
      <c r="N81" s="14">
        <f>IF(ISNUMBER(M81), (M81 - $B81) / $B81, "")</f>
        <v>0.11971830985915492</v>
      </c>
      <c r="O81" s="16">
        <f>IF(ISNUMBER(M81), $B91 * N81, "")</f>
        <v>11971.830985915492</v>
      </c>
      <c r="Q81" s="239"/>
      <c r="R81" s="240"/>
      <c r="S81" s="241"/>
    </row>
    <row r="82" spans="1:19" ht="17.25" thickBot="1">
      <c r="A82" s="125" t="s">
        <v>51</v>
      </c>
      <c r="B82" s="126">
        <v>397</v>
      </c>
      <c r="C82" s="77">
        <v>1.2755102000000001E-2</v>
      </c>
      <c r="D82" s="15">
        <v>404</v>
      </c>
      <c r="E82" s="32">
        <f t="shared" ref="E82:E85" si="38">IF(ISNUMBER(D82), (D82 - $B82) / $B82, "")</f>
        <v>1.7632241813602016E-2</v>
      </c>
      <c r="F82" s="18">
        <f>IF(ISNUMBER(D82), $B91 * E82, "")</f>
        <v>1763.2241813602016</v>
      </c>
      <c r="G82" s="31">
        <v>405</v>
      </c>
      <c r="H82" s="32">
        <f t="shared" ref="H82:H85" si="39">IF(ISNUMBER(G82), (G82 - $B82) / $B82, "")</f>
        <v>2.0151133501259445E-2</v>
      </c>
      <c r="I82" s="101">
        <f>IF(ISNUMBER(G82), $B91 * H82, "")</f>
        <v>2015.1133501259446</v>
      </c>
      <c r="J82" s="15">
        <v>407</v>
      </c>
      <c r="K82" s="32">
        <f t="shared" ref="K82:K85" si="40">IF(ISNUMBER(J82), (J82 - $B82) / $B82, "")</f>
        <v>2.5188916876574308E-2</v>
      </c>
      <c r="L82" s="18">
        <f>IF(ISNUMBER(J82), $B91 * K82, "")</f>
        <v>2518.8916876574308</v>
      </c>
      <c r="M82" s="31">
        <v>405</v>
      </c>
      <c r="N82" s="32">
        <f t="shared" ref="N82:N85" si="41">IF(ISNUMBER(M82), (M82 - $B82) / $B82, "")</f>
        <v>2.0151133501259445E-2</v>
      </c>
      <c r="O82" s="18">
        <f>IF(ISNUMBER(M82), $B91 * N82, "")</f>
        <v>2015.1133501259446</v>
      </c>
      <c r="Q82" s="242"/>
      <c r="R82" s="243"/>
      <c r="S82" s="244"/>
    </row>
    <row r="83" spans="1:19" ht="17.25" thickBot="1">
      <c r="A83" s="125" t="s">
        <v>174</v>
      </c>
      <c r="B83" s="126">
        <v>383</v>
      </c>
      <c r="C83" s="77">
        <v>1.05540897E-2</v>
      </c>
      <c r="D83" s="15">
        <v>380</v>
      </c>
      <c r="E83" s="32">
        <f t="shared" si="38"/>
        <v>-7.832898172323759E-3</v>
      </c>
      <c r="F83" s="18">
        <f>IF(ISNUMBER(D83), $B91 * E83, "")</f>
        <v>-783.28981723237587</v>
      </c>
      <c r="G83" s="31">
        <v>381</v>
      </c>
      <c r="H83" s="32">
        <f t="shared" si="39"/>
        <v>-5.2219321148825066E-3</v>
      </c>
      <c r="I83" s="101">
        <f>IF(ISNUMBER(G83), $B91 * H83, "")</f>
        <v>-522.19321148825065</v>
      </c>
      <c r="J83" s="15">
        <v>384</v>
      </c>
      <c r="K83" s="32">
        <f t="shared" si="40"/>
        <v>2.6109660574412533E-3</v>
      </c>
      <c r="L83" s="18">
        <f>IF(ISNUMBER(J83), $B91 * K83, "")</f>
        <v>261.09660574412533</v>
      </c>
      <c r="M83" s="31">
        <v>384</v>
      </c>
      <c r="N83" s="32">
        <f t="shared" si="41"/>
        <v>2.6109660574412533E-3</v>
      </c>
      <c r="O83" s="18">
        <f>IF(ISNUMBER(M83), $B91 * N83, "")</f>
        <v>261.09660574412533</v>
      </c>
      <c r="Q83" s="227"/>
      <c r="R83" s="227"/>
      <c r="S83" s="227"/>
    </row>
    <row r="84" spans="1:19" ht="17.25" thickBot="1">
      <c r="A84" s="125" t="s">
        <v>206</v>
      </c>
      <c r="B84" s="126">
        <v>418</v>
      </c>
      <c r="C84" s="77">
        <v>9.6618356999999995E-3</v>
      </c>
      <c r="D84" s="15">
        <v>412</v>
      </c>
      <c r="E84" s="32">
        <f t="shared" si="38"/>
        <v>-1.4354066985645933E-2</v>
      </c>
      <c r="F84" s="18">
        <f>IF(ISNUMBER(D84), $B91 * E84, "")</f>
        <v>-1435.4066985645934</v>
      </c>
      <c r="G84" s="31">
        <v>416</v>
      </c>
      <c r="H84" s="32">
        <f t="shared" si="39"/>
        <v>-4.7846889952153108E-3</v>
      </c>
      <c r="I84" s="101">
        <f>IF(ISNUMBER(G84), $B91 * H84, "")</f>
        <v>-478.46889952153106</v>
      </c>
      <c r="J84" s="15">
        <v>422</v>
      </c>
      <c r="K84" s="32">
        <f t="shared" si="40"/>
        <v>9.5693779904306216E-3</v>
      </c>
      <c r="L84" s="18">
        <f>IF(ISNUMBER(J84), $B91 * K84, "")</f>
        <v>956.93779904306211</v>
      </c>
      <c r="M84" s="31">
        <v>424</v>
      </c>
      <c r="N84" s="32">
        <f t="shared" si="41"/>
        <v>1.4354066985645933E-2</v>
      </c>
      <c r="O84" s="18">
        <f>IF(ISNUMBER(M84), $B91 * N84, "")</f>
        <v>1435.4066985645934</v>
      </c>
      <c r="Q84" s="222"/>
      <c r="R84" s="222"/>
      <c r="S84" s="222"/>
    </row>
    <row r="85" spans="1:19" ht="17.25" thickBot="1">
      <c r="A85" s="127" t="s">
        <v>162</v>
      </c>
      <c r="B85" s="128">
        <v>111</v>
      </c>
      <c r="C85" s="78">
        <v>9.0909091000000008E-3</v>
      </c>
      <c r="D85" s="20">
        <v>111</v>
      </c>
      <c r="E85" s="21">
        <f t="shared" si="38"/>
        <v>0</v>
      </c>
      <c r="F85" s="22">
        <f>IF(ISNUMBER(D85), $B91 * E85, "")</f>
        <v>0</v>
      </c>
      <c r="G85" s="30">
        <v>113</v>
      </c>
      <c r="H85" s="21">
        <f t="shared" si="39"/>
        <v>1.8018018018018018E-2</v>
      </c>
      <c r="I85" s="105">
        <f>IF(ISNUMBER(G85), $B91 * H85, "")</f>
        <v>1801.8018018018017</v>
      </c>
      <c r="J85" s="20">
        <v>114</v>
      </c>
      <c r="K85" s="21">
        <f t="shared" si="40"/>
        <v>2.7027027027027029E-2</v>
      </c>
      <c r="L85" s="22">
        <f>IF(ISNUMBER(J85), $B91 * K85, "")</f>
        <v>2702.7027027027029</v>
      </c>
      <c r="M85" s="30">
        <v>114</v>
      </c>
      <c r="N85" s="21">
        <f t="shared" si="41"/>
        <v>2.7027027027027029E-2</v>
      </c>
      <c r="O85" s="22">
        <f>IF(ISNUMBER(M85), $B91 * N85, "")</f>
        <v>2702.7027027027029</v>
      </c>
      <c r="Q85" s="222"/>
      <c r="R85" s="222"/>
      <c r="S85" s="222"/>
    </row>
    <row r="86" spans="1:19" ht="17.25" thickBot="1">
      <c r="A86" s="125" t="s">
        <v>130</v>
      </c>
      <c r="B86" s="129">
        <v>136</v>
      </c>
      <c r="C86" s="80">
        <v>7.4074073999999997E-3</v>
      </c>
      <c r="D86" s="106">
        <v>135</v>
      </c>
      <c r="E86" s="107">
        <f>IF(ISNUMBER(D86), (D86 - $B86) / $B86, "")</f>
        <v>-7.3529411764705881E-3</v>
      </c>
      <c r="F86" s="108">
        <f>IF(ISNUMBER(D86), $B91 * E86, "")</f>
        <v>-735.29411764705878</v>
      </c>
      <c r="G86" s="109">
        <v>138</v>
      </c>
      <c r="H86" s="107">
        <f>IF(ISNUMBER(G86), (G86 - $B86) / $B86, "")</f>
        <v>1.4705882352941176E-2</v>
      </c>
      <c r="I86" s="110">
        <f>IF(ISNUMBER(G86), $B91 * H86, "")</f>
        <v>1470.5882352941176</v>
      </c>
      <c r="J86" s="106">
        <v>137</v>
      </c>
      <c r="K86" s="107">
        <f>IF(ISNUMBER(J86), (J86 - $B86) / $B86, "")</f>
        <v>7.3529411764705881E-3</v>
      </c>
      <c r="L86" s="108">
        <f>IF(ISNUMBER(J86), $B91 * K86, "")</f>
        <v>735.29411764705878</v>
      </c>
      <c r="M86" s="109">
        <v>136</v>
      </c>
      <c r="N86" s="107">
        <f>IF(ISNUMBER(M86), (M86 - $B86) / $B86, "")</f>
        <v>0</v>
      </c>
      <c r="O86" s="108">
        <f>IF(ISNUMBER(M86), $B91 * N86, "")</f>
        <v>0</v>
      </c>
      <c r="Q86" s="227"/>
      <c r="R86" s="227"/>
      <c r="S86" s="227"/>
    </row>
    <row r="87" spans="1:19" ht="17.25" thickBot="1">
      <c r="A87" s="125" t="s">
        <v>152</v>
      </c>
      <c r="B87" s="126">
        <v>103</v>
      </c>
      <c r="C87" s="77">
        <v>0</v>
      </c>
      <c r="D87" s="15">
        <v>105</v>
      </c>
      <c r="E87" s="32">
        <f t="shared" ref="E87:E90" si="42">IF(ISNUMBER(D87), (D87 - $B87) / $B87, "")</f>
        <v>1.9417475728155338E-2</v>
      </c>
      <c r="F87" s="18">
        <f>IF(ISNUMBER(D87), $B91 * E87, "")</f>
        <v>1941.7475728155339</v>
      </c>
      <c r="G87" s="31">
        <v>107</v>
      </c>
      <c r="H87" s="32">
        <f t="shared" ref="H87:H90" si="43">IF(ISNUMBER(G87), (G87 - $B87) / $B87, "")</f>
        <v>3.8834951456310676E-2</v>
      </c>
      <c r="I87" s="101">
        <f>IF(ISNUMBER(G87), $B91 * H87, "")</f>
        <v>3883.4951456310678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107</v>
      </c>
      <c r="N87" s="32">
        <f t="shared" ref="N87:N90" si="45">IF(ISNUMBER(M87), (M87 - $B87) / $B87, "")</f>
        <v>3.8834951456310676E-2</v>
      </c>
      <c r="O87" s="18">
        <f>IF(ISNUMBER(M87), $B91 * N87, "")</f>
        <v>3883.4951456310678</v>
      </c>
      <c r="Q87" s="227"/>
      <c r="R87" s="227"/>
      <c r="S87" s="227"/>
    </row>
    <row r="88" spans="1:19" ht="17.25" thickBot="1">
      <c r="A88" s="125" t="s">
        <v>228</v>
      </c>
      <c r="B88" s="126">
        <v>417</v>
      </c>
      <c r="C88" s="77">
        <v>0</v>
      </c>
      <c r="D88" s="15">
        <v>415</v>
      </c>
      <c r="E88" s="32">
        <f t="shared" si="42"/>
        <v>-4.7961630695443642E-3</v>
      </c>
      <c r="F88" s="18">
        <f>IF(ISNUMBER(D88), $B91 * E88, "")</f>
        <v>-479.61630695443642</v>
      </c>
      <c r="G88" s="31">
        <v>419</v>
      </c>
      <c r="H88" s="32">
        <f t="shared" si="43"/>
        <v>4.7961630695443642E-3</v>
      </c>
      <c r="I88" s="101">
        <f>IF(ISNUMBER(G88), $B91 * H88, "")</f>
        <v>479.61630695443642</v>
      </c>
      <c r="J88" s="15">
        <v>421</v>
      </c>
      <c r="K88" s="32">
        <f t="shared" si="44"/>
        <v>9.5923261390887284E-3</v>
      </c>
      <c r="L88" s="18">
        <f>IF(ISNUMBER(J88), $B91 * K88, "")</f>
        <v>959.23261390887285</v>
      </c>
      <c r="M88" s="31">
        <v>419</v>
      </c>
      <c r="N88" s="32">
        <f t="shared" si="45"/>
        <v>4.7961630695443642E-3</v>
      </c>
      <c r="O88" s="18">
        <f>IF(ISNUMBER(M88), $B91 * N88, "")</f>
        <v>479.61630695443642</v>
      </c>
      <c r="Q88" s="227"/>
      <c r="R88" s="227"/>
      <c r="S88" s="227"/>
    </row>
    <row r="89" spans="1:19">
      <c r="A89" s="125" t="s">
        <v>266</v>
      </c>
      <c r="B89" s="126">
        <v>323</v>
      </c>
      <c r="C89" s="77">
        <v>0</v>
      </c>
      <c r="D89" s="15">
        <v>326</v>
      </c>
      <c r="E89" s="32">
        <f t="shared" si="42"/>
        <v>9.2879256965944269E-3</v>
      </c>
      <c r="F89" s="18">
        <f>IF(ISNUMBER(D89), $B91 * E89, "")</f>
        <v>928.79256965944273</v>
      </c>
      <c r="G89" s="31">
        <v>327</v>
      </c>
      <c r="H89" s="32">
        <f t="shared" si="43"/>
        <v>1.238390092879257E-2</v>
      </c>
      <c r="I89" s="101">
        <f>IF(ISNUMBER(G89), $B91 * H89, "")</f>
        <v>1238.3900928792571</v>
      </c>
      <c r="J89" s="15">
        <v>332</v>
      </c>
      <c r="K89" s="32">
        <f t="shared" si="44"/>
        <v>2.7863777089783281E-2</v>
      </c>
      <c r="L89" s="18">
        <f>IF(ISNUMBER(J89), $B91 * K89, "")</f>
        <v>2786.377708978328</v>
      </c>
      <c r="M89" s="31">
        <v>328</v>
      </c>
      <c r="N89" s="32">
        <f t="shared" si="45"/>
        <v>1.5479876160990712E-2</v>
      </c>
      <c r="O89" s="18">
        <f>IF(ISNUMBER(M89), $B91 * N89, "")</f>
        <v>1547.9876160990711</v>
      </c>
      <c r="Q89" s="249"/>
      <c r="R89" s="250"/>
      <c r="S89" s="251"/>
    </row>
    <row r="90" spans="1:19" ht="17.25" thickBot="1">
      <c r="A90" s="130" t="s">
        <v>138</v>
      </c>
      <c r="B90" s="131">
        <v>384</v>
      </c>
      <c r="C90" s="79">
        <v>-2.5974026000000002E-3</v>
      </c>
      <c r="D90" s="24">
        <v>385</v>
      </c>
      <c r="E90" s="25">
        <f t="shared" si="42"/>
        <v>2.6041666666666665E-3</v>
      </c>
      <c r="F90" s="104">
        <f>IF(ISNUMBER(D90), $B91 * E90, "")</f>
        <v>260.41666666666663</v>
      </c>
      <c r="G90" s="102">
        <v>385</v>
      </c>
      <c r="H90" s="25">
        <f t="shared" si="43"/>
        <v>2.6041666666666665E-3</v>
      </c>
      <c r="I90" s="103">
        <f>IF(ISNUMBER(G90), $B91 * H90, "")</f>
        <v>260.41666666666663</v>
      </c>
      <c r="J90" s="24">
        <v>388</v>
      </c>
      <c r="K90" s="25">
        <f t="shared" si="44"/>
        <v>1.0416666666666666E-2</v>
      </c>
      <c r="L90" s="104">
        <f>IF(ISNUMBER(J90), $B91 * K90, "")</f>
        <v>1041.6666666666665</v>
      </c>
      <c r="M90" s="102">
        <v>387</v>
      </c>
      <c r="N90" s="25">
        <f t="shared" si="45"/>
        <v>7.8125E-3</v>
      </c>
      <c r="O90" s="104">
        <f>IF(ISNUMBER(M90), $B91 * N90, "")</f>
        <v>781.25</v>
      </c>
      <c r="Q90" s="252"/>
      <c r="R90" s="253"/>
      <c r="S90" s="254"/>
    </row>
    <row r="91" spans="1:19" ht="17.25" thickBot="1">
      <c r="A91" s="132" t="s">
        <v>270</v>
      </c>
      <c r="B91" s="260">
        <f>$B$37</f>
        <v>100000</v>
      </c>
      <c r="C91" s="261"/>
      <c r="D91" s="26" t="s">
        <v>271</v>
      </c>
      <c r="E91" s="27">
        <f>IF(COUNT(E71:E90), SUM(E71:E90) / COUNT(E71:E90), 0)</f>
        <v>-2.7372875420127282E-3</v>
      </c>
      <c r="F91" s="28">
        <f>SUM(F71:F90)</f>
        <v>-5474.5750840254532</v>
      </c>
      <c r="G91" s="26" t="s">
        <v>271</v>
      </c>
      <c r="H91" s="27">
        <f>IF(COUNT(H71:H90), SUM(H71:H90) / COUNT(H71:H90), 0)</f>
        <v>1.5006943132718012E-2</v>
      </c>
      <c r="I91" s="28">
        <f>SUM(I71:I90)</f>
        <v>30013.886265436024</v>
      </c>
      <c r="J91" s="26" t="s">
        <v>271</v>
      </c>
      <c r="K91" s="27">
        <f>IF(COUNT(K71:K90), SUM(K71:K90) / COUNT(K71:K90), 0)</f>
        <v>2.4901921720640145E-2</v>
      </c>
      <c r="L91" s="28">
        <f>SUM(L71:L90)</f>
        <v>49803.843441280274</v>
      </c>
      <c r="M91" s="26" t="s">
        <v>271</v>
      </c>
      <c r="N91" s="27">
        <f>IF(COUNT(N71:N90), SUM(N71:N90) / COUNT(N71:N90), 0)</f>
        <v>2.5513281586342022E-2</v>
      </c>
      <c r="O91" s="28">
        <f>SUM(O71:O90)</f>
        <v>51026.563172684037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57" t="s">
        <v>267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55149000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2.1442459999999998E-3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2021-09-01(수) 오전 00:00</v>
      </c>
      <c r="C96" s="265"/>
      <c r="D96" s="224" t="str">
        <f>TEXT($G$1, "[$-ko-KR]yyyy-mm-dd(ddd) ") &amp; "오후 14:00"</f>
        <v>2021-09-01(수) 오후 14:00</v>
      </c>
      <c r="E96" s="225"/>
      <c r="F96" s="226"/>
      <c r="G96" s="224" t="str">
        <f>TEXT($G$1, "[$-ko-KR]yyyy-mm-dd(ddd) ") &amp; "오후 19:00"</f>
        <v>2021-09-01(수) 오후 19:00</v>
      </c>
      <c r="H96" s="225"/>
      <c r="I96" s="226"/>
      <c r="J96" s="224" t="str">
        <f>TEXT($G$1, "[$-ko-KR]yyyy-mm-dd(ddd) ") &amp; "오후 21:00"</f>
        <v>2021-09-01(수) 오후 21:00</v>
      </c>
      <c r="K96" s="225"/>
      <c r="L96" s="226"/>
      <c r="M96" s="224" t="str">
        <f>TEXT($G$1+1, "[$-ko-KR]yyyy-mm-dd(ddd) ") &amp; "오전 00:00"</f>
        <v>2021-09-02(목)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7"/>
      <c r="R97" s="227"/>
      <c r="S97" s="227"/>
    </row>
    <row r="98" spans="1:19" ht="17.25" thickBot="1">
      <c r="A98" s="123" t="s">
        <v>172</v>
      </c>
      <c r="B98" s="124">
        <v>5825</v>
      </c>
      <c r="C98" s="76">
        <v>0.81747269889999996</v>
      </c>
      <c r="D98" s="13">
        <v>5190</v>
      </c>
      <c r="E98" s="14">
        <f>IF(ISNUMBER(D98), (D98 - $B98) / $B98, "")</f>
        <v>-0.10901287553648069</v>
      </c>
      <c r="F98" s="16">
        <f>IF(ISNUMBER(D98), $B118 * E98, "")</f>
        <v>-10901.28755364807</v>
      </c>
      <c r="G98" s="29">
        <v>5555</v>
      </c>
      <c r="H98" s="14">
        <f>IF(ISNUMBER(G98), (G98 - $B98) / $B98, "")</f>
        <v>-4.63519313304721E-2</v>
      </c>
      <c r="I98" s="100">
        <f>IF(ISNUMBER(G98), $B118 * H98, "")</f>
        <v>-4635.1931330472098</v>
      </c>
      <c r="J98" s="13">
        <v>5405</v>
      </c>
      <c r="K98" s="14">
        <f>IF(ISNUMBER(J98), (J98 - $B98) / $B98, "")</f>
        <v>-7.2103004291845491E-2</v>
      </c>
      <c r="L98" s="16">
        <f>IF(ISNUMBER(J98), $B118 * K98, "")</f>
        <v>-7210.3004291845491</v>
      </c>
      <c r="M98" s="29">
        <v>5375</v>
      </c>
      <c r="N98" s="14">
        <f>IF(ISNUMBER(M98), (M98 - $B98) / $B98, "")</f>
        <v>-7.7253218884120178E-2</v>
      </c>
      <c r="O98" s="16">
        <f>IF(ISNUMBER(M98), $B118 * N98, "")</f>
        <v>-7725.3218884120179</v>
      </c>
      <c r="Q98" s="222"/>
      <c r="R98" s="222"/>
      <c r="S98" s="222"/>
    </row>
    <row r="99" spans="1:19" ht="17.25" thickBot="1">
      <c r="A99" s="125" t="s">
        <v>224</v>
      </c>
      <c r="B99" s="126">
        <v>5795</v>
      </c>
      <c r="C99" s="77">
        <v>0.13405088060000001</v>
      </c>
      <c r="D99" s="15">
        <v>5200</v>
      </c>
      <c r="E99" s="32">
        <f t="shared" ref="E99:E102" si="46">IF(ISNUMBER(D99), (D99 - $B99) / $B99, "")</f>
        <v>-0.10267471958584987</v>
      </c>
      <c r="F99" s="18">
        <f>IF(ISNUMBER(D99), $B118 * E99, "")</f>
        <v>-10267.471958584987</v>
      </c>
      <c r="G99" s="31">
        <v>5180</v>
      </c>
      <c r="H99" s="32">
        <f t="shared" ref="H99:H102" si="47">IF(ISNUMBER(G99), (G99 - $B99) / $B99, "")</f>
        <v>-0.10612597066436583</v>
      </c>
      <c r="I99" s="101">
        <f>IF(ISNUMBER(G99), $B118 * H99, "")</f>
        <v>-10612.597066436583</v>
      </c>
      <c r="J99" s="15">
        <v>5290</v>
      </c>
      <c r="K99" s="32">
        <f t="shared" ref="K99:K102" si="48">IF(ISNUMBER(J99), (J99 - $B99) / $B99, "")</f>
        <v>-8.7144089732528046E-2</v>
      </c>
      <c r="L99" s="18">
        <f>IF(ISNUMBER(J99), $B118 * K99, "")</f>
        <v>-8714.4089732528046</v>
      </c>
      <c r="M99" s="31">
        <v>5265</v>
      </c>
      <c r="N99" s="32">
        <f t="shared" ref="N99:N102" si="49">IF(ISNUMBER(M99), (M99 - $B99) / $B99, "")</f>
        <v>-9.1458153580672996E-2</v>
      </c>
      <c r="O99" s="18">
        <f>IF(ISNUMBER(M99), $B118 * N99, "")</f>
        <v>-9145.8153580672988</v>
      </c>
      <c r="Q99" s="222"/>
      <c r="R99" s="222"/>
      <c r="S99" s="222"/>
    </row>
    <row r="100" spans="1:19" ht="17.25" thickBot="1">
      <c r="A100" s="125" t="s">
        <v>134</v>
      </c>
      <c r="B100" s="126">
        <v>34650</v>
      </c>
      <c r="C100" s="77">
        <v>0.1231766613</v>
      </c>
      <c r="D100" s="15">
        <v>35840</v>
      </c>
      <c r="E100" s="32">
        <f t="shared" si="46"/>
        <v>3.4343434343434343E-2</v>
      </c>
      <c r="F100" s="18">
        <f>IF(ISNUMBER(D100), $B118 * E100, "")</f>
        <v>3434.3434343434342</v>
      </c>
      <c r="G100" s="31">
        <v>35350</v>
      </c>
      <c r="H100" s="32">
        <f t="shared" si="47"/>
        <v>2.0202020202020204E-2</v>
      </c>
      <c r="I100" s="101">
        <f>IF(ISNUMBER(G100), $B118 * H100, "")</f>
        <v>2020.2020202020203</v>
      </c>
      <c r="J100" s="15">
        <v>35140</v>
      </c>
      <c r="K100" s="32">
        <f t="shared" si="48"/>
        <v>1.4141414141414142E-2</v>
      </c>
      <c r="L100" s="18">
        <f>IF(ISNUMBER(J100), $B118 * K100, "")</f>
        <v>1414.1414141414143</v>
      </c>
      <c r="M100" s="31">
        <v>34920</v>
      </c>
      <c r="N100" s="32">
        <f t="shared" si="49"/>
        <v>7.7922077922077922E-3</v>
      </c>
      <c r="O100" s="18">
        <f>IF(ISNUMBER(M100), $B118 * N100, "")</f>
        <v>779.22077922077926</v>
      </c>
      <c r="Q100" s="227"/>
      <c r="R100" s="227"/>
      <c r="S100" s="227"/>
    </row>
    <row r="101" spans="1:19" ht="17.25" thickBot="1">
      <c r="A101" s="125" t="s">
        <v>69</v>
      </c>
      <c r="B101" s="126">
        <v>10660</v>
      </c>
      <c r="C101" s="77">
        <v>9.6707818900000006E-2</v>
      </c>
      <c r="D101" s="15">
        <v>10220</v>
      </c>
      <c r="E101" s="32">
        <f t="shared" si="46"/>
        <v>-4.1275797373358347E-2</v>
      </c>
      <c r="F101" s="18">
        <f>IF(ISNUMBER(D101), $B118 * E101, "")</f>
        <v>-4127.5797373358346</v>
      </c>
      <c r="G101" s="31">
        <v>10020</v>
      </c>
      <c r="H101" s="32">
        <f t="shared" si="47"/>
        <v>-6.0037523452157598E-2</v>
      </c>
      <c r="I101" s="101">
        <f>IF(ISNUMBER(G101), $B118 * H101, "")</f>
        <v>-6003.7523452157602</v>
      </c>
      <c r="J101" s="15">
        <v>10060</v>
      </c>
      <c r="K101" s="32">
        <f t="shared" si="48"/>
        <v>-5.6285178236397747E-2</v>
      </c>
      <c r="L101" s="18">
        <f>IF(ISNUMBER(J101), $B118 * K101, "")</f>
        <v>-5628.5178236397751</v>
      </c>
      <c r="M101" s="31">
        <v>9965</v>
      </c>
      <c r="N101" s="32">
        <f t="shared" si="49"/>
        <v>-6.5196998123827399E-2</v>
      </c>
      <c r="O101" s="18">
        <f>IF(ISNUMBER(M101), $B118 * N101, "")</f>
        <v>-6519.6998123827398</v>
      </c>
      <c r="Q101" s="227"/>
      <c r="R101" s="227"/>
      <c r="S101" s="227"/>
    </row>
    <row r="102" spans="1:19" ht="17.25" thickBot="1">
      <c r="A102" s="127" t="s">
        <v>164</v>
      </c>
      <c r="B102" s="128">
        <v>497</v>
      </c>
      <c r="C102" s="78">
        <v>7.1120689700000003E-2</v>
      </c>
      <c r="D102" s="20">
        <v>496</v>
      </c>
      <c r="E102" s="21">
        <f t="shared" si="46"/>
        <v>-2.012072434607646E-3</v>
      </c>
      <c r="F102" s="22">
        <f>IF(ISNUMBER(D102), $B118 * E102, "")</f>
        <v>-201.2072434607646</v>
      </c>
      <c r="G102" s="30">
        <v>491</v>
      </c>
      <c r="H102" s="21">
        <f t="shared" si="47"/>
        <v>-1.2072434607645875E-2</v>
      </c>
      <c r="I102" s="105">
        <f>IF(ISNUMBER(G102), $B118 * H102, "")</f>
        <v>-1207.2434607645876</v>
      </c>
      <c r="J102" s="20">
        <v>557</v>
      </c>
      <c r="K102" s="21">
        <f t="shared" si="48"/>
        <v>0.12072434607645875</v>
      </c>
      <c r="L102" s="22">
        <f>IF(ISNUMBER(J102), $B118 * K102, "")</f>
        <v>12072.434607645875</v>
      </c>
      <c r="M102" s="30">
        <v>570</v>
      </c>
      <c r="N102" s="21">
        <f t="shared" si="49"/>
        <v>0.14688128772635814</v>
      </c>
      <c r="O102" s="22">
        <f>IF(ISNUMBER(M102), $B118 * N102, "")</f>
        <v>14688.128772635813</v>
      </c>
      <c r="Q102" s="227"/>
      <c r="R102" s="227"/>
      <c r="S102" s="227"/>
    </row>
    <row r="103" spans="1:19" ht="17.25" thickBot="1">
      <c r="A103" s="125" t="s">
        <v>74</v>
      </c>
      <c r="B103" s="129">
        <v>28200</v>
      </c>
      <c r="C103" s="80">
        <v>7.0615034199999996E-2</v>
      </c>
      <c r="D103" s="106">
        <v>27620</v>
      </c>
      <c r="E103" s="107">
        <f>IF(ISNUMBER(D103), (D103 - $B103) / $B103, "")</f>
        <v>-2.0567375886524821E-2</v>
      </c>
      <c r="F103" s="108">
        <f>IF(ISNUMBER(D103), $B118 * E103, "")</f>
        <v>-2056.7375886524819</v>
      </c>
      <c r="G103" s="109">
        <v>26260</v>
      </c>
      <c r="H103" s="107">
        <f>IF(ISNUMBER(G103), (G103 - $B103) / $B103, "")</f>
        <v>-6.8794326241134754E-2</v>
      </c>
      <c r="I103" s="110">
        <f>IF(ISNUMBER(G103), $B118 * H103, "")</f>
        <v>-6879.432624113475</v>
      </c>
      <c r="J103" s="106">
        <v>27070</v>
      </c>
      <c r="K103" s="107">
        <f>IF(ISNUMBER(J103), (J103 - $B103) / $B103, "")</f>
        <v>-4.0070921985815605E-2</v>
      </c>
      <c r="L103" s="108">
        <f>IF(ISNUMBER(J103), $B118 * K103, "")</f>
        <v>-4007.0921985815603</v>
      </c>
      <c r="M103" s="109">
        <v>26760</v>
      </c>
      <c r="N103" s="107">
        <f>IF(ISNUMBER(M103), (M103 - $B103) / $B103, "")</f>
        <v>-5.106382978723404E-2</v>
      </c>
      <c r="O103" s="108">
        <f>IF(ISNUMBER(M103), $B118 * N103, "")</f>
        <v>-5106.3829787234035</v>
      </c>
      <c r="Q103" s="227"/>
      <c r="R103" s="227"/>
      <c r="S103" s="227"/>
    </row>
    <row r="104" spans="1:19" ht="17.25" thickBot="1">
      <c r="A104" s="125" t="s">
        <v>248</v>
      </c>
      <c r="B104" s="126">
        <v>2835</v>
      </c>
      <c r="C104" s="77">
        <v>6.7796610199999996E-2</v>
      </c>
      <c r="D104" s="15">
        <v>2675</v>
      </c>
      <c r="E104" s="32">
        <f t="shared" ref="E104:E107" si="50">IF(ISNUMBER(D104), (D104 - $B104) / $B104, "")</f>
        <v>-5.6437389770723101E-2</v>
      </c>
      <c r="F104" s="18">
        <f>IF(ISNUMBER(D104), $B118 * E104, "")</f>
        <v>-5643.7389770723103</v>
      </c>
      <c r="G104" s="31">
        <v>2695</v>
      </c>
      <c r="H104" s="32">
        <f t="shared" ref="H104:H107" si="51">IF(ISNUMBER(G104), (G104 - $B104) / $B104, "")</f>
        <v>-4.9382716049382713E-2</v>
      </c>
      <c r="I104" s="101">
        <f>IF(ISNUMBER(G104), $B118 * H104, "")</f>
        <v>-4938.2716049382716</v>
      </c>
      <c r="J104" s="15">
        <v>2750</v>
      </c>
      <c r="K104" s="32">
        <f t="shared" ref="K104:K107" si="52">IF(ISNUMBER(J104), (J104 - $B104) / $B104, "")</f>
        <v>-2.9982363315696647E-2</v>
      </c>
      <c r="L104" s="18">
        <f>IF(ISNUMBER(J104), $B118 * K104, "")</f>
        <v>-2998.2363315696648</v>
      </c>
      <c r="M104" s="31">
        <v>2720</v>
      </c>
      <c r="N104" s="32">
        <f t="shared" ref="N104:N107" si="53">IF(ISNUMBER(M104), (M104 - $B104) / $B104, "")</f>
        <v>-4.0564373897707229E-2</v>
      </c>
      <c r="O104" s="18">
        <f>IF(ISNUMBER(M104), $B118 * N104, "")</f>
        <v>-4056.4373897707228</v>
      </c>
      <c r="Q104" s="227"/>
      <c r="R104" s="227"/>
      <c r="S104" s="227"/>
    </row>
    <row r="105" spans="1:19" ht="17.25" thickBot="1">
      <c r="A105" s="125" t="s">
        <v>170</v>
      </c>
      <c r="B105" s="126">
        <v>34130</v>
      </c>
      <c r="C105" s="77">
        <v>5.8294573600000003E-2</v>
      </c>
      <c r="D105" s="15">
        <v>32540</v>
      </c>
      <c r="E105" s="32">
        <f t="shared" si="50"/>
        <v>-4.6586580720773513E-2</v>
      </c>
      <c r="F105" s="18">
        <f>IF(ISNUMBER(D105), $B118 * E105, "")</f>
        <v>-4658.6580720773509</v>
      </c>
      <c r="G105" s="31">
        <v>32730</v>
      </c>
      <c r="H105" s="32">
        <f t="shared" si="51"/>
        <v>-4.1019630823322592E-2</v>
      </c>
      <c r="I105" s="101">
        <f>IF(ISNUMBER(G105), $B118 * H105, "")</f>
        <v>-4101.9630823322595</v>
      </c>
      <c r="J105" s="15">
        <v>33100</v>
      </c>
      <c r="K105" s="32">
        <f t="shared" si="52"/>
        <v>-3.0178728391444476E-2</v>
      </c>
      <c r="L105" s="18">
        <f>IF(ISNUMBER(J105), $B118 * K105, "")</f>
        <v>-3017.8728391444474</v>
      </c>
      <c r="M105" s="31">
        <v>33170</v>
      </c>
      <c r="N105" s="32">
        <f t="shared" si="53"/>
        <v>-2.8127746850278346E-2</v>
      </c>
      <c r="O105" s="18">
        <f>IF(ISNUMBER(M105), $B118 * N105, "")</f>
        <v>-2812.7746850278345</v>
      </c>
      <c r="Q105" s="227"/>
      <c r="R105" s="227"/>
      <c r="S105" s="227"/>
    </row>
    <row r="106" spans="1:19" ht="17.25" thickBot="1">
      <c r="A106" s="125" t="s">
        <v>76</v>
      </c>
      <c r="B106" s="126">
        <v>31290</v>
      </c>
      <c r="C106" s="77">
        <v>5.4600606699999998E-2</v>
      </c>
      <c r="D106" s="15">
        <v>31810</v>
      </c>
      <c r="E106" s="32">
        <f t="shared" si="50"/>
        <v>1.6618728028124002E-2</v>
      </c>
      <c r="F106" s="18">
        <f>IF(ISNUMBER(D106), $B118 * E106, "")</f>
        <v>1661.8728028124003</v>
      </c>
      <c r="G106" s="31">
        <v>32170</v>
      </c>
      <c r="H106" s="32">
        <f t="shared" si="51"/>
        <v>2.8124001278363696E-2</v>
      </c>
      <c r="I106" s="101">
        <f>IF(ISNUMBER(G106), $B118 * H106, "")</f>
        <v>2812.4001278363694</v>
      </c>
      <c r="J106" s="15">
        <v>32870</v>
      </c>
      <c r="K106" s="32">
        <f t="shared" si="52"/>
        <v>5.0495365931607541E-2</v>
      </c>
      <c r="L106" s="18">
        <f>IF(ISNUMBER(J106), $B118 * K106, "")</f>
        <v>5049.5365931607539</v>
      </c>
      <c r="M106" s="31">
        <v>33400</v>
      </c>
      <c r="N106" s="32">
        <f t="shared" si="53"/>
        <v>6.7433684883349318E-2</v>
      </c>
      <c r="O106" s="18">
        <f>IF(ISNUMBER(M106), $B118 * N106, "")</f>
        <v>6743.3684883349315</v>
      </c>
      <c r="Q106" s="33"/>
      <c r="R106" s="33"/>
    </row>
    <row r="107" spans="1:19" ht="17.25" thickBot="1">
      <c r="A107" s="130" t="s">
        <v>236</v>
      </c>
      <c r="B107" s="131">
        <v>706</v>
      </c>
      <c r="C107" s="79">
        <v>5.3731343299999998E-2</v>
      </c>
      <c r="D107" s="24">
        <v>675</v>
      </c>
      <c r="E107" s="25">
        <f t="shared" si="50"/>
        <v>-4.3909348441926344E-2</v>
      </c>
      <c r="F107" s="104">
        <f>IF(ISNUMBER(D107), $B118 * E107, "")</f>
        <v>-4390.934844192634</v>
      </c>
      <c r="G107" s="102">
        <v>684</v>
      </c>
      <c r="H107" s="25">
        <f t="shared" si="51"/>
        <v>-3.1161473087818695E-2</v>
      </c>
      <c r="I107" s="103">
        <f>IF(ISNUMBER(G107), $B118 * H107, "")</f>
        <v>-3116.1473087818695</v>
      </c>
      <c r="J107" s="24">
        <v>688</v>
      </c>
      <c r="K107" s="25">
        <f t="shared" si="52"/>
        <v>-2.5495750708215296E-2</v>
      </c>
      <c r="L107" s="104">
        <f>IF(ISNUMBER(J107), $B118 * K107, "")</f>
        <v>-2549.5750708215296</v>
      </c>
      <c r="M107" s="102">
        <v>713</v>
      </c>
      <c r="N107" s="25">
        <f t="shared" si="53"/>
        <v>9.9150141643059488E-3</v>
      </c>
      <c r="O107" s="104">
        <f>IF(ISNUMBER(M107), $B118 * N107, "")</f>
        <v>991.50141643059487</v>
      </c>
      <c r="Q107" s="236"/>
      <c r="R107" s="237"/>
      <c r="S107" s="238"/>
    </row>
    <row r="108" spans="1:19">
      <c r="A108" s="123" t="s">
        <v>222</v>
      </c>
      <c r="B108" s="124">
        <v>188</v>
      </c>
      <c r="C108" s="76">
        <v>4.4444444399999998E-2</v>
      </c>
      <c r="D108" s="13">
        <v>189</v>
      </c>
      <c r="E108" s="14">
        <f>IF(ISNUMBER(D108), (D108 - $B108) / $B108, "")</f>
        <v>5.3191489361702126E-3</v>
      </c>
      <c r="F108" s="16">
        <f>IF(ISNUMBER(D108), $B118 * E108, "")</f>
        <v>531.91489361702122</v>
      </c>
      <c r="G108" s="29">
        <v>213</v>
      </c>
      <c r="H108" s="14">
        <f>IF(ISNUMBER(G108), (G108 - $B108) / $B108, "")</f>
        <v>0.13297872340425532</v>
      </c>
      <c r="I108" s="100">
        <f>IF(ISNUMBER(G108), $B118 * H108, "")</f>
        <v>13297.872340425532</v>
      </c>
      <c r="J108" s="13">
        <v>194</v>
      </c>
      <c r="K108" s="14">
        <f>IF(ISNUMBER(J108), (J108 - $B108) / $B108, "")</f>
        <v>3.1914893617021274E-2</v>
      </c>
      <c r="L108" s="16">
        <f>IF(ISNUMBER(J108), $B118 * K108, "")</f>
        <v>3191.4893617021276</v>
      </c>
      <c r="M108" s="29">
        <v>191</v>
      </c>
      <c r="N108" s="14">
        <f>IF(ISNUMBER(M108), (M108 - $B108) / $B108, "")</f>
        <v>1.5957446808510637E-2</v>
      </c>
      <c r="O108" s="16">
        <f>IF(ISNUMBER(M108), $B118 * N108, "")</f>
        <v>1595.7446808510638</v>
      </c>
      <c r="Q108" s="239"/>
      <c r="R108" s="240"/>
      <c r="S108" s="241"/>
    </row>
    <row r="109" spans="1:19" ht="17.25" thickBot="1">
      <c r="A109" s="125" t="s">
        <v>244</v>
      </c>
      <c r="B109" s="126">
        <v>1630</v>
      </c>
      <c r="C109" s="77">
        <v>4.1533546300000002E-2</v>
      </c>
      <c r="D109" s="15">
        <v>1565</v>
      </c>
      <c r="E109" s="32">
        <f t="shared" ref="E109:E112" si="54">IF(ISNUMBER(D109), (D109 - $B109) / $B109, "")</f>
        <v>-3.9877300613496931E-2</v>
      </c>
      <c r="F109" s="18">
        <f>IF(ISNUMBER(D109), $B118 * E109, "")</f>
        <v>-3987.7300613496932</v>
      </c>
      <c r="G109" s="31">
        <v>1575</v>
      </c>
      <c r="H109" s="32">
        <f t="shared" ref="H109:H112" si="55">IF(ISNUMBER(G109), (G109 - $B109) / $B109, "")</f>
        <v>-3.3742331288343558E-2</v>
      </c>
      <c r="I109" s="101">
        <f>IF(ISNUMBER(G109), $B118 * H109, "")</f>
        <v>-3374.2331288343557</v>
      </c>
      <c r="J109" s="15">
        <v>1615</v>
      </c>
      <c r="K109" s="32">
        <f t="shared" ref="K109:K112" si="56">IF(ISNUMBER(J109), (J109 - $B109) / $B109, "")</f>
        <v>-9.202453987730062E-3</v>
      </c>
      <c r="L109" s="18">
        <f>IF(ISNUMBER(J109), $B118 * K109, "")</f>
        <v>-920.24539877300617</v>
      </c>
      <c r="M109" s="31">
        <v>1605</v>
      </c>
      <c r="N109" s="32">
        <f t="shared" ref="N109:N112" si="57">IF(ISNUMBER(M109), (M109 - $B109) / $B109, "")</f>
        <v>-1.5337423312883436E-2</v>
      </c>
      <c r="O109" s="18">
        <f>IF(ISNUMBER(M109), $B118 * N109, "")</f>
        <v>-1533.7423312883436</v>
      </c>
      <c r="Q109" s="242"/>
      <c r="R109" s="243"/>
      <c r="S109" s="244"/>
    </row>
    <row r="110" spans="1:19" ht="17.25" thickBot="1">
      <c r="A110" s="125" t="s">
        <v>252</v>
      </c>
      <c r="B110" s="126">
        <v>1160</v>
      </c>
      <c r="C110" s="77">
        <v>4.03587444E-2</v>
      </c>
      <c r="D110" s="15">
        <v>1175</v>
      </c>
      <c r="E110" s="32">
        <f t="shared" si="54"/>
        <v>1.2931034482758621E-2</v>
      </c>
      <c r="F110" s="18">
        <f>IF(ISNUMBER(D110), $B118 * E110, "")</f>
        <v>1293.1034482758621</v>
      </c>
      <c r="G110" s="31">
        <v>1180</v>
      </c>
      <c r="H110" s="32">
        <f t="shared" si="55"/>
        <v>1.7241379310344827E-2</v>
      </c>
      <c r="I110" s="101">
        <f>IF(ISNUMBER(G110), $B118 * H110, "")</f>
        <v>1724.1379310344828</v>
      </c>
      <c r="J110" s="15">
        <v>1195</v>
      </c>
      <c r="K110" s="32">
        <f t="shared" si="56"/>
        <v>3.017241379310345E-2</v>
      </c>
      <c r="L110" s="18">
        <f>IF(ISNUMBER(J110), $B118 * K110, "")</f>
        <v>3017.2413793103451</v>
      </c>
      <c r="M110" s="31">
        <v>1185</v>
      </c>
      <c r="N110" s="32">
        <f t="shared" si="57"/>
        <v>2.1551724137931036E-2</v>
      </c>
      <c r="O110" s="18">
        <f>IF(ISNUMBER(M110), $B118 * N110, "")</f>
        <v>2155.1724137931037</v>
      </c>
      <c r="Q110" s="227"/>
      <c r="R110" s="227"/>
      <c r="S110" s="227"/>
    </row>
    <row r="111" spans="1:19" ht="17.25" thickBot="1">
      <c r="A111" s="125" t="s">
        <v>94</v>
      </c>
      <c r="B111" s="126">
        <v>3967000</v>
      </c>
      <c r="C111" s="77">
        <v>3.7124182999999998E-2</v>
      </c>
      <c r="D111" s="15">
        <v>4092000</v>
      </c>
      <c r="E111" s="32">
        <f t="shared" si="54"/>
        <v>3.1509957146458281E-2</v>
      </c>
      <c r="F111" s="18">
        <f>IF(ISNUMBER(D111), $B118 * E111, "")</f>
        <v>3150.9957146458282</v>
      </c>
      <c r="G111" s="31">
        <v>4129000</v>
      </c>
      <c r="H111" s="32">
        <f t="shared" si="55"/>
        <v>4.0836904461809931E-2</v>
      </c>
      <c r="I111" s="101">
        <f>IF(ISNUMBER(G111), $B118 * H111, "")</f>
        <v>4083.6904461809931</v>
      </c>
      <c r="J111" s="15">
        <v>4132000</v>
      </c>
      <c r="K111" s="32">
        <f t="shared" si="56"/>
        <v>4.1593143433324931E-2</v>
      </c>
      <c r="L111" s="18">
        <f>IF(ISNUMBER(J111), $B118 * K111, "")</f>
        <v>4159.3143433324931</v>
      </c>
      <c r="M111" s="31">
        <v>4138000</v>
      </c>
      <c r="N111" s="32">
        <f t="shared" si="57"/>
        <v>4.310562137635493E-2</v>
      </c>
      <c r="O111" s="18">
        <f>IF(ISNUMBER(M111), $B118 * N111, "")</f>
        <v>4310.5621376354929</v>
      </c>
      <c r="Q111" s="222"/>
      <c r="R111" s="222"/>
      <c r="S111" s="222"/>
    </row>
    <row r="112" spans="1:19" ht="17.25" thickBot="1">
      <c r="A112" s="127" t="s">
        <v>254</v>
      </c>
      <c r="B112" s="128">
        <v>343</v>
      </c>
      <c r="C112" s="78">
        <v>3.62537764E-2</v>
      </c>
      <c r="D112" s="20">
        <v>335</v>
      </c>
      <c r="E112" s="21">
        <f t="shared" si="54"/>
        <v>-2.3323615160349854E-2</v>
      </c>
      <c r="F112" s="22">
        <f>IF(ISNUMBER(D112), $B118 * E112, "")</f>
        <v>-2332.3615160349855</v>
      </c>
      <c r="G112" s="30">
        <v>338</v>
      </c>
      <c r="H112" s="21">
        <f t="shared" si="55"/>
        <v>-1.4577259475218658E-2</v>
      </c>
      <c r="I112" s="105">
        <f>IF(ISNUMBER(G112), $B118 * H112, "")</f>
        <v>-1457.7259475218659</v>
      </c>
      <c r="J112" s="20">
        <v>346</v>
      </c>
      <c r="K112" s="21">
        <f t="shared" si="56"/>
        <v>8.7463556851311956E-3</v>
      </c>
      <c r="L112" s="22">
        <f>IF(ISNUMBER(J112), $B118 * K112, "")</f>
        <v>874.63556851311955</v>
      </c>
      <c r="M112" s="30">
        <v>341</v>
      </c>
      <c r="N112" s="21">
        <f t="shared" si="57"/>
        <v>-5.8309037900874635E-3</v>
      </c>
      <c r="O112" s="22">
        <f>IF(ISNUMBER(M112), $B118 * N112, "")</f>
        <v>-583.09037900874637</v>
      </c>
      <c r="Q112" s="222"/>
      <c r="R112" s="222"/>
      <c r="S112" s="222"/>
    </row>
    <row r="113" spans="1:19" ht="17.25" thickBot="1">
      <c r="A113" s="125" t="s">
        <v>246</v>
      </c>
      <c r="B113" s="129">
        <v>9520</v>
      </c>
      <c r="C113" s="80">
        <v>3.4782608700000002E-2</v>
      </c>
      <c r="D113" s="106">
        <v>9285</v>
      </c>
      <c r="E113" s="107">
        <f>IF(ISNUMBER(D113), (D113 - $B113) / $B113, "")</f>
        <v>-2.4684873949579831E-2</v>
      </c>
      <c r="F113" s="108">
        <f>IF(ISNUMBER(D113), $B118 * E113, "")</f>
        <v>-2468.4873949579833</v>
      </c>
      <c r="G113" s="109">
        <v>9435</v>
      </c>
      <c r="H113" s="107">
        <f>IF(ISNUMBER(G113), (G113 - $B113) / $B113, "")</f>
        <v>-8.9285714285714281E-3</v>
      </c>
      <c r="I113" s="110">
        <f>IF(ISNUMBER(G113), $B118 * H113, "")</f>
        <v>-892.85714285714278</v>
      </c>
      <c r="J113" s="106">
        <v>9605</v>
      </c>
      <c r="K113" s="107">
        <f>IF(ISNUMBER(J113), (J113 - $B113) / $B113, "")</f>
        <v>8.9285714285714281E-3</v>
      </c>
      <c r="L113" s="108">
        <f>IF(ISNUMBER(J113), $B118 * K113, "")</f>
        <v>892.85714285714278</v>
      </c>
      <c r="M113" s="109">
        <v>9560</v>
      </c>
      <c r="N113" s="107">
        <f>IF(ISNUMBER(M113), (M113 - $B113) / $B113, "")</f>
        <v>4.2016806722689074E-3</v>
      </c>
      <c r="O113" s="108">
        <f>IF(ISNUMBER(M113), $B118 * N113, "")</f>
        <v>420.16806722689074</v>
      </c>
      <c r="Q113" s="227"/>
      <c r="R113" s="227"/>
      <c r="S113" s="227"/>
    </row>
    <row r="114" spans="1:19" ht="17.25" thickBot="1">
      <c r="A114" s="125" t="s">
        <v>122</v>
      </c>
      <c r="B114" s="126">
        <v>38.700000000000003</v>
      </c>
      <c r="C114" s="77">
        <v>3.2000000000000001E-2</v>
      </c>
      <c r="D114" s="15">
        <v>41</v>
      </c>
      <c r="E114" s="32">
        <f t="shared" ref="E114:E117" si="58">IF(ISNUMBER(D114), (D114 - $B114) / $B114, "")</f>
        <v>5.9431524547803538E-2</v>
      </c>
      <c r="F114" s="18">
        <f>IF(ISNUMBER(D114), $B118 * E114, "")</f>
        <v>5943.1524547803538</v>
      </c>
      <c r="G114" s="31">
        <v>40.799999999999997</v>
      </c>
      <c r="H114" s="32">
        <f t="shared" ref="H114:H117" si="59">IF(ISNUMBER(G114), (G114 - $B114) / $B114, "")</f>
        <v>5.4263565891472715E-2</v>
      </c>
      <c r="I114" s="101">
        <f>IF(ISNUMBER(G114), $B118 * H114, "")</f>
        <v>5426.3565891472717</v>
      </c>
      <c r="J114" s="15">
        <v>40.1</v>
      </c>
      <c r="K114" s="32">
        <f t="shared" ref="K114:K117" si="60">IF(ISNUMBER(J114), (J114 - $B114) / $B114, "")</f>
        <v>3.6175710594315208E-2</v>
      </c>
      <c r="L114" s="18">
        <f>IF(ISNUMBER(J114), $B118 * K114, "")</f>
        <v>3617.571059431521</v>
      </c>
      <c r="M114" s="31">
        <v>40.799999999999997</v>
      </c>
      <c r="N114" s="32">
        <f t="shared" ref="N114:N117" si="61">IF(ISNUMBER(M114), (M114 - $B114) / $B114, "")</f>
        <v>5.4263565891472715E-2</v>
      </c>
      <c r="O114" s="18">
        <f>IF(ISNUMBER(M114), $B118 * N114, "")</f>
        <v>5426.3565891472717</v>
      </c>
      <c r="Q114" s="227"/>
      <c r="R114" s="227"/>
      <c r="S114" s="227"/>
    </row>
    <row r="115" spans="1:19" ht="17.25" thickBot="1">
      <c r="A115" s="125" t="s">
        <v>182</v>
      </c>
      <c r="B115" s="126">
        <v>75670</v>
      </c>
      <c r="C115" s="77">
        <v>2.9103767199999998E-2</v>
      </c>
      <c r="D115" s="15">
        <v>73560</v>
      </c>
      <c r="E115" s="32">
        <f t="shared" si="58"/>
        <v>-2.7884234174705959E-2</v>
      </c>
      <c r="F115" s="18">
        <f>IF(ISNUMBER(D115), $B118 * E115, "")</f>
        <v>-2788.4234174705957</v>
      </c>
      <c r="G115" s="31">
        <v>73700</v>
      </c>
      <c r="H115" s="32">
        <f t="shared" si="59"/>
        <v>-2.6034095414298929E-2</v>
      </c>
      <c r="I115" s="101">
        <f>IF(ISNUMBER(G115), $B118 * H115, "")</f>
        <v>-2603.4095414298927</v>
      </c>
      <c r="J115" s="15">
        <v>74300</v>
      </c>
      <c r="K115" s="32">
        <f t="shared" si="60"/>
        <v>-1.8104929298268797E-2</v>
      </c>
      <c r="L115" s="18">
        <f>IF(ISNUMBER(J115), $B118 * K115, "")</f>
        <v>-1810.4929298268798</v>
      </c>
      <c r="M115" s="31">
        <v>74150</v>
      </c>
      <c r="N115" s="32">
        <f t="shared" si="61"/>
        <v>-2.008722082727633E-2</v>
      </c>
      <c r="O115" s="18">
        <f>IF(ISNUMBER(M115), $B118 * N115, "")</f>
        <v>-2008.7220827276331</v>
      </c>
      <c r="Q115" s="227"/>
      <c r="R115" s="227"/>
      <c r="S115" s="227"/>
    </row>
    <row r="116" spans="1:19">
      <c r="A116" s="125" t="s">
        <v>226</v>
      </c>
      <c r="B116" s="126">
        <v>2070</v>
      </c>
      <c r="C116" s="77">
        <v>2.7295285400000001E-2</v>
      </c>
      <c r="D116" s="15">
        <v>2025</v>
      </c>
      <c r="E116" s="32">
        <f t="shared" si="58"/>
        <v>-2.1739130434782608E-2</v>
      </c>
      <c r="F116" s="18">
        <f>IF(ISNUMBER(D116), $B118 * E116, "")</f>
        <v>-2173.913043478261</v>
      </c>
      <c r="G116" s="31">
        <v>2045</v>
      </c>
      <c r="H116" s="32">
        <f t="shared" si="59"/>
        <v>-1.2077294685990338E-2</v>
      </c>
      <c r="I116" s="101">
        <f>IF(ISNUMBER(G116), $B118 * H116, "")</f>
        <v>-1207.7294685990339</v>
      </c>
      <c r="J116" s="15">
        <v>2065</v>
      </c>
      <c r="K116" s="32">
        <f t="shared" si="60"/>
        <v>-2.4154589371980675E-3</v>
      </c>
      <c r="L116" s="18">
        <f>IF(ISNUMBER(J116), $B118 * K116, "")</f>
        <v>-241.54589371980674</v>
      </c>
      <c r="M116" s="31">
        <v>2050</v>
      </c>
      <c r="N116" s="32">
        <f t="shared" si="61"/>
        <v>-9.6618357487922701E-3</v>
      </c>
      <c r="O116" s="18">
        <f>IF(ISNUMBER(M116), $B118 * N116, "")</f>
        <v>-966.18357487922697</v>
      </c>
      <c r="Q116" s="249"/>
      <c r="R116" s="250"/>
      <c r="S116" s="251"/>
    </row>
    <row r="117" spans="1:19" ht="17.25" thickBot="1">
      <c r="A117" s="130" t="s">
        <v>242</v>
      </c>
      <c r="B117" s="131">
        <v>572</v>
      </c>
      <c r="C117" s="79">
        <v>2.6929982000000002E-2</v>
      </c>
      <c r="D117" s="24">
        <v>571</v>
      </c>
      <c r="E117" s="25">
        <f t="shared" si="58"/>
        <v>-1.7482517482517483E-3</v>
      </c>
      <c r="F117" s="104">
        <f>IF(ISNUMBER(D117), $B118 * E117, "")</f>
        <v>-174.82517482517483</v>
      </c>
      <c r="G117" s="102">
        <v>565</v>
      </c>
      <c r="H117" s="25">
        <f t="shared" si="59"/>
        <v>-1.2237762237762238E-2</v>
      </c>
      <c r="I117" s="103">
        <f>IF(ISNUMBER(G117), $B118 * H117, "")</f>
        <v>-1223.7762237762238</v>
      </c>
      <c r="J117" s="24">
        <v>585</v>
      </c>
      <c r="K117" s="25">
        <f t="shared" si="60"/>
        <v>2.2727272727272728E-2</v>
      </c>
      <c r="L117" s="104">
        <f>IF(ISNUMBER(J117), $B118 * K117, "")</f>
        <v>2272.727272727273</v>
      </c>
      <c r="M117" s="102">
        <v>580</v>
      </c>
      <c r="N117" s="25">
        <f t="shared" si="61"/>
        <v>1.3986013986013986E-2</v>
      </c>
      <c r="O117" s="104">
        <f>IF(ISNUMBER(M117), $B118 * N117, "")</f>
        <v>1398.6013986013986</v>
      </c>
      <c r="Q117" s="252"/>
      <c r="R117" s="253"/>
      <c r="S117" s="254"/>
    </row>
    <row r="118" spans="1:19" ht="17.25" thickBot="1">
      <c r="A118" s="132" t="s">
        <v>270</v>
      </c>
      <c r="B118" s="260">
        <f>$B$37</f>
        <v>100000</v>
      </c>
      <c r="C118" s="261"/>
      <c r="D118" s="26" t="s">
        <v>271</v>
      </c>
      <c r="E118" s="27">
        <f>IF(COUNT(E98:E117), SUM(E98:E117) / COUNT(E98:E117), 0)</f>
        <v>-2.0078986917333112E-2</v>
      </c>
      <c r="F118" s="28">
        <f>SUM(F98:F117)</f>
        <v>-40157.973834666227</v>
      </c>
      <c r="G118" s="26" t="s">
        <v>271</v>
      </c>
      <c r="H118" s="27">
        <f>IF(COUNT(H98:H117), SUM(H98:H117) / COUNT(H98:H117), 0)</f>
        <v>-1.1444836311910934E-2</v>
      </c>
      <c r="I118" s="28">
        <f>SUM(I98:I117)</f>
        <v>-22889.672623821854</v>
      </c>
      <c r="J118" s="26" t="s">
        <v>271</v>
      </c>
      <c r="K118" s="27">
        <f>IF(COUNT(K98:K117), SUM(K98:K117) / COUNT(K98:K117), 0)</f>
        <v>-2.6816957284598128E-4</v>
      </c>
      <c r="L118" s="28">
        <f>SUM(L98:L117)</f>
        <v>-536.33914569196077</v>
      </c>
      <c r="M118" s="26" t="s">
        <v>271</v>
      </c>
      <c r="N118" s="27">
        <f>IF(COUNT(N98:N117), SUM(N98:N117) / COUNT(N98:N117), 0)</f>
        <v>-9.7467286820531363E-4</v>
      </c>
      <c r="O118" s="28">
        <f>SUM(O98:O117)</f>
        <v>-1949.3457364106275</v>
      </c>
      <c r="Q118" s="255"/>
      <c r="R118" s="256"/>
      <c r="S118" s="257"/>
    </row>
    <row r="120" spans="1:19" ht="17.25" thickBot="1"/>
    <row r="121" spans="1:19" ht="17.25" thickBot="1">
      <c r="A121" s="201" t="s">
        <v>258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57" t="s">
        <v>267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55149000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2.1442459999999998E-3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2021-09-01(수) 오전 00:00</v>
      </c>
      <c r="C123" s="265"/>
      <c r="D123" s="224" t="str">
        <f>TEXT($G$1, "[$-ko-KR]yyyy-mm-dd(ddd) ") &amp; "오후 14:00"</f>
        <v>2021-09-01(수) 오후 14:00</v>
      </c>
      <c r="E123" s="225"/>
      <c r="F123" s="226"/>
      <c r="G123" s="224" t="str">
        <f>TEXT($G$1, "[$-ko-KR]yyyy-mm-dd(ddd) ") &amp; "오후 19:00"</f>
        <v>2021-09-01(수) 오후 19:00</v>
      </c>
      <c r="H123" s="225"/>
      <c r="I123" s="226"/>
      <c r="J123" s="224" t="str">
        <f>TEXT($G$1, "[$-ko-KR]yyyy-mm-dd(ddd) ") &amp; "오후 21:00"</f>
        <v>2021-09-01(수) 오후 21:00</v>
      </c>
      <c r="K123" s="225"/>
      <c r="L123" s="226"/>
      <c r="M123" s="224" t="str">
        <f>TEXT($G$1+1, "[$-ko-KR]yyyy-mm-dd(ddd) ") &amp; "오전 00:00"</f>
        <v>2021-09-02(목)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7"/>
      <c r="R124" s="227"/>
      <c r="S124" s="227"/>
    </row>
    <row r="125" spans="1:19" ht="17.25" thickBot="1">
      <c r="A125" s="123" t="s">
        <v>122</v>
      </c>
      <c r="B125" s="124">
        <v>38.700000000000003</v>
      </c>
      <c r="C125" s="76">
        <v>3.2000000000000001E-2</v>
      </c>
      <c r="D125" s="13">
        <v>41</v>
      </c>
      <c r="E125" s="14">
        <f>IF(ISNUMBER(D125), (D125 - $B125) / $B125, "")</f>
        <v>5.9431524547803538E-2</v>
      </c>
      <c r="F125" s="16">
        <f>IF(ISNUMBER(D125), $B145 * E125, "")</f>
        <v>5943.1524547803538</v>
      </c>
      <c r="G125" s="29">
        <v>40.799999999999997</v>
      </c>
      <c r="H125" s="14">
        <f>IF(ISNUMBER(G125), (G125 - $B125) / $B125, "")</f>
        <v>5.4263565891472715E-2</v>
      </c>
      <c r="I125" s="100">
        <f>IF(ISNUMBER(G125), $B145 * H125, "")</f>
        <v>5426.3565891472717</v>
      </c>
      <c r="J125" s="13">
        <v>40.1</v>
      </c>
      <c r="K125" s="14">
        <f>IF(ISNUMBER(J125), (J125 - $B125) / $B125, "")</f>
        <v>3.6175710594315208E-2</v>
      </c>
      <c r="L125" s="16">
        <f>IF(ISNUMBER(J125), $B145 * K125, "")</f>
        <v>3617.571059431521</v>
      </c>
      <c r="M125" s="29">
        <v>40.799999999999997</v>
      </c>
      <c r="N125" s="14">
        <f>IF(ISNUMBER(M125), (M125 - $B125) / $B125, "")</f>
        <v>5.4263565891472715E-2</v>
      </c>
      <c r="O125" s="16">
        <f>IF(ISNUMBER(M125), $B145 * N125, "")</f>
        <v>5426.3565891472717</v>
      </c>
      <c r="Q125" s="222"/>
      <c r="R125" s="222"/>
      <c r="S125" s="222"/>
    </row>
    <row r="126" spans="1:19" ht="17.25" thickBot="1">
      <c r="A126" s="125" t="s">
        <v>98</v>
      </c>
      <c r="B126" s="126">
        <v>4.88</v>
      </c>
      <c r="C126" s="77">
        <v>2.3060796599999999E-2</v>
      </c>
      <c r="D126" s="15">
        <v>4.96</v>
      </c>
      <c r="E126" s="32">
        <f t="shared" ref="E126:E129" si="62">IF(ISNUMBER(D126), (D126 - $B126) / $B126, "")</f>
        <v>1.6393442622950834E-2</v>
      </c>
      <c r="F126" s="18">
        <f>IF(ISNUMBER(D126), $B145 * E126, "")</f>
        <v>1639.3442622950834</v>
      </c>
      <c r="G126" s="31">
        <v>5.05</v>
      </c>
      <c r="H126" s="32">
        <f t="shared" ref="H126:H129" si="63">IF(ISNUMBER(G126), (G126 - $B126) / $B126, "")</f>
        <v>3.4836065573770475E-2</v>
      </c>
      <c r="I126" s="101">
        <f>IF(ISNUMBER(G126), $B145 * H126, "")</f>
        <v>3483.6065573770475</v>
      </c>
      <c r="J126" s="15">
        <v>5.1100000000000003</v>
      </c>
      <c r="K126" s="32">
        <f t="shared" ref="K126:K129" si="64">IF(ISNUMBER(J126), (J126 - $B126) / $B126, "")</f>
        <v>4.7131147540983694E-2</v>
      </c>
      <c r="L126" s="18">
        <f>IF(ISNUMBER(J126), $B145 * K126, "")</f>
        <v>4713.1147540983693</v>
      </c>
      <c r="M126" s="31">
        <v>5.05</v>
      </c>
      <c r="N126" s="32">
        <f t="shared" ref="N126:N129" si="65">IF(ISNUMBER(M126), (M126 - $B126) / $B126, "")</f>
        <v>3.4836065573770475E-2</v>
      </c>
      <c r="O126" s="18">
        <f>IF(ISNUMBER(M126), $B145 * N126, "")</f>
        <v>3483.6065573770475</v>
      </c>
      <c r="Q126" s="222"/>
      <c r="R126" s="222"/>
      <c r="S126" s="222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</v>
      </c>
      <c r="E127" s="32">
        <f t="shared" si="62"/>
        <v>-5.2356020942409117E-3</v>
      </c>
      <c r="F127" s="18">
        <f>IF(ISNUMBER(D127), $B145 * E127, "")</f>
        <v>-523.56020942409123</v>
      </c>
      <c r="G127" s="31">
        <v>19.8</v>
      </c>
      <c r="H127" s="32">
        <f t="shared" si="63"/>
        <v>3.6649214659685826E-2</v>
      </c>
      <c r="I127" s="101">
        <f>IF(ISNUMBER(G127), $B145 * H127, "")</f>
        <v>3664.9214659685827</v>
      </c>
      <c r="J127" s="15">
        <v>19.5</v>
      </c>
      <c r="K127" s="32">
        <f t="shared" si="64"/>
        <v>2.0942408376963276E-2</v>
      </c>
      <c r="L127" s="18">
        <f>IF(ISNUMBER(J127), $B145 * K127, "")</f>
        <v>2094.2408376963276</v>
      </c>
      <c r="M127" s="31">
        <v>19.399999999999999</v>
      </c>
      <c r="N127" s="32">
        <f t="shared" si="65"/>
        <v>1.5706806282722363E-2</v>
      </c>
      <c r="O127" s="18">
        <f>IF(ISNUMBER(M127), $B145 * N127, "")</f>
        <v>1570.6806282722364</v>
      </c>
      <c r="Q127" s="227"/>
      <c r="R127" s="227"/>
      <c r="S127" s="227"/>
    </row>
    <row r="128" spans="1:19" ht="17.25" thickBot="1">
      <c r="A128" s="125" t="s">
        <v>208</v>
      </c>
      <c r="B128" s="126">
        <v>14</v>
      </c>
      <c r="C128" s="77">
        <v>7.1942446E-3</v>
      </c>
      <c r="D128" s="15">
        <v>14.2</v>
      </c>
      <c r="E128" s="32">
        <f t="shared" si="62"/>
        <v>1.4285714285714235E-2</v>
      </c>
      <c r="F128" s="18">
        <f>IF(ISNUMBER(D128), $B145 * E128, "")</f>
        <v>1428.5714285714234</v>
      </c>
      <c r="G128" s="31">
        <v>14.6</v>
      </c>
      <c r="H128" s="32">
        <f t="shared" si="63"/>
        <v>4.285714285714283E-2</v>
      </c>
      <c r="I128" s="101">
        <f>IF(ISNUMBER(G128), $B145 * H128, "")</f>
        <v>4285.7142857142826</v>
      </c>
      <c r="J128" s="15">
        <v>14.4</v>
      </c>
      <c r="K128" s="32">
        <f t="shared" si="64"/>
        <v>2.8571428571428598E-2</v>
      </c>
      <c r="L128" s="18">
        <f>IF(ISNUMBER(J128), $B145 * K128, "")</f>
        <v>2857.1428571428596</v>
      </c>
      <c r="M128" s="31">
        <v>14.3</v>
      </c>
      <c r="N128" s="32">
        <f t="shared" si="65"/>
        <v>2.1428571428571481E-2</v>
      </c>
      <c r="O128" s="18">
        <f>IF(ISNUMBER(M128), $B145 * N128, "")</f>
        <v>2142.8571428571481</v>
      </c>
      <c r="Q128" s="227"/>
      <c r="R128" s="227"/>
      <c r="S128" s="227"/>
    </row>
    <row r="129" spans="1:19" ht="17.25" thickBot="1">
      <c r="A129" s="127" t="s">
        <v>250</v>
      </c>
      <c r="B129" s="128">
        <v>84.1</v>
      </c>
      <c r="C129" s="78">
        <v>4.7789725E-3</v>
      </c>
      <c r="D129" s="20">
        <v>85.7</v>
      </c>
      <c r="E129" s="21">
        <f t="shared" si="62"/>
        <v>1.902497027348405E-2</v>
      </c>
      <c r="F129" s="22">
        <f>IF(ISNUMBER(D129), $B145 * E129, "")</f>
        <v>1902.497027348405</v>
      </c>
      <c r="G129" s="30">
        <v>87.5</v>
      </c>
      <c r="H129" s="21">
        <f t="shared" si="63"/>
        <v>4.042806183115346E-2</v>
      </c>
      <c r="I129" s="105">
        <f>IF(ISNUMBER(G129), $B145 * H129, "")</f>
        <v>4042.8061831153459</v>
      </c>
      <c r="J129" s="20">
        <v>90.6</v>
      </c>
      <c r="K129" s="21">
        <f t="shared" si="64"/>
        <v>7.7288941736028544E-2</v>
      </c>
      <c r="L129" s="22">
        <f>IF(ISNUMBER(J129), $B145 * K129, "")</f>
        <v>7728.8941736028546</v>
      </c>
      <c r="M129" s="30">
        <v>88.8</v>
      </c>
      <c r="N129" s="21">
        <f t="shared" si="65"/>
        <v>5.5885850178359134E-2</v>
      </c>
      <c r="O129" s="22">
        <f>IF(ISNUMBER(M129), $B145 * N129, "")</f>
        <v>5588.5850178359133</v>
      </c>
      <c r="Q129" s="227"/>
      <c r="R129" s="227"/>
      <c r="S129" s="227"/>
    </row>
    <row r="130" spans="1:19" ht="17.25" thickBot="1">
      <c r="A130" s="125" t="s">
        <v>240</v>
      </c>
      <c r="B130" s="129">
        <v>72.3</v>
      </c>
      <c r="C130" s="80">
        <v>4.1666667000000001E-3</v>
      </c>
      <c r="D130" s="106">
        <v>72.099999999999994</v>
      </c>
      <c r="E130" s="107">
        <f>IF(ISNUMBER(D130), (D130 - $B130) / $B130, "")</f>
        <v>-2.7662517289073702E-3</v>
      </c>
      <c r="F130" s="108">
        <f>IF(ISNUMBER(D130), $B145 * E130, "")</f>
        <v>-276.62517289073702</v>
      </c>
      <c r="G130" s="109">
        <v>73.3</v>
      </c>
      <c r="H130" s="107">
        <f>IF(ISNUMBER(G130), (G130 - $B130) / $B130, "")</f>
        <v>1.3831258644536654E-2</v>
      </c>
      <c r="I130" s="110">
        <f>IF(ISNUMBER(G130), $B145 * H130, "")</f>
        <v>1383.1258644536654</v>
      </c>
      <c r="J130" s="106">
        <v>73.900000000000006</v>
      </c>
      <c r="K130" s="107">
        <f>IF(ISNUMBER(J130), (J130 - $B130) / $B130, "")</f>
        <v>2.2130013831258764E-2</v>
      </c>
      <c r="L130" s="108">
        <f>IF(ISNUMBER(J130), $B145 * K130, "")</f>
        <v>2213.0013831258761</v>
      </c>
      <c r="M130" s="109">
        <v>73.5</v>
      </c>
      <c r="N130" s="107">
        <f>IF(ISNUMBER(M130), (M130 - $B130) / $B130, "")</f>
        <v>1.6597510373444025E-2</v>
      </c>
      <c r="O130" s="108">
        <f>IF(ISNUMBER(M130), $B145 * N130, "")</f>
        <v>1659.7510373444024</v>
      </c>
      <c r="Q130" s="227"/>
      <c r="R130" s="227"/>
      <c r="S130" s="227"/>
    </row>
    <row r="131" spans="1:19" ht="17.25" thickBot="1">
      <c r="A131" s="125" t="s">
        <v>72</v>
      </c>
      <c r="B131" s="126">
        <v>25.1</v>
      </c>
      <c r="C131" s="77">
        <v>4.0000000000000001E-3</v>
      </c>
      <c r="D131" s="15">
        <v>25.3</v>
      </c>
      <c r="E131" s="32">
        <f t="shared" ref="E131:E134" si="66">IF(ISNUMBER(D131), (D131 - $B131) / $B131, "")</f>
        <v>7.9681274900398127E-3</v>
      </c>
      <c r="F131" s="18">
        <f>IF(ISNUMBER(D131), $B145 * E131, "")</f>
        <v>796.81274900398125</v>
      </c>
      <c r="G131" s="31">
        <v>26</v>
      </c>
      <c r="H131" s="32">
        <f t="shared" ref="H131:H134" si="67">IF(ISNUMBER(G131), (G131 - $B131) / $B131, "")</f>
        <v>3.5856573705179223E-2</v>
      </c>
      <c r="I131" s="101">
        <f>IF(ISNUMBER(G131), $B145 * H131, "")</f>
        <v>3585.6573705179221</v>
      </c>
      <c r="J131" s="15">
        <v>25.9</v>
      </c>
      <c r="K131" s="32">
        <f t="shared" ref="K131:K134" si="68">IF(ISNUMBER(J131), (J131 - $B131) / $B131, "")</f>
        <v>3.1872509960159251E-2</v>
      </c>
      <c r="L131" s="18">
        <f>IF(ISNUMBER(J131), $B145 * K131, "")</f>
        <v>3187.250996015925</v>
      </c>
      <c r="M131" s="31">
        <v>26</v>
      </c>
      <c r="N131" s="32">
        <f t="shared" ref="N131:N134" si="69">IF(ISNUMBER(M131), (M131 - $B131) / $B131, "")</f>
        <v>3.5856573705179223E-2</v>
      </c>
      <c r="O131" s="18">
        <f>IF(ISNUMBER(M131), $B145 * N131, "")</f>
        <v>3585.6573705179221</v>
      </c>
      <c r="Q131" s="227"/>
      <c r="R131" s="227"/>
      <c r="S131" s="227"/>
    </row>
    <row r="132" spans="1:19" ht="17.25" thickBot="1">
      <c r="A132" s="125" t="s">
        <v>204</v>
      </c>
      <c r="B132" s="126">
        <v>15.4</v>
      </c>
      <c r="C132" s="77">
        <v>0</v>
      </c>
      <c r="D132" s="15">
        <v>15.4</v>
      </c>
      <c r="E132" s="32">
        <f t="shared" si="66"/>
        <v>0</v>
      </c>
      <c r="F132" s="18">
        <f>IF(ISNUMBER(D132), $B145 * E132, "")</f>
        <v>0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16.399999999999999</v>
      </c>
      <c r="K132" s="32">
        <f t="shared" si="68"/>
        <v>6.4935064935064818E-2</v>
      </c>
      <c r="L132" s="18">
        <f>IF(ISNUMBER(J132), $B145 * K132, "")</f>
        <v>6493.506493506482</v>
      </c>
      <c r="M132" s="31">
        <v>15.8</v>
      </c>
      <c r="N132" s="32">
        <f t="shared" si="69"/>
        <v>2.5974025974025997E-2</v>
      </c>
      <c r="O132" s="18">
        <f>IF(ISNUMBER(M132), $B145 * N132, "")</f>
        <v>2597.4025974025994</v>
      </c>
      <c r="Q132" s="227"/>
      <c r="R132" s="227"/>
      <c r="S132" s="227"/>
    </row>
    <row r="133" spans="1:19" ht="17.25" thickBot="1">
      <c r="A133" s="125" t="s">
        <v>178</v>
      </c>
      <c r="B133" s="126">
        <v>18.600000000000001</v>
      </c>
      <c r="C133" s="77">
        <v>0</v>
      </c>
      <c r="D133" s="15">
        <v>19.100000000000001</v>
      </c>
      <c r="E133" s="32">
        <f t="shared" si="66"/>
        <v>2.6881720430107524E-2</v>
      </c>
      <c r="F133" s="18">
        <f>IF(ISNUMBER(D133), $B145 * E133, "")</f>
        <v>2688.1720430107525</v>
      </c>
      <c r="G133" s="31">
        <v>19.600000000000001</v>
      </c>
      <c r="H133" s="32">
        <f t="shared" si="67"/>
        <v>5.3763440860215048E-2</v>
      </c>
      <c r="I133" s="101">
        <f>IF(ISNUMBER(G133), $B145 * H133, "")</f>
        <v>5376.3440860215051</v>
      </c>
      <c r="J133" s="15">
        <v>19.5</v>
      </c>
      <c r="K133" s="32">
        <f t="shared" si="68"/>
        <v>4.8387096774193471E-2</v>
      </c>
      <c r="L133" s="18">
        <f>IF(ISNUMBER(J133), $B145 * K133, "")</f>
        <v>4838.7096774193469</v>
      </c>
      <c r="M133" s="31">
        <v>19.8</v>
      </c>
      <c r="N133" s="32">
        <f t="shared" si="69"/>
        <v>6.4516129032258021E-2</v>
      </c>
      <c r="O133" s="18">
        <f>IF(ISNUMBER(M133), $B145 * N133, "")</f>
        <v>6451.6129032258023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0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11.9</v>
      </c>
      <c r="H134" s="25">
        <f t="shared" si="67"/>
        <v>6.2500000000000097E-2</v>
      </c>
      <c r="I134" s="103">
        <f>IF(ISNUMBER(G134), $B145 * H134, "")</f>
        <v>6250.00000000001</v>
      </c>
      <c r="J134" s="24">
        <v>11.7</v>
      </c>
      <c r="K134" s="25">
        <f t="shared" si="68"/>
        <v>4.4642857142857144E-2</v>
      </c>
      <c r="L134" s="104">
        <f>IF(ISNUMBER(J134), $B145 * K134, "")</f>
        <v>4464.2857142857147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36"/>
      <c r="R134" s="237"/>
      <c r="S134" s="238"/>
    </row>
    <row r="135" spans="1:19">
      <c r="A135" s="123" t="s">
        <v>65</v>
      </c>
      <c r="B135" s="124">
        <v>48.9</v>
      </c>
      <c r="C135" s="76">
        <v>-2.0408163000000001E-3</v>
      </c>
      <c r="D135" s="13">
        <v>48.9</v>
      </c>
      <c r="E135" s="14">
        <f>IF(ISNUMBER(D135), (D135 - $B135) / $B135, "")</f>
        <v>0</v>
      </c>
      <c r="F135" s="16">
        <f>IF(ISNUMBER(D135), $B145 * E135, "")</f>
        <v>0</v>
      </c>
      <c r="G135" s="29">
        <v>49.9</v>
      </c>
      <c r="H135" s="14">
        <f>IF(ISNUMBER(G135), (G135 - $B135) / $B135, "")</f>
        <v>2.0449897750511249E-2</v>
      </c>
      <c r="I135" s="100">
        <f>IF(ISNUMBER(G135), $B145 * H135, "")</f>
        <v>2044.9897750511248</v>
      </c>
      <c r="J135" s="13">
        <v>50.4</v>
      </c>
      <c r="K135" s="14">
        <f>IF(ISNUMBER(J135), (J135 - $B135) / $B135, "")</f>
        <v>3.0674846625766871E-2</v>
      </c>
      <c r="L135" s="16">
        <f>IF(ISNUMBER(J135), $B145 * K135, "")</f>
        <v>3067.4846625766872</v>
      </c>
      <c r="M135" s="29">
        <v>50</v>
      </c>
      <c r="N135" s="14">
        <f>IF(ISNUMBER(M135), (M135 - $B135) / $B135, "")</f>
        <v>2.2494887525562401E-2</v>
      </c>
      <c r="O135" s="16">
        <f>IF(ISNUMBER(M135), $B145 * N135, "")</f>
        <v>2249.4887525562399</v>
      </c>
      <c r="Q135" s="239"/>
      <c r="R135" s="240"/>
      <c r="S135" s="241"/>
    </row>
    <row r="136" spans="1:19" ht="17.25" thickBot="1">
      <c r="A136" s="125" t="s">
        <v>148</v>
      </c>
      <c r="B136" s="126">
        <v>23.2</v>
      </c>
      <c r="C136" s="77">
        <v>-4.2918454999999996E-3</v>
      </c>
      <c r="D136" s="15">
        <v>23.2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23.6</v>
      </c>
      <c r="H136" s="32">
        <f t="shared" ref="H136:H139" si="71">IF(ISNUMBER(G136), (G136 - $B136) / $B136, "")</f>
        <v>1.7241379310344921E-2</v>
      </c>
      <c r="I136" s="101">
        <f>IF(ISNUMBER(G136), $B145 * H136, "")</f>
        <v>1724.1379310344921</v>
      </c>
      <c r="J136" s="15">
        <v>24.1</v>
      </c>
      <c r="K136" s="32">
        <f t="shared" ref="K136:K139" si="72">IF(ISNUMBER(J136), (J136 - $B136) / $B136, "")</f>
        <v>3.8793103448275953E-2</v>
      </c>
      <c r="L136" s="18">
        <f>IF(ISNUMBER(J136), $B145 * K136, "")</f>
        <v>3879.3103448275951</v>
      </c>
      <c r="M136" s="31">
        <v>23.8</v>
      </c>
      <c r="N136" s="32">
        <f t="shared" ref="N136:N139" si="73">IF(ISNUMBER(M136), (M136 - $B136) / $B136, "")</f>
        <v>2.5862068965517303E-2</v>
      </c>
      <c r="O136" s="18">
        <f>IF(ISNUMBER(M136), $B145 * N136, "")</f>
        <v>2586.2068965517306</v>
      </c>
      <c r="Q136" s="242"/>
      <c r="R136" s="243"/>
      <c r="S136" s="244"/>
    </row>
    <row r="137" spans="1:19" ht="17.25" thickBot="1">
      <c r="A137" s="125" t="s">
        <v>188</v>
      </c>
      <c r="B137" s="126">
        <v>13.2</v>
      </c>
      <c r="C137" s="77">
        <v>-7.5187969999999998E-3</v>
      </c>
      <c r="D137" s="15">
        <v>13.5</v>
      </c>
      <c r="E137" s="32">
        <f t="shared" si="70"/>
        <v>2.2727272727272783E-2</v>
      </c>
      <c r="F137" s="18">
        <f>IF(ISNUMBER(D137), $B145 * E137, "")</f>
        <v>2272.7272727272784</v>
      </c>
      <c r="G137" s="31">
        <v>14.3</v>
      </c>
      <c r="H137" s="32">
        <f t="shared" si="71"/>
        <v>8.333333333333344E-2</v>
      </c>
      <c r="I137" s="101">
        <f>IF(ISNUMBER(G137), $B145 * H137, "")</f>
        <v>8333.3333333333449</v>
      </c>
      <c r="J137" s="15">
        <v>14</v>
      </c>
      <c r="K137" s="32">
        <f t="shared" si="72"/>
        <v>6.0606060606060663E-2</v>
      </c>
      <c r="L137" s="18">
        <f>IF(ISNUMBER(J137), $B145 * K137, "")</f>
        <v>6060.6060606060664</v>
      </c>
      <c r="M137" s="31">
        <v>13.9</v>
      </c>
      <c r="N137" s="32">
        <f t="shared" si="73"/>
        <v>5.3030303030303115E-2</v>
      </c>
      <c r="O137" s="18">
        <f>IF(ISNUMBER(M137), $B145 * N137, "")</f>
        <v>5303.0303030303112</v>
      </c>
      <c r="Q137" s="227"/>
      <c r="R137" s="227"/>
      <c r="S137" s="227"/>
    </row>
    <row r="138" spans="1:19" ht="17.25" thickBot="1">
      <c r="A138" s="125" t="s">
        <v>150</v>
      </c>
      <c r="B138" s="126">
        <v>13</v>
      </c>
      <c r="C138" s="77">
        <v>-7.6335878000000001E-3</v>
      </c>
      <c r="D138" s="15">
        <v>13.1</v>
      </c>
      <c r="E138" s="32">
        <f t="shared" si="70"/>
        <v>7.692307692307665E-3</v>
      </c>
      <c r="F138" s="18">
        <f>IF(ISNUMBER(D138), $B145 * E138, "")</f>
        <v>769.23076923076655</v>
      </c>
      <c r="G138" s="31">
        <v>13.6</v>
      </c>
      <c r="H138" s="32">
        <f t="shared" si="71"/>
        <v>4.6153846153846129E-2</v>
      </c>
      <c r="I138" s="101">
        <f>IF(ISNUMBER(G138), $B145 * H138, "")</f>
        <v>4615.3846153846125</v>
      </c>
      <c r="J138" s="15">
        <v>13.6</v>
      </c>
      <c r="K138" s="32">
        <f t="shared" si="72"/>
        <v>4.6153846153846129E-2</v>
      </c>
      <c r="L138" s="18">
        <f>IF(ISNUMBER(J138), $B145 * K138, "")</f>
        <v>4615.3846153846125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22"/>
      <c r="R138" s="222"/>
      <c r="S138" s="222"/>
    </row>
    <row r="139" spans="1:19" ht="17.25" thickBot="1">
      <c r="A139" s="127" t="s">
        <v>234</v>
      </c>
      <c r="B139" s="128">
        <v>84.6</v>
      </c>
      <c r="C139" s="78">
        <v>-1.05263158E-2</v>
      </c>
      <c r="D139" s="20">
        <v>84.5</v>
      </c>
      <c r="E139" s="21">
        <f t="shared" si="70"/>
        <v>-1.1820330969266469E-3</v>
      </c>
      <c r="F139" s="22">
        <f>IF(ISNUMBER(D139), $B145 * E139, "")</f>
        <v>-118.20330969266469</v>
      </c>
      <c r="G139" s="30">
        <v>84.9</v>
      </c>
      <c r="H139" s="21">
        <f t="shared" si="71"/>
        <v>3.5460992907802766E-3</v>
      </c>
      <c r="I139" s="105">
        <f>IF(ISNUMBER(G139), $B145 * H139, "")</f>
        <v>354.60992907802768</v>
      </c>
      <c r="J139" s="20">
        <v>85.8</v>
      </c>
      <c r="K139" s="21">
        <f t="shared" si="72"/>
        <v>1.4184397163120602E-2</v>
      </c>
      <c r="L139" s="22">
        <f>IF(ISNUMBER(J139), $B145 * K139, "")</f>
        <v>1418.4397163120602</v>
      </c>
      <c r="M139" s="30">
        <v>85.7</v>
      </c>
      <c r="N139" s="21">
        <f t="shared" si="73"/>
        <v>1.3002364066193955E-2</v>
      </c>
      <c r="O139" s="22">
        <f>IF(ISNUMBER(M139), $B145 * N139, "")</f>
        <v>1300.2364066193954</v>
      </c>
      <c r="Q139" s="222"/>
      <c r="R139" s="222"/>
      <c r="S139" s="222"/>
    </row>
    <row r="140" spans="1:19" ht="17.25" thickBot="1">
      <c r="A140" s="125" t="s">
        <v>202</v>
      </c>
      <c r="B140" s="129">
        <v>90.9</v>
      </c>
      <c r="C140" s="80">
        <v>-1.08813928E-2</v>
      </c>
      <c r="D140" s="106">
        <v>93.8</v>
      </c>
      <c r="E140" s="107">
        <f>IF(ISNUMBER(D140), (D140 - $B140) / $B140, "")</f>
        <v>3.1903190319031806E-2</v>
      </c>
      <c r="F140" s="108">
        <f>IF(ISNUMBER(D140), $B145 * E140, "")</f>
        <v>3190.3190319031805</v>
      </c>
      <c r="G140" s="109">
        <v>93.6</v>
      </c>
      <c r="H140" s="107">
        <f>IF(ISNUMBER(G140), (G140 - $B140) / $B140, "")</f>
        <v>2.9702970297029577E-2</v>
      </c>
      <c r="I140" s="110">
        <f>IF(ISNUMBER(G140), $B145 * H140, "")</f>
        <v>2970.2970297029578</v>
      </c>
      <c r="J140" s="106">
        <v>93.4</v>
      </c>
      <c r="K140" s="107">
        <f>IF(ISNUMBER(J140), (J140 - $B140) / $B140, "")</f>
        <v>2.75027502750275E-2</v>
      </c>
      <c r="L140" s="108">
        <f>IF(ISNUMBER(J140), $B145 * K140, "")</f>
        <v>2750.2750275027502</v>
      </c>
      <c r="M140" s="109">
        <v>92.7</v>
      </c>
      <c r="N140" s="107">
        <f>IF(ISNUMBER(M140), (M140 - $B140) / $B140, "")</f>
        <v>1.9801980198019771E-2</v>
      </c>
      <c r="O140" s="108">
        <f>IF(ISNUMBER(M140), $B145 * N140, "")</f>
        <v>1980.1980198019771</v>
      </c>
      <c r="Q140" s="227"/>
      <c r="R140" s="227"/>
      <c r="S140" s="227"/>
    </row>
    <row r="141" spans="1:19" ht="17.25" thickBot="1">
      <c r="A141" s="125" t="s">
        <v>210</v>
      </c>
      <c r="B141" s="126">
        <v>13.4</v>
      </c>
      <c r="C141" s="77">
        <v>-2.1897810199999999E-2</v>
      </c>
      <c r="D141" s="15">
        <v>15.1</v>
      </c>
      <c r="E141" s="32">
        <f t="shared" ref="E141:E144" si="74">IF(ISNUMBER(D141), (D141 - $B141) / $B141, "")</f>
        <v>0.12686567164179099</v>
      </c>
      <c r="F141" s="18">
        <f>IF(ISNUMBER(D141), $B145 * E141, "")</f>
        <v>12686.5671641791</v>
      </c>
      <c r="G141" s="31">
        <v>22.8</v>
      </c>
      <c r="H141" s="32">
        <f t="shared" ref="H141:H144" si="75">IF(ISNUMBER(G141), (G141 - $B141) / $B141, "")</f>
        <v>0.70149253731343286</v>
      </c>
      <c r="I141" s="101">
        <f>IF(ISNUMBER(G141), $B145 * H141, "")</f>
        <v>70149.253731343284</v>
      </c>
      <c r="J141" s="15">
        <v>19.8</v>
      </c>
      <c r="K141" s="32">
        <f t="shared" ref="K141:K144" si="76">IF(ISNUMBER(J141), (J141 - $B141) / $B141, "")</f>
        <v>0.47761194029850745</v>
      </c>
      <c r="L141" s="18">
        <f>IF(ISNUMBER(J141), $B145 * K141, "")</f>
        <v>47761.194029850747</v>
      </c>
      <c r="M141" s="31">
        <v>19.100000000000001</v>
      </c>
      <c r="N141" s="32">
        <f t="shared" ref="N141:N144" si="77">IF(ISNUMBER(M141), (M141 - $B141) / $B141, "")</f>
        <v>0.42537313432835827</v>
      </c>
      <c r="O141" s="18">
        <f>IF(ISNUMBER(M141), $B145 * N141, "")</f>
        <v>42537.313432835828</v>
      </c>
      <c r="Q141" s="227"/>
      <c r="R141" s="227"/>
      <c r="S141" s="22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132" t="s">
        <v>270</v>
      </c>
      <c r="B145" s="260">
        <f>$B$37</f>
        <v>100000</v>
      </c>
      <c r="C145" s="261"/>
      <c r="D145" s="26" t="s">
        <v>271</v>
      </c>
      <c r="E145" s="27">
        <f>IF(COUNT(E125:E144), SUM(E125:E144) / COUNT(E125:E144), 0)</f>
        <v>1.9583448619941168E-2</v>
      </c>
      <c r="F145" s="28">
        <f>SUM(F125:F144)</f>
        <v>33291.862653899989</v>
      </c>
      <c r="G145" s="26" t="s">
        <v>271</v>
      </c>
      <c r="H145" s="27">
        <f>IF(COUNT(H125:H144), SUM(H125:H144) / COUNT(H125:H144), 0)</f>
        <v>7.8549820347881952E-2</v>
      </c>
      <c r="I145" s="28">
        <f>SUM(I125:I144)</f>
        <v>133534.69459139931</v>
      </c>
      <c r="J145" s="26" t="s">
        <v>271</v>
      </c>
      <c r="K145" s="27">
        <f>IF(COUNT(K125:K144), SUM(K125:K144) / COUNT(K125:K144), 0)</f>
        <v>6.5741419060815168E-2</v>
      </c>
      <c r="L145" s="28">
        <f>SUM(L125:L144)</f>
        <v>111760.4124033858</v>
      </c>
      <c r="M145" s="26" t="s">
        <v>271</v>
      </c>
      <c r="N145" s="27">
        <f>IF(COUNT(N125:N144), SUM(N125:N144) / COUNT(N125:N144), 0)</f>
        <v>5.6473054380343897E-2</v>
      </c>
      <c r="O145" s="28">
        <f>SUM(O125:O144)</f>
        <v>96004.19244658461</v>
      </c>
      <c r="Q145" s="255"/>
      <c r="R145" s="256"/>
      <c r="S145" s="257"/>
    </row>
    <row r="147" spans="1:19" ht="17.25" thickBot="1"/>
    <row r="148" spans="1:19" ht="17.25" thickBot="1">
      <c r="A148" s="201" t="s">
        <v>259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57" t="s">
        <v>267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55149000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2.1442459999999998E-3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2021-09-01(수) 오전 00:00</v>
      </c>
      <c r="C150" s="265"/>
      <c r="D150" s="224" t="str">
        <f>TEXT($G$1, "[$-ko-KR]yyyy-mm-dd(ddd) ") &amp; "오후 14:00"</f>
        <v>2021-09-01(수) 오후 14:00</v>
      </c>
      <c r="E150" s="225"/>
      <c r="F150" s="226"/>
      <c r="G150" s="224" t="str">
        <f>TEXT($G$1, "[$-ko-KR]yyyy-mm-dd(ddd) ") &amp; "오후 19:00"</f>
        <v>2021-09-01(수) 오후 19:00</v>
      </c>
      <c r="H150" s="225"/>
      <c r="I150" s="226"/>
      <c r="J150" s="224" t="str">
        <f>TEXT($G$1, "[$-ko-KR]yyyy-mm-dd(ddd) ") &amp; "오후 21:00"</f>
        <v>2021-09-01(수) 오후 21:00</v>
      </c>
      <c r="K150" s="225"/>
      <c r="L150" s="226"/>
      <c r="M150" s="224" t="str">
        <f>TEXT($G$1+1, "[$-ko-KR]yyyy-mm-dd(ddd) ") &amp; "오전 00:00"</f>
        <v>2021-09-02(목)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7"/>
      <c r="R151" s="227"/>
      <c r="S151" s="227"/>
    </row>
    <row r="152" spans="1:19" ht="17.25" thickBot="1">
      <c r="A152" s="123" t="s">
        <v>206</v>
      </c>
      <c r="B152" s="124">
        <v>418</v>
      </c>
      <c r="C152" s="76">
        <v>9.6618356999999995E-3</v>
      </c>
      <c r="D152" s="13">
        <v>412</v>
      </c>
      <c r="E152" s="14">
        <f>IF(ISNUMBER(D152), (D152 - $B152) / $B152, "")</f>
        <v>-1.4354066985645933E-2</v>
      </c>
      <c r="F152" s="16">
        <f>IF(ISNUMBER(D152), $B172 * E152, "")</f>
        <v>-1435.4066985645934</v>
      </c>
      <c r="G152" s="29">
        <v>416</v>
      </c>
      <c r="H152" s="14">
        <f>IF(ISNUMBER(G152), (G152 - $B152) / $B152, "")</f>
        <v>-4.7846889952153108E-3</v>
      </c>
      <c r="I152" s="100">
        <f>IF(ISNUMBER(G152), $B172 * H152, "")</f>
        <v>-478.46889952153106</v>
      </c>
      <c r="J152" s="13">
        <v>422</v>
      </c>
      <c r="K152" s="14">
        <f>IF(ISNUMBER(J152), (J152 - $B152) / $B152, "")</f>
        <v>9.5693779904306216E-3</v>
      </c>
      <c r="L152" s="16">
        <f>IF(ISNUMBER(J152), $B172 * K152, "")</f>
        <v>956.93779904306211</v>
      </c>
      <c r="M152" s="29">
        <v>424</v>
      </c>
      <c r="N152" s="14">
        <f>IF(ISNUMBER(M152), (M152 - $B152) / $B152, "")</f>
        <v>1.4354066985645933E-2</v>
      </c>
      <c r="O152" s="16">
        <f>IF(ISNUMBER(M152), $B172 * N152, "")</f>
        <v>1435.4066985645934</v>
      </c>
      <c r="Q152" s="222"/>
      <c r="R152" s="222"/>
      <c r="S152" s="222"/>
    </row>
    <row r="153" spans="1:19" ht="17.25" thickBot="1">
      <c r="A153" s="125" t="s">
        <v>162</v>
      </c>
      <c r="B153" s="126">
        <v>111</v>
      </c>
      <c r="C153" s="77">
        <v>9.0909091000000008E-3</v>
      </c>
      <c r="D153" s="15">
        <v>111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113</v>
      </c>
      <c r="H153" s="32">
        <f t="shared" ref="H153:H156" si="79">IF(ISNUMBER(G153), (G153 - $B153) / $B153, "")</f>
        <v>1.8018018018018018E-2</v>
      </c>
      <c r="I153" s="101">
        <f>IF(ISNUMBER(G153), $B172 * H153, "")</f>
        <v>1801.8018018018017</v>
      </c>
      <c r="J153" s="15">
        <v>114</v>
      </c>
      <c r="K153" s="32">
        <f t="shared" ref="K153:K156" si="80">IF(ISNUMBER(J153), (J153 - $B153) / $B153, "")</f>
        <v>2.7027027027027029E-2</v>
      </c>
      <c r="L153" s="18">
        <f>IF(ISNUMBER(J153), $B172 * K153, "")</f>
        <v>2702.7027027027029</v>
      </c>
      <c r="M153" s="31">
        <v>114</v>
      </c>
      <c r="N153" s="32">
        <f t="shared" ref="N153:N156" si="81">IF(ISNUMBER(M153), (M153 - $B153) / $B153, "")</f>
        <v>2.7027027027027029E-2</v>
      </c>
      <c r="O153" s="18">
        <f>IF(ISNUMBER(M153), $B172 * N153, "")</f>
        <v>2702.7027027027029</v>
      </c>
      <c r="Q153" s="222"/>
      <c r="R153" s="222"/>
      <c r="S153" s="222"/>
    </row>
    <row r="154" spans="1:19" ht="17.25" thickBot="1">
      <c r="A154" s="125" t="s">
        <v>130</v>
      </c>
      <c r="B154" s="126">
        <v>136</v>
      </c>
      <c r="C154" s="77">
        <v>7.4074073999999997E-3</v>
      </c>
      <c r="D154" s="15">
        <v>135</v>
      </c>
      <c r="E154" s="32">
        <f t="shared" si="78"/>
        <v>-7.3529411764705881E-3</v>
      </c>
      <c r="F154" s="18">
        <f>IF(ISNUMBER(D154), $B172 * E154, "")</f>
        <v>-735.29411764705878</v>
      </c>
      <c r="G154" s="31">
        <v>138</v>
      </c>
      <c r="H154" s="32">
        <f t="shared" si="79"/>
        <v>1.4705882352941176E-2</v>
      </c>
      <c r="I154" s="101">
        <f>IF(ISNUMBER(G154), $B172 * H154, "")</f>
        <v>1470.5882352941176</v>
      </c>
      <c r="J154" s="15">
        <v>137</v>
      </c>
      <c r="K154" s="32">
        <f t="shared" si="80"/>
        <v>7.3529411764705881E-3</v>
      </c>
      <c r="L154" s="18">
        <f>IF(ISNUMBER(J154), $B172 * K154, "")</f>
        <v>735.29411764705878</v>
      </c>
      <c r="M154" s="31">
        <v>136</v>
      </c>
      <c r="N154" s="32">
        <f t="shared" si="81"/>
        <v>0</v>
      </c>
      <c r="O154" s="18">
        <f>IF(ISNUMBER(M154), $B172 * N154, "")</f>
        <v>0</v>
      </c>
      <c r="Q154" s="227"/>
      <c r="R154" s="227"/>
      <c r="S154" s="227"/>
    </row>
    <row r="155" spans="1:19" ht="17.25" thickBot="1">
      <c r="A155" s="125" t="s">
        <v>152</v>
      </c>
      <c r="B155" s="126">
        <v>103</v>
      </c>
      <c r="C155" s="77">
        <v>0</v>
      </c>
      <c r="D155" s="15">
        <v>105</v>
      </c>
      <c r="E155" s="32">
        <f t="shared" si="78"/>
        <v>1.9417475728155338E-2</v>
      </c>
      <c r="F155" s="18">
        <f>IF(ISNUMBER(D155), $B172 * E155, "")</f>
        <v>1941.7475728155339</v>
      </c>
      <c r="G155" s="31">
        <v>107</v>
      </c>
      <c r="H155" s="32">
        <f t="shared" si="79"/>
        <v>3.8834951456310676E-2</v>
      </c>
      <c r="I155" s="101">
        <f>IF(ISNUMBER(G155), $B172 * H155, "")</f>
        <v>3883.4951456310678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27"/>
      <c r="R155" s="227"/>
      <c r="S155" s="227"/>
    </row>
    <row r="156" spans="1:19" ht="17.25" thickBot="1">
      <c r="A156" s="127" t="s">
        <v>228</v>
      </c>
      <c r="B156" s="128">
        <v>417</v>
      </c>
      <c r="C156" s="78">
        <v>0</v>
      </c>
      <c r="D156" s="20">
        <v>415</v>
      </c>
      <c r="E156" s="21">
        <f t="shared" si="78"/>
        <v>-4.7961630695443642E-3</v>
      </c>
      <c r="F156" s="22">
        <f>IF(ISNUMBER(D156), $B172 * E156, "")</f>
        <v>-479.61630695443642</v>
      </c>
      <c r="G156" s="30">
        <v>419</v>
      </c>
      <c r="H156" s="21">
        <f t="shared" si="79"/>
        <v>4.7961630695443642E-3</v>
      </c>
      <c r="I156" s="105">
        <f>IF(ISNUMBER(G156), $B172 * H156, "")</f>
        <v>479.61630695443642</v>
      </c>
      <c r="J156" s="20">
        <v>421</v>
      </c>
      <c r="K156" s="21">
        <f t="shared" si="80"/>
        <v>9.5923261390887284E-3</v>
      </c>
      <c r="L156" s="22">
        <f>IF(ISNUMBER(J156), $B172 * K156, "")</f>
        <v>959.23261390887285</v>
      </c>
      <c r="M156" s="30">
        <v>419</v>
      </c>
      <c r="N156" s="21">
        <f t="shared" si="81"/>
        <v>4.7961630695443642E-3</v>
      </c>
      <c r="O156" s="22">
        <f>IF(ISNUMBER(M156), $B172 * N156, "")</f>
        <v>479.61630695443642</v>
      </c>
      <c r="Q156" s="227"/>
      <c r="R156" s="227"/>
      <c r="S156" s="227"/>
    </row>
    <row r="157" spans="1:19" ht="17.25" thickBot="1">
      <c r="A157" s="125" t="s">
        <v>266</v>
      </c>
      <c r="B157" s="129">
        <v>323</v>
      </c>
      <c r="C157" s="80">
        <v>0</v>
      </c>
      <c r="D157" s="106">
        <v>326</v>
      </c>
      <c r="E157" s="107">
        <f>IF(ISNUMBER(D157), (D157 - $B157) / $B157, "")</f>
        <v>9.2879256965944269E-3</v>
      </c>
      <c r="F157" s="108">
        <f>IF(ISNUMBER(D157), $B172 * E157, "")</f>
        <v>928.79256965944273</v>
      </c>
      <c r="G157" s="109">
        <v>327</v>
      </c>
      <c r="H157" s="107">
        <f>IF(ISNUMBER(G157), (G157 - $B157) / $B157, "")</f>
        <v>1.238390092879257E-2</v>
      </c>
      <c r="I157" s="110">
        <f>IF(ISNUMBER(G157), $B172 * H157, "")</f>
        <v>1238.3900928792571</v>
      </c>
      <c r="J157" s="106">
        <v>332</v>
      </c>
      <c r="K157" s="107">
        <f>IF(ISNUMBER(J157), (J157 - $B157) / $B157, "")</f>
        <v>2.7863777089783281E-2</v>
      </c>
      <c r="L157" s="108">
        <f>IF(ISNUMBER(J157), $B172 * K157, "")</f>
        <v>2786.377708978328</v>
      </c>
      <c r="M157" s="109">
        <v>328</v>
      </c>
      <c r="N157" s="107">
        <f>IF(ISNUMBER(M157), (M157 - $B157) / $B157, "")</f>
        <v>1.5479876160990712E-2</v>
      </c>
      <c r="O157" s="108">
        <f>IF(ISNUMBER(M157), $B172 * N157, "")</f>
        <v>1547.9876160990711</v>
      </c>
      <c r="Q157" s="227"/>
      <c r="R157" s="227"/>
      <c r="S157" s="227"/>
    </row>
    <row r="158" spans="1:19" ht="17.25" thickBot="1">
      <c r="A158" s="125" t="s">
        <v>138</v>
      </c>
      <c r="B158" s="126">
        <v>384</v>
      </c>
      <c r="C158" s="77">
        <v>-2.5974026000000002E-3</v>
      </c>
      <c r="D158" s="15">
        <v>385</v>
      </c>
      <c r="E158" s="32">
        <f t="shared" ref="E158:E161" si="82">IF(ISNUMBER(D158), (D158 - $B158) / $B158, "")</f>
        <v>2.6041666666666665E-3</v>
      </c>
      <c r="F158" s="18">
        <f>IF(ISNUMBER(D158), $B172 * E158, "")</f>
        <v>260.41666666666663</v>
      </c>
      <c r="G158" s="31">
        <v>385</v>
      </c>
      <c r="H158" s="32">
        <f t="shared" ref="H158:H161" si="83">IF(ISNUMBER(G158), (G158 - $B158) / $B158, "")</f>
        <v>2.6041666666666665E-3</v>
      </c>
      <c r="I158" s="101">
        <f>IF(ISNUMBER(G158), $B172 * H158, "")</f>
        <v>260.41666666666663</v>
      </c>
      <c r="J158" s="15">
        <v>388</v>
      </c>
      <c r="K158" s="32">
        <f t="shared" ref="K158:K161" si="84">IF(ISNUMBER(J158), (J158 - $B158) / $B158, "")</f>
        <v>1.0416666666666666E-2</v>
      </c>
      <c r="L158" s="18">
        <f>IF(ISNUMBER(J158), $B172 * K158, "")</f>
        <v>1041.6666666666665</v>
      </c>
      <c r="M158" s="31">
        <v>387</v>
      </c>
      <c r="N158" s="32">
        <f t="shared" ref="N158:N161" si="85">IF(ISNUMBER(M158), (M158 - $B158) / $B158, "")</f>
        <v>7.8125E-3</v>
      </c>
      <c r="O158" s="18">
        <f>IF(ISNUMBER(M158), $B172 * N158, "")</f>
        <v>781.25</v>
      </c>
      <c r="Q158" s="227"/>
      <c r="R158" s="227"/>
      <c r="S158" s="227"/>
    </row>
    <row r="159" spans="1:19" ht="17.25" thickBot="1">
      <c r="A159" s="125" t="s">
        <v>57</v>
      </c>
      <c r="B159" s="126">
        <v>223</v>
      </c>
      <c r="C159" s="77">
        <v>-4.4642856999999999E-3</v>
      </c>
      <c r="D159" s="15">
        <v>224</v>
      </c>
      <c r="E159" s="32">
        <f t="shared" si="82"/>
        <v>4.4843049327354259E-3</v>
      </c>
      <c r="F159" s="18">
        <f>IF(ISNUMBER(D159), $B172 * E159, "")</f>
        <v>448.4304932735426</v>
      </c>
      <c r="G159" s="31">
        <v>225</v>
      </c>
      <c r="H159" s="32">
        <f t="shared" si="83"/>
        <v>8.9686098654708519E-3</v>
      </c>
      <c r="I159" s="101">
        <f>IF(ISNUMBER(G159), $B172 * H159, "")</f>
        <v>896.86098654708519</v>
      </c>
      <c r="J159" s="15">
        <v>229</v>
      </c>
      <c r="K159" s="32">
        <f t="shared" si="84"/>
        <v>2.6905829596412557E-2</v>
      </c>
      <c r="L159" s="18">
        <f>IF(ISNUMBER(J159), $B172 * K159, "")</f>
        <v>2690.5829596412559</v>
      </c>
      <c r="M159" s="31">
        <v>229</v>
      </c>
      <c r="N159" s="32">
        <f t="shared" si="85"/>
        <v>2.6905829596412557E-2</v>
      </c>
      <c r="O159" s="18">
        <f>IF(ISNUMBER(M159), $B172 * N159, "")</f>
        <v>2690.5829596412559</v>
      </c>
      <c r="Q159" s="227"/>
      <c r="R159" s="227"/>
      <c r="S159" s="227"/>
    </row>
    <row r="160" spans="1:19" ht="17.25" thickBot="1">
      <c r="A160" s="125" t="s">
        <v>220</v>
      </c>
      <c r="B160" s="126">
        <v>223</v>
      </c>
      <c r="C160" s="77">
        <v>-4.4642856999999999E-3</v>
      </c>
      <c r="D160" s="15">
        <v>223</v>
      </c>
      <c r="E160" s="32">
        <f t="shared" si="82"/>
        <v>0</v>
      </c>
      <c r="F160" s="18">
        <f>IF(ISNUMBER(D160), $B172 * E160, "")</f>
        <v>0</v>
      </c>
      <c r="G160" s="31">
        <v>227</v>
      </c>
      <c r="H160" s="32">
        <f t="shared" si="83"/>
        <v>1.7937219730941704E-2</v>
      </c>
      <c r="I160" s="101">
        <f>IF(ISNUMBER(G160), $B172 * H160, "")</f>
        <v>1793.7219730941704</v>
      </c>
      <c r="J160" s="15">
        <v>227</v>
      </c>
      <c r="K160" s="32">
        <f t="shared" si="84"/>
        <v>1.7937219730941704E-2</v>
      </c>
      <c r="L160" s="18">
        <f>IF(ISNUMBER(J160), $B172 * K160, "")</f>
        <v>1793.7219730941704</v>
      </c>
      <c r="M160" s="31">
        <v>226</v>
      </c>
      <c r="N160" s="32">
        <f t="shared" si="85"/>
        <v>1.3452914798206279E-2</v>
      </c>
      <c r="O160" s="18">
        <f>IF(ISNUMBER(M160), $B172 * N160, "")</f>
        <v>1345.291479820628</v>
      </c>
      <c r="Q160" s="33"/>
      <c r="R160" s="33"/>
    </row>
    <row r="161" spans="1:19" ht="17.25" thickBot="1">
      <c r="A161" s="130" t="s">
        <v>118</v>
      </c>
      <c r="B161" s="131">
        <v>181</v>
      </c>
      <c r="C161" s="79">
        <v>-5.4945055E-3</v>
      </c>
      <c r="D161" s="24">
        <v>181</v>
      </c>
      <c r="E161" s="25">
        <f t="shared" si="82"/>
        <v>0</v>
      </c>
      <c r="F161" s="104">
        <f>IF(ISNUMBER(D161), $B172 * E161, "")</f>
        <v>0</v>
      </c>
      <c r="G161" s="102">
        <v>181</v>
      </c>
      <c r="H161" s="25">
        <f t="shared" si="83"/>
        <v>0</v>
      </c>
      <c r="I161" s="103">
        <f>IF(ISNUMBER(G161), $B172 * H161, "")</f>
        <v>0</v>
      </c>
      <c r="J161" s="24">
        <v>183</v>
      </c>
      <c r="K161" s="25">
        <f t="shared" si="84"/>
        <v>1.1049723756906077E-2</v>
      </c>
      <c r="L161" s="104">
        <f>IF(ISNUMBER(J161), $B172 * K161, "")</f>
        <v>1104.9723756906076</v>
      </c>
      <c r="M161" s="102">
        <v>182</v>
      </c>
      <c r="N161" s="25">
        <f t="shared" si="85"/>
        <v>5.5248618784530384E-3</v>
      </c>
      <c r="O161" s="104">
        <f>IF(ISNUMBER(M161), $B172 * N161, "")</f>
        <v>552.48618784530379</v>
      </c>
      <c r="Q161" s="236"/>
      <c r="R161" s="237"/>
      <c r="S161" s="238"/>
    </row>
    <row r="162" spans="1:19">
      <c r="A162" s="123" t="s">
        <v>238</v>
      </c>
      <c r="B162" s="124">
        <v>118</v>
      </c>
      <c r="C162" s="76">
        <v>-8.4033613000000004E-3</v>
      </c>
      <c r="D162" s="13">
        <v>120</v>
      </c>
      <c r="E162" s="14">
        <f>IF(ISNUMBER(D162), (D162 - $B162) / $B162, "")</f>
        <v>1.6949152542372881E-2</v>
      </c>
      <c r="F162" s="16">
        <f>IF(ISNUMBER(D162), $B172 * E162, "")</f>
        <v>1694.9152542372881</v>
      </c>
      <c r="G162" s="29">
        <v>120</v>
      </c>
      <c r="H162" s="14">
        <f>IF(ISNUMBER(G162), (G162 - $B162) / $B162, "")</f>
        <v>1.6949152542372881E-2</v>
      </c>
      <c r="I162" s="100">
        <f>IF(ISNUMBER(G162), $B172 * H162, "")</f>
        <v>1694.9152542372881</v>
      </c>
      <c r="J162" s="13">
        <v>125</v>
      </c>
      <c r="K162" s="14">
        <f>IF(ISNUMBER(J162), (J162 - $B162) / $B162, "")</f>
        <v>5.9322033898305086E-2</v>
      </c>
      <c r="L162" s="16">
        <f>IF(ISNUMBER(J162), $B172 * K162, "")</f>
        <v>5932.203389830509</v>
      </c>
      <c r="M162" s="29">
        <v>124</v>
      </c>
      <c r="N162" s="14">
        <f>IF(ISNUMBER(M162), (M162 - $B162) / $B162, "")</f>
        <v>5.0847457627118647E-2</v>
      </c>
      <c r="O162" s="16">
        <f>IF(ISNUMBER(M162), $B172 * N162, "")</f>
        <v>5084.7457627118647</v>
      </c>
      <c r="Q162" s="239"/>
      <c r="R162" s="240"/>
      <c r="S162" s="241"/>
    </row>
    <row r="163" spans="1:19" ht="17.25" thickBot="1">
      <c r="A163" s="125" t="s">
        <v>110</v>
      </c>
      <c r="B163" s="126">
        <v>192</v>
      </c>
      <c r="C163" s="77">
        <v>-1.03092784E-2</v>
      </c>
      <c r="D163" s="15">
        <v>194</v>
      </c>
      <c r="E163" s="32">
        <f t="shared" ref="E163:E166" si="86">IF(ISNUMBER(D163), (D163 - $B163) / $B163, "")</f>
        <v>1.0416666666666666E-2</v>
      </c>
      <c r="F163" s="18">
        <f>IF(ISNUMBER(D163), $B172 * E163, "")</f>
        <v>1041.6666666666665</v>
      </c>
      <c r="G163" s="31">
        <v>195</v>
      </c>
      <c r="H163" s="32">
        <f t="shared" ref="H163:H166" si="87">IF(ISNUMBER(G163), (G163 - $B163) / $B163, "")</f>
        <v>1.5625E-2</v>
      </c>
      <c r="I163" s="101">
        <f>IF(ISNUMBER(G163), $B172 * H163, "")</f>
        <v>1562.5</v>
      </c>
      <c r="J163" s="15">
        <v>195</v>
      </c>
      <c r="K163" s="32">
        <f t="shared" ref="K163:K166" si="88">IF(ISNUMBER(J163), (J163 - $B163) / $B163, "")</f>
        <v>1.5625E-2</v>
      </c>
      <c r="L163" s="18">
        <f>IF(ISNUMBER(J163), $B172 * K163, "")</f>
        <v>1562.5</v>
      </c>
      <c r="M163" s="31">
        <v>197</v>
      </c>
      <c r="N163" s="32">
        <f t="shared" ref="N163:N166" si="89">IF(ISNUMBER(M163), (M163 - $B163) / $B163, "")</f>
        <v>2.6041666666666668E-2</v>
      </c>
      <c r="O163" s="18">
        <f>IF(ISNUMBER(M163), $B172 * N163, "")</f>
        <v>2604.166666666667</v>
      </c>
      <c r="Q163" s="242"/>
      <c r="R163" s="243"/>
      <c r="S163" s="244"/>
    </row>
    <row r="164" spans="1:19" ht="17.25" thickBot="1">
      <c r="A164" s="125" t="s">
        <v>86</v>
      </c>
      <c r="B164" s="126">
        <v>431</v>
      </c>
      <c r="C164" s="77">
        <v>-1.14678899E-2</v>
      </c>
      <c r="D164" s="15">
        <v>432</v>
      </c>
      <c r="E164" s="32">
        <f t="shared" si="86"/>
        <v>2.3201856148491878E-3</v>
      </c>
      <c r="F164" s="18">
        <f>IF(ISNUMBER(D164), $B172 * E164, "")</f>
        <v>232.01856148491879</v>
      </c>
      <c r="G164" s="31">
        <v>441</v>
      </c>
      <c r="H164" s="32">
        <f t="shared" si="87"/>
        <v>2.3201856148491878E-2</v>
      </c>
      <c r="I164" s="101">
        <f>IF(ISNUMBER(G164), $B172 * H164, "")</f>
        <v>2320.1856148491879</v>
      </c>
      <c r="J164" s="15">
        <v>442</v>
      </c>
      <c r="K164" s="32">
        <f t="shared" si="88"/>
        <v>2.5522041763341066E-2</v>
      </c>
      <c r="L164" s="18">
        <f>IF(ISNUMBER(J164), $B172 * K164, "")</f>
        <v>2552.2041763341067</v>
      </c>
      <c r="M164" s="31">
        <v>442</v>
      </c>
      <c r="N164" s="32">
        <f t="shared" si="89"/>
        <v>2.5522041763341066E-2</v>
      </c>
      <c r="O164" s="18">
        <f>IF(ISNUMBER(M164), $B172 * N164, "")</f>
        <v>2552.2041763341067</v>
      </c>
      <c r="Q164" s="227"/>
      <c r="R164" s="227"/>
      <c r="S164" s="227"/>
    </row>
    <row r="165" spans="1:19" ht="17.25" thickBot="1">
      <c r="A165" s="125" t="s">
        <v>218</v>
      </c>
      <c r="B165" s="126">
        <v>135</v>
      </c>
      <c r="C165" s="77">
        <v>-1.45985401E-2</v>
      </c>
      <c r="D165" s="15">
        <v>136</v>
      </c>
      <c r="E165" s="32">
        <f t="shared" si="86"/>
        <v>7.4074074074074077E-3</v>
      </c>
      <c r="F165" s="18">
        <f>IF(ISNUMBER(D165), $B172 * E165, "")</f>
        <v>740.74074074074076</v>
      </c>
      <c r="G165" s="31">
        <v>138</v>
      </c>
      <c r="H165" s="32">
        <f t="shared" si="87"/>
        <v>2.2222222222222223E-2</v>
      </c>
      <c r="I165" s="101">
        <f>IF(ISNUMBER(G165), $B172 * H165, "")</f>
        <v>2222.2222222222222</v>
      </c>
      <c r="J165" s="15">
        <v>140</v>
      </c>
      <c r="K165" s="32">
        <f t="shared" si="88"/>
        <v>3.7037037037037035E-2</v>
      </c>
      <c r="L165" s="18">
        <f>IF(ISNUMBER(J165), $B172 * K165, "")</f>
        <v>3703.7037037037035</v>
      </c>
      <c r="M165" s="31">
        <v>140</v>
      </c>
      <c r="N165" s="32">
        <f t="shared" si="89"/>
        <v>3.7037037037037035E-2</v>
      </c>
      <c r="O165" s="18">
        <f>IF(ISNUMBER(M165), $B172 * N165, "")</f>
        <v>3703.7037037037035</v>
      </c>
      <c r="Q165" s="222"/>
      <c r="R165" s="222"/>
      <c r="S165" s="222"/>
    </row>
    <row r="166" spans="1:19" ht="17.25" thickBot="1">
      <c r="A166" s="127" t="s">
        <v>144</v>
      </c>
      <c r="B166" s="128">
        <v>119</v>
      </c>
      <c r="C166" s="78">
        <v>-1.6528925600000001E-2</v>
      </c>
      <c r="D166" s="20">
        <v>121</v>
      </c>
      <c r="E166" s="21">
        <f t="shared" si="86"/>
        <v>1.680672268907563E-2</v>
      </c>
      <c r="F166" s="22">
        <f>IF(ISNUMBER(D166), $B172 * E166, "")</f>
        <v>1680.672268907563</v>
      </c>
      <c r="G166" s="30">
        <v>122</v>
      </c>
      <c r="H166" s="21">
        <f t="shared" si="87"/>
        <v>2.5210084033613446E-2</v>
      </c>
      <c r="I166" s="105">
        <f>IF(ISNUMBER(G166), $B172 * H166, "")</f>
        <v>2521.0084033613448</v>
      </c>
      <c r="J166" s="20">
        <v>122</v>
      </c>
      <c r="K166" s="21">
        <f t="shared" si="88"/>
        <v>2.5210084033613446E-2</v>
      </c>
      <c r="L166" s="22">
        <f>IF(ISNUMBER(J166), $B172 * K166, "")</f>
        <v>2521.0084033613448</v>
      </c>
      <c r="M166" s="30">
        <v>121</v>
      </c>
      <c r="N166" s="21">
        <f t="shared" si="89"/>
        <v>1.680672268907563E-2</v>
      </c>
      <c r="O166" s="22">
        <f>IF(ISNUMBER(M166), $B172 * N166, "")</f>
        <v>1680.672268907563</v>
      </c>
      <c r="Q166" s="222"/>
      <c r="R166" s="222"/>
      <c r="S166" s="222"/>
    </row>
    <row r="167" spans="1:19" ht="17.25" thickBot="1">
      <c r="A167" s="125" t="s">
        <v>230</v>
      </c>
      <c r="B167" s="129">
        <v>398</v>
      </c>
      <c r="C167" s="80">
        <v>-1.97044335E-2</v>
      </c>
      <c r="D167" s="106">
        <v>394</v>
      </c>
      <c r="E167" s="107">
        <f>IF(ISNUMBER(D167), (D167 - $B167) / $B167, "")</f>
        <v>-1.0050251256281407E-2</v>
      </c>
      <c r="F167" s="108">
        <f>IF(ISNUMBER(D167), $B172 * E167, "")</f>
        <v>-1005.0251256281407</v>
      </c>
      <c r="G167" s="109">
        <v>397</v>
      </c>
      <c r="H167" s="107">
        <f>IF(ISNUMBER(G167), (G167 - $B167) / $B167, "")</f>
        <v>-2.5125628140703518E-3</v>
      </c>
      <c r="I167" s="110">
        <f>IF(ISNUMBER(G167), $B172 * H167, "")</f>
        <v>-251.25628140703517</v>
      </c>
      <c r="J167" s="106">
        <v>401</v>
      </c>
      <c r="K167" s="107">
        <f>IF(ISNUMBER(J167), (J167 - $B167) / $B167, "")</f>
        <v>7.537688442211055E-3</v>
      </c>
      <c r="L167" s="108">
        <f>IF(ISNUMBER(J167), $B172 * K167, "")</f>
        <v>753.7688442211055</v>
      </c>
      <c r="M167" s="109">
        <v>399</v>
      </c>
      <c r="N167" s="107">
        <f>IF(ISNUMBER(M167), (M167 - $B167) / $B167, "")</f>
        <v>2.5125628140703518E-3</v>
      </c>
      <c r="O167" s="108">
        <f>IF(ISNUMBER(M167), $B172 * N167, "")</f>
        <v>251.25628140703517</v>
      </c>
      <c r="Q167" s="227"/>
      <c r="R167" s="227"/>
      <c r="S167" s="227"/>
    </row>
    <row r="168" spans="1:19" ht="17.25" thickBot="1">
      <c r="A168" s="125" t="s">
        <v>194</v>
      </c>
      <c r="B168" s="126">
        <v>142</v>
      </c>
      <c r="C168" s="77">
        <v>-2.06896552E-2</v>
      </c>
      <c r="D168" s="15">
        <v>145</v>
      </c>
      <c r="E168" s="32">
        <f t="shared" ref="E168:E171" si="90">IF(ISNUMBER(D168), (D168 - $B168) / $B168, "")</f>
        <v>2.1126760563380281E-2</v>
      </c>
      <c r="F168" s="18">
        <f>IF(ISNUMBER(D168), $B172 * E168, "")</f>
        <v>2112.676056338028</v>
      </c>
      <c r="G168" s="31">
        <v>146</v>
      </c>
      <c r="H168" s="32">
        <f t="shared" ref="H168:H171" si="91">IF(ISNUMBER(G168), (G168 - $B168) / $B168, "")</f>
        <v>2.8169014084507043E-2</v>
      </c>
      <c r="I168" s="101">
        <f>IF(ISNUMBER(G168), $B172 * H168, "")</f>
        <v>2816.9014084507044</v>
      </c>
      <c r="J168" s="15">
        <v>147</v>
      </c>
      <c r="K168" s="32">
        <f t="shared" ref="K168:K171" si="92">IF(ISNUMBER(J168), (J168 - $B168) / $B168, "")</f>
        <v>3.5211267605633804E-2</v>
      </c>
      <c r="L168" s="18">
        <f>IF(ISNUMBER(J168), $B172 * K168, "")</f>
        <v>3521.1267605633802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3521.1267605633802</v>
      </c>
      <c r="Q168" s="227"/>
      <c r="R168" s="227"/>
      <c r="S168" s="227"/>
    </row>
    <row r="169" spans="1:19" ht="17.25" thickBot="1">
      <c r="A169" s="125" t="s">
        <v>232</v>
      </c>
      <c r="B169" s="126">
        <v>651</v>
      </c>
      <c r="C169" s="77">
        <v>-2.2522522499999999E-2</v>
      </c>
      <c r="D169" s="15">
        <v>646</v>
      </c>
      <c r="E169" s="32">
        <f t="shared" si="90"/>
        <v>-7.6804915514592934E-3</v>
      </c>
      <c r="F169" s="18">
        <f>IF(ISNUMBER(D169), $B172 * E169, "")</f>
        <v>-768.04915514592938</v>
      </c>
      <c r="G169" s="31">
        <v>650</v>
      </c>
      <c r="H169" s="32">
        <f t="shared" si="91"/>
        <v>-1.5360983102918587E-3</v>
      </c>
      <c r="I169" s="101">
        <f>IF(ISNUMBER(G169), $B172 * H169, "")</f>
        <v>-153.60983102918587</v>
      </c>
      <c r="J169" s="15">
        <v>649</v>
      </c>
      <c r="K169" s="32">
        <f t="shared" si="92"/>
        <v>-3.0721966205837174E-3</v>
      </c>
      <c r="L169" s="18">
        <f>IF(ISNUMBER(J169), $B172 * K169, "")</f>
        <v>-307.21966205837174</v>
      </c>
      <c r="M169" s="31">
        <v>650</v>
      </c>
      <c r="N169" s="32">
        <f t="shared" si="93"/>
        <v>-1.5360983102918587E-3</v>
      </c>
      <c r="O169" s="18">
        <f>IF(ISNUMBER(M169), $B172 * N169, "")</f>
        <v>-153.60983102918587</v>
      </c>
      <c r="Q169" s="227"/>
      <c r="R169" s="227"/>
      <c r="S169" s="227"/>
    </row>
    <row r="170" spans="1:19">
      <c r="A170" s="125" t="s">
        <v>166</v>
      </c>
      <c r="B170" s="126">
        <v>252</v>
      </c>
      <c r="C170" s="77">
        <v>-3.4482758600000003E-2</v>
      </c>
      <c r="D170" s="15">
        <v>260</v>
      </c>
      <c r="E170" s="32">
        <f t="shared" si="90"/>
        <v>3.1746031746031744E-2</v>
      </c>
      <c r="F170" s="18">
        <f>IF(ISNUMBER(D170), $B172 * E170, "")</f>
        <v>3174.6031746031745</v>
      </c>
      <c r="G170" s="31">
        <v>263</v>
      </c>
      <c r="H170" s="32">
        <f t="shared" si="91"/>
        <v>4.3650793650793648E-2</v>
      </c>
      <c r="I170" s="101">
        <f>IF(ISNUMBER(G170), $B172 * H170, "")</f>
        <v>4365.0793650793648</v>
      </c>
      <c r="J170" s="15">
        <v>259</v>
      </c>
      <c r="K170" s="32">
        <f t="shared" si="92"/>
        <v>2.7777777777777776E-2</v>
      </c>
      <c r="L170" s="18">
        <f>IF(ISNUMBER(J170), $B172 * K170, "")</f>
        <v>2777.7777777777778</v>
      </c>
      <c r="M170" s="31">
        <v>266</v>
      </c>
      <c r="N170" s="32">
        <f t="shared" si="93"/>
        <v>5.5555555555555552E-2</v>
      </c>
      <c r="O170" s="18">
        <f>IF(ISNUMBER(M170), $B172 * N170, "")</f>
        <v>5555.5555555555557</v>
      </c>
      <c r="Q170" s="249"/>
      <c r="R170" s="250"/>
      <c r="S170" s="251"/>
    </row>
    <row r="171" spans="1:19" ht="17.25" thickBot="1">
      <c r="A171" s="130" t="s">
        <v>200</v>
      </c>
      <c r="B171" s="131">
        <v>163</v>
      </c>
      <c r="C171" s="79">
        <v>-6.8571428599999998E-2</v>
      </c>
      <c r="D171" s="24">
        <v>161</v>
      </c>
      <c r="E171" s="25">
        <f t="shared" si="90"/>
        <v>-1.2269938650306749E-2</v>
      </c>
      <c r="F171" s="104">
        <f>IF(ISNUMBER(D171), $B172 * E171, "")</f>
        <v>-1226.9938650306749</v>
      </c>
      <c r="G171" s="102">
        <v>164</v>
      </c>
      <c r="H171" s="25">
        <f t="shared" si="91"/>
        <v>6.1349693251533744E-3</v>
      </c>
      <c r="I171" s="103">
        <f>IF(ISNUMBER(G171), $B172 * H171, "")</f>
        <v>613.49693251533745</v>
      </c>
      <c r="J171" s="24">
        <v>164</v>
      </c>
      <c r="K171" s="25">
        <f t="shared" si="92"/>
        <v>6.1349693251533744E-3</v>
      </c>
      <c r="L171" s="104">
        <f>IF(ISNUMBER(J171), $B172 * K171, "")</f>
        <v>613.49693251533745</v>
      </c>
      <c r="M171" s="102">
        <v>162</v>
      </c>
      <c r="N171" s="25">
        <f t="shared" si="93"/>
        <v>-6.1349693251533744E-3</v>
      </c>
      <c r="O171" s="104">
        <f>IF(ISNUMBER(M171), $B172 * N171, "")</f>
        <v>-613.49693251533745</v>
      </c>
      <c r="Q171" s="252"/>
      <c r="R171" s="253"/>
      <c r="S171" s="254"/>
    </row>
    <row r="172" spans="1:19" ht="17.25" thickBot="1">
      <c r="A172" s="132" t="s">
        <v>270</v>
      </c>
      <c r="B172" s="260">
        <f>$B$37</f>
        <v>100000</v>
      </c>
      <c r="C172" s="261"/>
      <c r="D172" s="26" t="s">
        <v>271</v>
      </c>
      <c r="E172" s="27">
        <f>IF(COUNT(E152:E171), SUM(E152:E171) / COUNT(E152:E171), 0)</f>
        <v>4.3031473782113661E-3</v>
      </c>
      <c r="F172" s="28">
        <f>SUM(F152:F171)</f>
        <v>8606.2947564227325</v>
      </c>
      <c r="G172" s="26" t="s">
        <v>271</v>
      </c>
      <c r="H172" s="27">
        <f>IF(COUNT(H152:H171), SUM(H152:H171) / COUNT(H152:H171), 0)</f>
        <v>1.4528932698813149E-2</v>
      </c>
      <c r="I172" s="28">
        <f>SUM(I152:I171)</f>
        <v>29057.865397626301</v>
      </c>
      <c r="J172" s="26" t="s">
        <v>271</v>
      </c>
      <c r="K172" s="27">
        <f>IF(COUNT(K152:K171), SUM(K152:K171) / COUNT(K152:K171), 0)</f>
        <v>2.1628214087830226E-2</v>
      </c>
      <c r="L172" s="28">
        <f>SUM(L152:L171)</f>
        <v>43256.428175660461</v>
      </c>
      <c r="M172" s="26" t="s">
        <v>271</v>
      </c>
      <c r="N172" s="27">
        <f>IF(COUNT(N152:N171), SUM(N152:N171) / COUNT(N152:N171), 0)</f>
        <v>1.9802571754782207E-2</v>
      </c>
      <c r="O172" s="28">
        <f>SUM(O152:O171)</f>
        <v>39605.143509564412</v>
      </c>
      <c r="Q172" s="255"/>
      <c r="R172" s="256"/>
      <c r="S172" s="257"/>
    </row>
    <row r="174" spans="1:19" ht="17.25" thickBot="1"/>
    <row r="175" spans="1:19" ht="17.25" thickBot="1">
      <c r="A175" s="201" t="s">
        <v>255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57" t="s">
        <v>267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55149000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2.1442459999999998E-3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2021-09-01(수) 오전 00:00</v>
      </c>
      <c r="C177" s="265"/>
      <c r="D177" s="224" t="str">
        <f>TEXT($G$1, "[$-ko-KR]yyyy-mm-dd(ddd) ") &amp; "오후 14:00"</f>
        <v>2021-09-01(수) 오후 14:00</v>
      </c>
      <c r="E177" s="225"/>
      <c r="F177" s="226"/>
      <c r="G177" s="224" t="str">
        <f>TEXT($G$1, "[$-ko-KR]yyyy-mm-dd(ddd) ") &amp; "오후 19:00"</f>
        <v>2021-09-01(수) 오후 19:00</v>
      </c>
      <c r="H177" s="225"/>
      <c r="I177" s="226"/>
      <c r="J177" s="224" t="str">
        <f>TEXT($G$1, "[$-ko-KR]yyyy-mm-dd(ddd) ") &amp; "오후 21:00"</f>
        <v>2021-09-01(수) 오후 21:00</v>
      </c>
      <c r="K177" s="225"/>
      <c r="L177" s="226"/>
      <c r="M177" s="224" t="str">
        <f>TEXT($G$1+1, "[$-ko-KR]yyyy-mm-dd(ddd) ") &amp; "오전 00:00"</f>
        <v>2021-09-02(목)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7"/>
      <c r="R178" s="227"/>
      <c r="S178" s="227"/>
    </row>
    <row r="179" spans="1:19" ht="17.25" thickBot="1">
      <c r="A179" s="123" t="s">
        <v>202</v>
      </c>
      <c r="B179" s="124">
        <v>90.9</v>
      </c>
      <c r="C179" s="76">
        <v>-1.08813928E-2</v>
      </c>
      <c r="D179" s="13">
        <v>93.8</v>
      </c>
      <c r="E179" s="14">
        <f>IF(ISNUMBER(D179), (D179 - $B179) / $B179, "")</f>
        <v>3.1903190319031806E-2</v>
      </c>
      <c r="F179" s="16">
        <f>IF(ISNUMBER(D179), $B199 * E179, "")</f>
        <v>3190.3190319031805</v>
      </c>
      <c r="G179" s="29">
        <v>93.6</v>
      </c>
      <c r="H179" s="14">
        <f>IF(ISNUMBER(G179), (G179 - $B179) / $B179, "")</f>
        <v>2.9702970297029577E-2</v>
      </c>
      <c r="I179" s="100">
        <f>IF(ISNUMBER(G179), $B199 * H179, "")</f>
        <v>2970.2970297029578</v>
      </c>
      <c r="J179" s="13">
        <v>93.4</v>
      </c>
      <c r="K179" s="14">
        <f>IF(ISNUMBER(J179), (J179 - $B179) / $B179, "")</f>
        <v>2.75027502750275E-2</v>
      </c>
      <c r="L179" s="16">
        <f>IF(ISNUMBER(J179), $B199 * K179, "")</f>
        <v>2750.2750275027502</v>
      </c>
      <c r="M179" s="29">
        <v>92.7</v>
      </c>
      <c r="N179" s="14">
        <f>IF(ISNUMBER(M179), (M179 - $B179) / $B179, "")</f>
        <v>1.9801980198019771E-2</v>
      </c>
      <c r="O179" s="16">
        <f>IF(ISNUMBER(M179), $B199 * N179, "")</f>
        <v>1980.1980198019771</v>
      </c>
      <c r="Q179" s="222"/>
      <c r="R179" s="222"/>
      <c r="S179" s="222"/>
    </row>
    <row r="180" spans="1:19" ht="17.25" thickBot="1">
      <c r="A180" s="125" t="s">
        <v>86</v>
      </c>
      <c r="B180" s="126">
        <v>431</v>
      </c>
      <c r="C180" s="77">
        <v>-1.14678899E-2</v>
      </c>
      <c r="D180" s="15">
        <v>432</v>
      </c>
      <c r="E180" s="32">
        <f t="shared" ref="E180:E183" si="94">IF(ISNUMBER(D180), (D180 - $B180) / $B180, "")</f>
        <v>2.3201856148491878E-3</v>
      </c>
      <c r="F180" s="18">
        <f>IF(ISNUMBER(D180), $B199 * E180, "")</f>
        <v>232.01856148491879</v>
      </c>
      <c r="G180" s="31">
        <v>441</v>
      </c>
      <c r="H180" s="32">
        <f t="shared" ref="H180:H183" si="95">IF(ISNUMBER(G180), (G180 - $B180) / $B180, "")</f>
        <v>2.3201856148491878E-2</v>
      </c>
      <c r="I180" s="101">
        <f>IF(ISNUMBER(G180), $B199 * H180, "")</f>
        <v>2320.1856148491879</v>
      </c>
      <c r="J180" s="15">
        <v>442</v>
      </c>
      <c r="K180" s="32">
        <f t="shared" ref="K180:K183" si="96">IF(ISNUMBER(J180), (J180 - $B180) / $B180, "")</f>
        <v>2.5522041763341066E-2</v>
      </c>
      <c r="L180" s="18">
        <f>IF(ISNUMBER(J180), $B199 * K180, "")</f>
        <v>2552.2041763341067</v>
      </c>
      <c r="M180" s="31">
        <v>442</v>
      </c>
      <c r="N180" s="32">
        <f t="shared" ref="N180:N183" si="97">IF(ISNUMBER(M180), (M180 - $B180) / $B180, "")</f>
        <v>2.5522041763341066E-2</v>
      </c>
      <c r="O180" s="18">
        <f>IF(ISNUMBER(M180), $B199 * N180, "")</f>
        <v>2552.2041763341067</v>
      </c>
      <c r="Q180" s="222"/>
      <c r="R180" s="222"/>
      <c r="S180" s="222"/>
    </row>
    <row r="181" spans="1:19" ht="17.25" thickBot="1">
      <c r="A181" s="125" t="s">
        <v>116</v>
      </c>
      <c r="B181" s="126">
        <v>9220</v>
      </c>
      <c r="C181" s="77">
        <v>-1.1789925E-2</v>
      </c>
      <c r="D181" s="15">
        <v>9575</v>
      </c>
      <c r="E181" s="32">
        <f t="shared" si="94"/>
        <v>3.8503253796095448E-2</v>
      </c>
      <c r="F181" s="18">
        <f>IF(ISNUMBER(D181), $B199 * E181, "")</f>
        <v>3850.3253796095446</v>
      </c>
      <c r="G181" s="31">
        <v>9315</v>
      </c>
      <c r="H181" s="32">
        <f t="shared" si="95"/>
        <v>1.0303687635574838E-2</v>
      </c>
      <c r="I181" s="101">
        <f>IF(ISNUMBER(G181), $B199 * H181, "")</f>
        <v>1030.3687635574838</v>
      </c>
      <c r="J181" s="15">
        <v>9385</v>
      </c>
      <c r="K181" s="32">
        <f t="shared" si="96"/>
        <v>1.7895878524945771E-2</v>
      </c>
      <c r="L181" s="18">
        <f>IF(ISNUMBER(J181), $B199 * K181, "")</f>
        <v>1789.5878524945772</v>
      </c>
      <c r="M181" s="31">
        <v>9305</v>
      </c>
      <c r="N181" s="32">
        <f t="shared" si="97"/>
        <v>9.2190889370932748E-3</v>
      </c>
      <c r="O181" s="18">
        <f>IF(ISNUMBER(M181), $B199 * N181, "")</f>
        <v>921.90889370932746</v>
      </c>
      <c r="Q181" s="227"/>
      <c r="R181" s="227"/>
      <c r="S181" s="227"/>
    </row>
    <row r="182" spans="1:19" ht="17.25" thickBot="1">
      <c r="A182" s="125" t="s">
        <v>196</v>
      </c>
      <c r="B182" s="126">
        <v>4595</v>
      </c>
      <c r="C182" s="77">
        <v>-1.1827957E-2</v>
      </c>
      <c r="D182" s="15">
        <v>4610</v>
      </c>
      <c r="E182" s="32">
        <f t="shared" si="94"/>
        <v>3.2644178454842221E-3</v>
      </c>
      <c r="F182" s="18">
        <f>IF(ISNUMBER(D182), $B199 * E182, "")</f>
        <v>326.44178454842222</v>
      </c>
      <c r="G182" s="31">
        <v>4575</v>
      </c>
      <c r="H182" s="32">
        <f t="shared" si="95"/>
        <v>-4.3525571273122961E-3</v>
      </c>
      <c r="I182" s="101">
        <f>IF(ISNUMBER(G182), $B199 * H182, "")</f>
        <v>-435.25571273122961</v>
      </c>
      <c r="J182" s="15">
        <v>4615</v>
      </c>
      <c r="K182" s="32">
        <f t="shared" si="96"/>
        <v>4.3525571273122961E-3</v>
      </c>
      <c r="L182" s="18">
        <f>IF(ISNUMBER(J182), $B199 * K182, "")</f>
        <v>435.25571273122961</v>
      </c>
      <c r="M182" s="31">
        <v>4625</v>
      </c>
      <c r="N182" s="32">
        <f t="shared" si="97"/>
        <v>6.5288356909684441E-3</v>
      </c>
      <c r="O182" s="18">
        <f>IF(ISNUMBER(M182), $B199 * N182, "")</f>
        <v>652.88356909684444</v>
      </c>
      <c r="Q182" s="227"/>
      <c r="R182" s="227"/>
      <c r="S182" s="227"/>
    </row>
    <row r="183" spans="1:19" ht="17.25" thickBot="1">
      <c r="A183" s="127" t="s">
        <v>154</v>
      </c>
      <c r="B183" s="128">
        <v>85130</v>
      </c>
      <c r="C183" s="78">
        <v>-1.4242705E-2</v>
      </c>
      <c r="D183" s="20">
        <v>83060</v>
      </c>
      <c r="E183" s="21">
        <f t="shared" si="94"/>
        <v>-2.4315752378714906E-2</v>
      </c>
      <c r="F183" s="22">
        <f>IF(ISNUMBER(D183), $B199 * E183, "")</f>
        <v>-2431.5752378714906</v>
      </c>
      <c r="G183" s="30">
        <v>83600</v>
      </c>
      <c r="H183" s="21">
        <f t="shared" si="95"/>
        <v>-1.7972512627745799E-2</v>
      </c>
      <c r="I183" s="105">
        <f>IF(ISNUMBER(G183), $B199 * H183, "")</f>
        <v>-1797.25126277458</v>
      </c>
      <c r="J183" s="20">
        <v>83710</v>
      </c>
      <c r="K183" s="21">
        <f t="shared" si="96"/>
        <v>-1.6680371196992835E-2</v>
      </c>
      <c r="L183" s="22">
        <f>IF(ISNUMBER(J183), $B199 * K183, "")</f>
        <v>-1668.0371196992835</v>
      </c>
      <c r="M183" s="30">
        <v>83050</v>
      </c>
      <c r="N183" s="21">
        <f t="shared" si="97"/>
        <v>-2.443321978151063E-2</v>
      </c>
      <c r="O183" s="22">
        <f>IF(ISNUMBER(M183), $B199 * N183, "")</f>
        <v>-2443.3219781510629</v>
      </c>
      <c r="Q183" s="227"/>
      <c r="R183" s="227"/>
      <c r="S183" s="227"/>
    </row>
    <row r="184" spans="1:19" ht="17.25" thickBot="1">
      <c r="A184" s="125" t="s">
        <v>218</v>
      </c>
      <c r="B184" s="129">
        <v>135</v>
      </c>
      <c r="C184" s="80">
        <v>-1.45985401E-2</v>
      </c>
      <c r="D184" s="106">
        <v>136</v>
      </c>
      <c r="E184" s="107">
        <f>IF(ISNUMBER(D184), (D184 - $B184) / $B184, "")</f>
        <v>7.4074074074074077E-3</v>
      </c>
      <c r="F184" s="108">
        <f>IF(ISNUMBER(D184), $B199 * E184, "")</f>
        <v>740.74074074074076</v>
      </c>
      <c r="G184" s="109">
        <v>138</v>
      </c>
      <c r="H184" s="107">
        <f>IF(ISNUMBER(G184), (G184 - $B184) / $B184, "")</f>
        <v>2.2222222222222223E-2</v>
      </c>
      <c r="I184" s="110">
        <f>IF(ISNUMBER(G184), $B199 * H184, "")</f>
        <v>2222.2222222222222</v>
      </c>
      <c r="J184" s="106">
        <v>140</v>
      </c>
      <c r="K184" s="107">
        <f>IF(ISNUMBER(J184), (J184 - $B184) / $B184, "")</f>
        <v>3.7037037037037035E-2</v>
      </c>
      <c r="L184" s="108">
        <f>IF(ISNUMBER(J184), $B199 * K184, "")</f>
        <v>3703.7037037037035</v>
      </c>
      <c r="M184" s="109">
        <v>140</v>
      </c>
      <c r="N184" s="107">
        <f>IF(ISNUMBER(M184), (M184 - $B184) / $B184, "")</f>
        <v>3.7037037037037035E-2</v>
      </c>
      <c r="O184" s="108">
        <f>IF(ISNUMBER(M184), $B199 * N184, "")</f>
        <v>3703.7037037037035</v>
      </c>
      <c r="Q184" s="227"/>
      <c r="R184" s="227"/>
      <c r="S184" s="227"/>
    </row>
    <row r="185" spans="1:19" ht="17.25" thickBot="1">
      <c r="A185" s="125" t="s">
        <v>144</v>
      </c>
      <c r="B185" s="126">
        <v>119</v>
      </c>
      <c r="C185" s="77">
        <v>-1.6528925600000001E-2</v>
      </c>
      <c r="D185" s="15">
        <v>121</v>
      </c>
      <c r="E185" s="32">
        <f t="shared" ref="E185:E188" si="98">IF(ISNUMBER(D185), (D185 - $B185) / $B185, "")</f>
        <v>1.680672268907563E-2</v>
      </c>
      <c r="F185" s="18">
        <f>IF(ISNUMBER(D185), $B199 * E185, "")</f>
        <v>1680.672268907563</v>
      </c>
      <c r="G185" s="31">
        <v>122</v>
      </c>
      <c r="H185" s="32">
        <f t="shared" ref="H185:H188" si="99">IF(ISNUMBER(G185), (G185 - $B185) / $B185, "")</f>
        <v>2.5210084033613446E-2</v>
      </c>
      <c r="I185" s="101">
        <f>IF(ISNUMBER(G185), $B199 * H185, "")</f>
        <v>2521.0084033613448</v>
      </c>
      <c r="J185" s="15">
        <v>122</v>
      </c>
      <c r="K185" s="32">
        <f t="shared" ref="K185:K188" si="100">IF(ISNUMBER(J185), (J185 - $B185) / $B185, "")</f>
        <v>2.5210084033613446E-2</v>
      </c>
      <c r="L185" s="18">
        <f>IF(ISNUMBER(J185), $B199 * K185, "")</f>
        <v>2521.0084033613448</v>
      </c>
      <c r="M185" s="31">
        <v>121</v>
      </c>
      <c r="N185" s="32">
        <f t="shared" ref="N185:N188" si="101">IF(ISNUMBER(M185), (M185 - $B185) / $B185, "")</f>
        <v>1.680672268907563E-2</v>
      </c>
      <c r="O185" s="18">
        <f>IF(ISNUMBER(M185), $B199 * N185, "")</f>
        <v>1680.672268907563</v>
      </c>
      <c r="Q185" s="227"/>
      <c r="R185" s="227"/>
      <c r="S185" s="227"/>
    </row>
    <row r="186" spans="1:19" ht="17.25" thickBot="1">
      <c r="A186" s="125" t="s">
        <v>230</v>
      </c>
      <c r="B186" s="126">
        <v>398</v>
      </c>
      <c r="C186" s="77">
        <v>-1.97044335E-2</v>
      </c>
      <c r="D186" s="15">
        <v>394</v>
      </c>
      <c r="E186" s="32">
        <f t="shared" si="98"/>
        <v>-1.0050251256281407E-2</v>
      </c>
      <c r="F186" s="18">
        <f>IF(ISNUMBER(D186), $B199 * E186, "")</f>
        <v>-1005.0251256281407</v>
      </c>
      <c r="G186" s="31">
        <v>397</v>
      </c>
      <c r="H186" s="32">
        <f t="shared" si="99"/>
        <v>-2.5125628140703518E-3</v>
      </c>
      <c r="I186" s="101">
        <f>IF(ISNUMBER(G186), $B199 * H186, "")</f>
        <v>-251.25628140703517</v>
      </c>
      <c r="J186" s="15">
        <v>401</v>
      </c>
      <c r="K186" s="32">
        <f t="shared" si="100"/>
        <v>7.537688442211055E-3</v>
      </c>
      <c r="L186" s="18">
        <f>IF(ISNUMBER(J186), $B199 * K186, "")</f>
        <v>753.7688442211055</v>
      </c>
      <c r="M186" s="31">
        <v>399</v>
      </c>
      <c r="N186" s="32">
        <f t="shared" si="101"/>
        <v>2.5125628140703518E-3</v>
      </c>
      <c r="O186" s="18">
        <f>IF(ISNUMBER(M186), $B199 * N186, "")</f>
        <v>251.25628140703517</v>
      </c>
      <c r="Q186" s="227"/>
      <c r="R186" s="227"/>
      <c r="S186" s="227"/>
    </row>
    <row r="187" spans="1:19" ht="17.25" thickBot="1">
      <c r="A187" s="125" t="s">
        <v>194</v>
      </c>
      <c r="B187" s="126">
        <v>142</v>
      </c>
      <c r="C187" s="77">
        <v>-2.06896552E-2</v>
      </c>
      <c r="D187" s="15">
        <v>145</v>
      </c>
      <c r="E187" s="32">
        <f t="shared" si="98"/>
        <v>2.1126760563380281E-2</v>
      </c>
      <c r="F187" s="18">
        <f>IF(ISNUMBER(D187), $B199 * E187, "")</f>
        <v>2112.676056338028</v>
      </c>
      <c r="G187" s="31">
        <v>146</v>
      </c>
      <c r="H187" s="32">
        <f t="shared" si="99"/>
        <v>2.8169014084507043E-2</v>
      </c>
      <c r="I187" s="101">
        <f>IF(ISNUMBER(G187), $B199 * H187, "")</f>
        <v>2816.9014084507044</v>
      </c>
      <c r="J187" s="15">
        <v>147</v>
      </c>
      <c r="K187" s="32">
        <f t="shared" si="100"/>
        <v>3.5211267605633804E-2</v>
      </c>
      <c r="L187" s="18">
        <f>IF(ISNUMBER(J187), $B199 * K187, "")</f>
        <v>3521.1267605633802</v>
      </c>
      <c r="M187" s="31">
        <v>147</v>
      </c>
      <c r="N187" s="32">
        <f t="shared" si="101"/>
        <v>3.5211267605633804E-2</v>
      </c>
      <c r="O187" s="18">
        <f>IF(ISNUMBER(M187), $B199 * N187, "")</f>
        <v>3521.1267605633802</v>
      </c>
      <c r="Q187" s="33"/>
      <c r="R187" s="33"/>
    </row>
    <row r="188" spans="1:19" ht="17.25" thickBot="1">
      <c r="A188" s="130" t="s">
        <v>96</v>
      </c>
      <c r="B188" s="131">
        <v>6255</v>
      </c>
      <c r="C188" s="79">
        <v>-2.1126760599999999E-2</v>
      </c>
      <c r="D188" s="24">
        <v>6115</v>
      </c>
      <c r="E188" s="25">
        <f t="shared" si="98"/>
        <v>-2.2382094324540368E-2</v>
      </c>
      <c r="F188" s="104">
        <f>IF(ISNUMBER(D188), $B199 * E188, "")</f>
        <v>-2238.2094324540367</v>
      </c>
      <c r="G188" s="102">
        <v>6035</v>
      </c>
      <c r="H188" s="25">
        <f t="shared" si="99"/>
        <v>-3.5171862509992005E-2</v>
      </c>
      <c r="I188" s="103">
        <f>IF(ISNUMBER(G188), $B199 * H188, "")</f>
        <v>-3517.1862509992006</v>
      </c>
      <c r="J188" s="24">
        <v>6140</v>
      </c>
      <c r="K188" s="25">
        <f t="shared" si="100"/>
        <v>-1.838529176658673E-2</v>
      </c>
      <c r="L188" s="104">
        <f>IF(ISNUMBER(J188), $B199 * K188, "")</f>
        <v>-1838.5291766586729</v>
      </c>
      <c r="M188" s="102">
        <v>6100</v>
      </c>
      <c r="N188" s="25">
        <f t="shared" si="101"/>
        <v>-2.478017585931255E-2</v>
      </c>
      <c r="O188" s="104">
        <f>IF(ISNUMBER(M188), $B199 * N188, "")</f>
        <v>-2478.0175859312549</v>
      </c>
      <c r="Q188" s="236"/>
      <c r="R188" s="237"/>
      <c r="S188" s="238"/>
    </row>
    <row r="189" spans="1:19">
      <c r="A189" s="123" t="s">
        <v>210</v>
      </c>
      <c r="B189" s="124">
        <v>13.4</v>
      </c>
      <c r="C189" s="76">
        <v>-2.1897810199999999E-2</v>
      </c>
      <c r="D189" s="13">
        <v>15.1</v>
      </c>
      <c r="E189" s="14">
        <f>IF(ISNUMBER(D189), (D189 - $B189) / $B189, "")</f>
        <v>0.12686567164179099</v>
      </c>
      <c r="F189" s="16">
        <f>IF(ISNUMBER(D189), $B199 * E189, "")</f>
        <v>12686.5671641791</v>
      </c>
      <c r="G189" s="29">
        <v>22.8</v>
      </c>
      <c r="H189" s="14">
        <f>IF(ISNUMBER(G189), (G189 - $B189) / $B189, "")</f>
        <v>0.70149253731343286</v>
      </c>
      <c r="I189" s="100">
        <f>IF(ISNUMBER(G189), $B199 * H189, "")</f>
        <v>70149.253731343284</v>
      </c>
      <c r="J189" s="13">
        <v>19.8</v>
      </c>
      <c r="K189" s="14">
        <f>IF(ISNUMBER(J189), (J189 - $B189) / $B189, "")</f>
        <v>0.47761194029850745</v>
      </c>
      <c r="L189" s="16">
        <f>IF(ISNUMBER(J189), $B199 * K189, "")</f>
        <v>47761.194029850747</v>
      </c>
      <c r="M189" s="29">
        <v>19.100000000000001</v>
      </c>
      <c r="N189" s="14">
        <f>IF(ISNUMBER(M189), (M189 - $B189) / $B189, "")</f>
        <v>0.42537313432835827</v>
      </c>
      <c r="O189" s="16">
        <f>IF(ISNUMBER(M189), $B199 * N189, "")</f>
        <v>42537.313432835828</v>
      </c>
      <c r="Q189" s="239"/>
      <c r="R189" s="240"/>
      <c r="S189" s="241"/>
    </row>
    <row r="190" spans="1:19" ht="17.25" thickBot="1">
      <c r="A190" s="125" t="s">
        <v>232</v>
      </c>
      <c r="B190" s="126">
        <v>651</v>
      </c>
      <c r="C190" s="77">
        <v>-2.2522522499999999E-2</v>
      </c>
      <c r="D190" s="15">
        <v>646</v>
      </c>
      <c r="E190" s="32">
        <f t="shared" ref="E190:E193" si="102">IF(ISNUMBER(D190), (D190 - $B190) / $B190, "")</f>
        <v>-7.6804915514592934E-3</v>
      </c>
      <c r="F190" s="18">
        <f>IF(ISNUMBER(D190), $B199 * E190, "")</f>
        <v>-768.04915514592938</v>
      </c>
      <c r="G190" s="31">
        <v>650</v>
      </c>
      <c r="H190" s="32">
        <f t="shared" ref="H190:H193" si="103">IF(ISNUMBER(G190), (G190 - $B190) / $B190, "")</f>
        <v>-1.5360983102918587E-3</v>
      </c>
      <c r="I190" s="101">
        <f>IF(ISNUMBER(G190), $B199 * H190, "")</f>
        <v>-153.60983102918587</v>
      </c>
      <c r="J190" s="15">
        <v>649</v>
      </c>
      <c r="K190" s="32">
        <f t="shared" ref="K190:K193" si="104">IF(ISNUMBER(J190), (J190 - $B190) / $B190, "")</f>
        <v>-3.0721966205837174E-3</v>
      </c>
      <c r="L190" s="18">
        <f>IF(ISNUMBER(J190), $B199 * K190, "")</f>
        <v>-307.21966205837174</v>
      </c>
      <c r="M190" s="31">
        <v>650</v>
      </c>
      <c r="N190" s="32">
        <f t="shared" ref="N190:N193" si="105">IF(ISNUMBER(M190), (M190 - $B190) / $B190, "")</f>
        <v>-1.5360983102918587E-3</v>
      </c>
      <c r="O190" s="18">
        <f>IF(ISNUMBER(M190), $B199 * N190, "")</f>
        <v>-153.60983102918587</v>
      </c>
      <c r="Q190" s="242"/>
      <c r="R190" s="243"/>
      <c r="S190" s="244"/>
    </row>
    <row r="191" spans="1:19" ht="17.25" thickBot="1">
      <c r="A191" s="125" t="s">
        <v>198</v>
      </c>
      <c r="B191" s="126">
        <v>29290</v>
      </c>
      <c r="C191" s="77">
        <v>-2.3992002700000001E-2</v>
      </c>
      <c r="D191" s="15">
        <v>29760</v>
      </c>
      <c r="E191" s="32">
        <f t="shared" si="102"/>
        <v>1.6046432229429839E-2</v>
      </c>
      <c r="F191" s="18">
        <f>IF(ISNUMBER(D191), $B199 * E191, "")</f>
        <v>1604.6432229429838</v>
      </c>
      <c r="G191" s="31">
        <v>29010</v>
      </c>
      <c r="H191" s="32">
        <f t="shared" si="103"/>
        <v>-9.5595766473199045E-3</v>
      </c>
      <c r="I191" s="101">
        <f>IF(ISNUMBER(G191), $B199 * H191, "")</f>
        <v>-955.95766473199046</v>
      </c>
      <c r="J191" s="15">
        <v>29110</v>
      </c>
      <c r="K191" s="32">
        <f t="shared" si="104"/>
        <v>-6.1454421304199388E-3</v>
      </c>
      <c r="L191" s="18">
        <f>IF(ISNUMBER(J191), $B199 * K191, "")</f>
        <v>-614.54421304199388</v>
      </c>
      <c r="M191" s="31">
        <v>29060</v>
      </c>
      <c r="N191" s="32">
        <f t="shared" si="105"/>
        <v>-7.8525093888699212E-3</v>
      </c>
      <c r="O191" s="18">
        <f>IF(ISNUMBER(M191), $B199 * N191, "")</f>
        <v>-785.25093888699212</v>
      </c>
      <c r="Q191" s="227"/>
      <c r="R191" s="227"/>
      <c r="S191" s="227"/>
    </row>
    <row r="192" spans="1:19" ht="17.25" thickBot="1">
      <c r="A192" s="125" t="s">
        <v>156</v>
      </c>
      <c r="B192" s="126">
        <v>2400</v>
      </c>
      <c r="C192" s="77">
        <v>-2.8340081E-2</v>
      </c>
      <c r="D192" s="15">
        <v>2385</v>
      </c>
      <c r="E192" s="32">
        <f t="shared" si="102"/>
        <v>-6.2500000000000003E-3</v>
      </c>
      <c r="F192" s="18">
        <f>IF(ISNUMBER(D192), $B199 * E192, "")</f>
        <v>-625</v>
      </c>
      <c r="G192" s="31">
        <v>2380</v>
      </c>
      <c r="H192" s="32">
        <f t="shared" si="103"/>
        <v>-8.3333333333333332E-3</v>
      </c>
      <c r="I192" s="101">
        <f>IF(ISNUMBER(G192), $B199 * H192, "")</f>
        <v>-833.33333333333337</v>
      </c>
      <c r="J192" s="15">
        <v>2380</v>
      </c>
      <c r="K192" s="32">
        <f t="shared" si="104"/>
        <v>-8.3333333333333332E-3</v>
      </c>
      <c r="L192" s="18">
        <f>IF(ISNUMBER(J192), $B199 * K192, "")</f>
        <v>-833.33333333333337</v>
      </c>
      <c r="M192" s="31">
        <v>2365</v>
      </c>
      <c r="N192" s="32">
        <f t="shared" si="105"/>
        <v>-1.4583333333333334E-2</v>
      </c>
      <c r="O192" s="18">
        <f>IF(ISNUMBER(M192), $B199 * N192, "")</f>
        <v>-1458.3333333333333</v>
      </c>
      <c r="Q192" s="222"/>
      <c r="R192" s="222"/>
      <c r="S192" s="222"/>
    </row>
    <row r="193" spans="1:19" ht="17.25" thickBot="1">
      <c r="A193" s="127" t="s">
        <v>92</v>
      </c>
      <c r="B193" s="128">
        <v>89720</v>
      </c>
      <c r="C193" s="78">
        <v>-3.15198618E-2</v>
      </c>
      <c r="D193" s="20">
        <v>88310</v>
      </c>
      <c r="E193" s="21">
        <f t="shared" si="102"/>
        <v>-1.5715559518502006E-2</v>
      </c>
      <c r="F193" s="22">
        <f>IF(ISNUMBER(D193), $B199 * E193, "")</f>
        <v>-1571.5559518502005</v>
      </c>
      <c r="G193" s="30">
        <v>88010</v>
      </c>
      <c r="H193" s="21">
        <f t="shared" si="103"/>
        <v>-1.9059295586268392E-2</v>
      </c>
      <c r="I193" s="105">
        <f>IF(ISNUMBER(G193), $B199 * H193, "")</f>
        <v>-1905.9295586268393</v>
      </c>
      <c r="J193" s="20">
        <v>88400</v>
      </c>
      <c r="K193" s="21">
        <f t="shared" si="104"/>
        <v>-1.4712438698172091E-2</v>
      </c>
      <c r="L193" s="22">
        <f>IF(ISNUMBER(J193), $B199 * K193, "")</f>
        <v>-1471.2438698172091</v>
      </c>
      <c r="M193" s="30">
        <v>88320</v>
      </c>
      <c r="N193" s="21">
        <f t="shared" si="105"/>
        <v>-1.5604101649576461E-2</v>
      </c>
      <c r="O193" s="22">
        <f>IF(ISNUMBER(M193), $B199 * N193, "")</f>
        <v>-1560.410164957646</v>
      </c>
      <c r="Q193" s="222"/>
      <c r="R193" s="222"/>
      <c r="S193" s="222"/>
    </row>
    <row r="194" spans="1:19" ht="17.25" thickBot="1">
      <c r="A194" s="125" t="s">
        <v>166</v>
      </c>
      <c r="B194" s="129">
        <v>252</v>
      </c>
      <c r="C194" s="80">
        <v>-3.4482758600000003E-2</v>
      </c>
      <c r="D194" s="106">
        <v>260</v>
      </c>
      <c r="E194" s="107">
        <f>IF(ISNUMBER(D194), (D194 - $B194) / $B194, "")</f>
        <v>3.1746031746031744E-2</v>
      </c>
      <c r="F194" s="108">
        <f>IF(ISNUMBER(D194), $B199 * E194, "")</f>
        <v>3174.6031746031745</v>
      </c>
      <c r="G194" s="109">
        <v>263</v>
      </c>
      <c r="H194" s="107">
        <f>IF(ISNUMBER(G194), (G194 - $B194) / $B194, "")</f>
        <v>4.3650793650793648E-2</v>
      </c>
      <c r="I194" s="110">
        <f>IF(ISNUMBER(G194), $B199 * H194, "")</f>
        <v>4365.0793650793648</v>
      </c>
      <c r="J194" s="106">
        <v>259</v>
      </c>
      <c r="K194" s="107">
        <f>IF(ISNUMBER(J194), (J194 - $B194) / $B194, "")</f>
        <v>2.7777777777777776E-2</v>
      </c>
      <c r="L194" s="108">
        <f>IF(ISNUMBER(J194), $B199 * K194, "")</f>
        <v>2777.7777777777778</v>
      </c>
      <c r="M194" s="109">
        <v>266</v>
      </c>
      <c r="N194" s="107">
        <f>IF(ISNUMBER(M194), (M194 - $B194) / $B194, "")</f>
        <v>5.5555555555555552E-2</v>
      </c>
      <c r="O194" s="108">
        <f>IF(ISNUMBER(M194), $B199 * N194, "")</f>
        <v>5555.5555555555557</v>
      </c>
      <c r="Q194" s="227"/>
      <c r="R194" s="227"/>
      <c r="S194" s="227"/>
    </row>
    <row r="195" spans="1:19" ht="17.25" thickBot="1">
      <c r="A195" s="125" t="s">
        <v>88</v>
      </c>
      <c r="B195" s="126">
        <v>240300</v>
      </c>
      <c r="C195" s="77">
        <v>-3.4745932899999998E-2</v>
      </c>
      <c r="D195" s="15">
        <v>235250</v>
      </c>
      <c r="E195" s="32">
        <f t="shared" ref="E195:E198" si="106">IF(ISNUMBER(D195), (D195 - $B195) / $B195, "")</f>
        <v>-2.1015397419891804E-2</v>
      </c>
      <c r="F195" s="18">
        <f>IF(ISNUMBER(D195), $B199 * E195, "")</f>
        <v>-2101.5397419891801</v>
      </c>
      <c r="G195" s="31">
        <v>233150</v>
      </c>
      <c r="H195" s="32">
        <f t="shared" ref="H195:H198" si="107">IF(ISNUMBER(G195), (G195 - $B195) / $B195, "")</f>
        <v>-2.9754473574698292E-2</v>
      </c>
      <c r="I195" s="101">
        <f>IF(ISNUMBER(G195), $B199 * H195, "")</f>
        <v>-2975.4473574698291</v>
      </c>
      <c r="J195" s="15">
        <v>237500</v>
      </c>
      <c r="K195" s="32">
        <f t="shared" ref="K195:K198" si="108">IF(ISNUMBER(J195), (J195 - $B195) / $B195, "")</f>
        <v>-1.1652101539741989E-2</v>
      </c>
      <c r="L195" s="18">
        <f>IF(ISNUMBER(J195), $B199 * K195, "")</f>
        <v>-1165.2101539741989</v>
      </c>
      <c r="M195" s="31">
        <v>237600</v>
      </c>
      <c r="N195" s="32">
        <f t="shared" ref="N195:N198" si="109">IF(ISNUMBER(M195), (M195 - $B195) / $B195, "")</f>
        <v>-1.1235955056179775E-2</v>
      </c>
      <c r="O195" s="18">
        <f>IF(ISNUMBER(M195), $B199 * N195, "")</f>
        <v>-1123.5955056179776</v>
      </c>
      <c r="Q195" s="227"/>
      <c r="R195" s="227"/>
      <c r="S195" s="227"/>
    </row>
    <row r="196" spans="1:19" ht="17.25" thickBot="1">
      <c r="A196" s="125" t="s">
        <v>200</v>
      </c>
      <c r="B196" s="126">
        <v>163</v>
      </c>
      <c r="C196" s="77">
        <v>-6.8571428599999998E-2</v>
      </c>
      <c r="D196" s="15">
        <v>161</v>
      </c>
      <c r="E196" s="32">
        <f t="shared" si="106"/>
        <v>-1.2269938650306749E-2</v>
      </c>
      <c r="F196" s="18">
        <f>IF(ISNUMBER(D196), $B199 * E196, "")</f>
        <v>-1226.9938650306749</v>
      </c>
      <c r="G196" s="31">
        <v>164</v>
      </c>
      <c r="H196" s="32">
        <f t="shared" si="107"/>
        <v>6.1349693251533744E-3</v>
      </c>
      <c r="I196" s="101">
        <f>IF(ISNUMBER(G196), $B199 * H196, "")</f>
        <v>613.49693251533745</v>
      </c>
      <c r="J196" s="15">
        <v>164</v>
      </c>
      <c r="K196" s="32">
        <f t="shared" si="108"/>
        <v>6.1349693251533744E-3</v>
      </c>
      <c r="L196" s="18">
        <f>IF(ISNUMBER(J196), $B199 * K196, "")</f>
        <v>613.49693251533745</v>
      </c>
      <c r="M196" s="31">
        <v>162</v>
      </c>
      <c r="N196" s="32">
        <f t="shared" si="109"/>
        <v>-6.1349693251533744E-3</v>
      </c>
      <c r="O196" s="18">
        <f>IF(ISNUMBER(M196), $B199 * N196, "")</f>
        <v>-613.49693251533745</v>
      </c>
      <c r="Q196" s="227"/>
      <c r="R196" s="227"/>
      <c r="S196" s="227"/>
    </row>
    <row r="197" spans="1:19">
      <c r="A197" s="125" t="s">
        <v>114</v>
      </c>
      <c r="B197" s="126">
        <v>1075</v>
      </c>
      <c r="C197" s="77">
        <v>-7.7253218900000004E-2</v>
      </c>
      <c r="D197" s="15">
        <v>1250</v>
      </c>
      <c r="E197" s="32">
        <f t="shared" si="106"/>
        <v>0.16279069767441862</v>
      </c>
      <c r="F197" s="18">
        <f>IF(ISNUMBER(D197), $B199 * E197, "")</f>
        <v>16279.069767441862</v>
      </c>
      <c r="G197" s="31">
        <v>1180</v>
      </c>
      <c r="H197" s="32">
        <f t="shared" si="107"/>
        <v>9.7674418604651161E-2</v>
      </c>
      <c r="I197" s="101">
        <f>IF(ISNUMBER(G197), $B199 * H197, "")</f>
        <v>9767.4418604651164</v>
      </c>
      <c r="J197" s="15">
        <v>1175</v>
      </c>
      <c r="K197" s="32">
        <f t="shared" si="108"/>
        <v>9.3023255813953487E-2</v>
      </c>
      <c r="L197" s="18">
        <f>IF(ISNUMBER(J197), $B199 * K197, "")</f>
        <v>9302.3255813953492</v>
      </c>
      <c r="M197" s="31">
        <v>1155</v>
      </c>
      <c r="N197" s="32">
        <f t="shared" si="109"/>
        <v>7.441860465116279E-2</v>
      </c>
      <c r="O197" s="18">
        <f>IF(ISNUMBER(M197), $B199 * N197, "")</f>
        <v>7441.8604651162786</v>
      </c>
      <c r="Q197" s="249"/>
      <c r="R197" s="250"/>
      <c r="S197" s="251"/>
    </row>
    <row r="198" spans="1:19" ht="17.25" thickBot="1">
      <c r="A198" s="130" t="s">
        <v>214</v>
      </c>
      <c r="B198" s="131">
        <v>1485</v>
      </c>
      <c r="C198" s="79">
        <v>-9.7264437699999998E-2</v>
      </c>
      <c r="D198" s="24">
        <v>1480</v>
      </c>
      <c r="E198" s="25">
        <f t="shared" si="106"/>
        <v>-3.3670033670033669E-3</v>
      </c>
      <c r="F198" s="104">
        <f>IF(ISNUMBER(D198), $B199 * E198, "")</f>
        <v>-336.70033670033666</v>
      </c>
      <c r="G198" s="102">
        <v>1445</v>
      </c>
      <c r="H198" s="25">
        <f t="shared" si="107"/>
        <v>-2.6936026936026935E-2</v>
      </c>
      <c r="I198" s="103">
        <f>IF(ISNUMBER(G198), $B199 * H198, "")</f>
        <v>-2693.6026936026933</v>
      </c>
      <c r="J198" s="24">
        <v>1450</v>
      </c>
      <c r="K198" s="25">
        <f t="shared" si="108"/>
        <v>-2.3569023569023569E-2</v>
      </c>
      <c r="L198" s="104">
        <f>IF(ISNUMBER(J198), $B199 * K198, "")</f>
        <v>-2356.902356902357</v>
      </c>
      <c r="M198" s="102">
        <v>1445</v>
      </c>
      <c r="N198" s="25">
        <f t="shared" si="109"/>
        <v>-2.6936026936026935E-2</v>
      </c>
      <c r="O198" s="104">
        <f>IF(ISNUMBER(M198), $B199 * N198, "")</f>
        <v>-2693.6026936026933</v>
      </c>
      <c r="Q198" s="252"/>
      <c r="R198" s="253"/>
      <c r="S198" s="254"/>
    </row>
    <row r="199" spans="1:19" ht="17.25" thickBot="1">
      <c r="A199" s="132" t="s">
        <v>270</v>
      </c>
      <c r="B199" s="260">
        <f>$B$37</f>
        <v>100000</v>
      </c>
      <c r="C199" s="261"/>
      <c r="D199" s="26" t="s">
        <v>271</v>
      </c>
      <c r="E199" s="27">
        <f>IF(COUNT(E179:E198), SUM(E179:E198) / COUNT(E179:E198), 0)</f>
        <v>1.6786714153014762E-2</v>
      </c>
      <c r="F199" s="28">
        <f>SUM(F179:F198)</f>
        <v>33573.428306029527</v>
      </c>
      <c r="G199" s="26" t="s">
        <v>271</v>
      </c>
      <c r="H199" s="27">
        <f>IF(COUNT(H179:H198), SUM(H179:H198) / COUNT(H179:H198), 0)</f>
        <v>4.1628712692420543E-2</v>
      </c>
      <c r="I199" s="28">
        <f>SUM(I179:I198)</f>
        <v>83257.425384841088</v>
      </c>
      <c r="J199" s="26" t="s">
        <v>271</v>
      </c>
      <c r="K199" s="27">
        <f>IF(COUNT(K179:K198), SUM(K179:K198) / COUNT(K179:K198), 0)</f>
        <v>3.4113352458483001E-2</v>
      </c>
      <c r="L199" s="28">
        <f>SUM(L179:L198)</f>
        <v>68226.704916965988</v>
      </c>
      <c r="M199" s="26" t="s">
        <v>271</v>
      </c>
      <c r="N199" s="27">
        <f>IF(COUNT(N179:N198), SUM(N179:N198) / COUNT(N179:N198), 0)</f>
        <v>2.8744522081503059E-2</v>
      </c>
      <c r="O199" s="28">
        <f>SUM(O179:O198)</f>
        <v>57489.04416300611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23D65-9A30-49DB-B74C-594CC7C35412}">
  <sheetPr codeName="Sheet7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44441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320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328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18,082 KRW (0.90%)</v>
      </c>
      <c r="H3" s="217"/>
      <c r="I3" s="218"/>
      <c r="J3" s="4" t="s">
        <v>7</v>
      </c>
      <c r="K3" s="213" t="s">
        <v>321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322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319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33,743 KRW (1.98%)</v>
      </c>
      <c r="H5" s="217"/>
      <c r="I5" s="218"/>
      <c r="J5" s="4" t="s">
        <v>15</v>
      </c>
      <c r="K5" s="213" t="s">
        <v>323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324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53,723 KRW (2.69%)</v>
      </c>
      <c r="H7" s="217"/>
      <c r="I7" s="218"/>
      <c r="J7" s="4" t="s">
        <v>21</v>
      </c>
      <c r="K7" s="213" t="s">
        <v>325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255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39,648 KRW (1.98%)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326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327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318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61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55149000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2.1442459999999998E-3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2021-09-02(목) 오전 00:00</v>
      </c>
      <c r="C15" s="268"/>
      <c r="D15" s="224" t="str">
        <f>TEXT($G$1, "[$-ko-KR]yyyy-mm-dd(ddd) ") &amp; "오후 14:00"</f>
        <v>2021-09-02(목) 오후 14:00</v>
      </c>
      <c r="E15" s="225"/>
      <c r="F15" s="226"/>
      <c r="G15" s="224" t="str">
        <f>TEXT($G$1, "[$-ko-KR]yyyy-mm-dd(ddd) ") &amp; "오후 19:00"</f>
        <v>2021-09-02(목) 오후 19:00</v>
      </c>
      <c r="H15" s="225"/>
      <c r="I15" s="226"/>
      <c r="J15" s="224" t="str">
        <f>TEXT($G$1, "[$-ko-KR]yyyy-mm-dd(ddd) ") &amp; "오후 21:00"</f>
        <v>2021-09-02(목) 오후 21:00</v>
      </c>
      <c r="K15" s="225"/>
      <c r="L15" s="226"/>
      <c r="M15" s="224" t="str">
        <f>TEXT($G$1+1, "[$-ko-KR]yyyy-mm-dd(ddd) ") &amp; "오전 00:00"</f>
        <v>2021-09-03(금)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61" t="s">
        <v>267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55149000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2.1442459999999998E-3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2021-09-02(목) 오전 00:00</v>
      </c>
      <c r="C42" s="265"/>
      <c r="D42" s="224" t="str">
        <f>TEXT($G$1, "[$-ko-KR]yyyy-mm-dd(ddd) ") &amp; "오후 14:00"</f>
        <v>2021-09-02(목) 오후 14:00</v>
      </c>
      <c r="E42" s="225"/>
      <c r="F42" s="226"/>
      <c r="G42" s="224" t="str">
        <f>TEXT($G$1, "[$-ko-KR]yyyy-mm-dd(ddd) ") &amp; "오후 19:00"</f>
        <v>2021-09-02(목) 오후 19:00</v>
      </c>
      <c r="H42" s="225"/>
      <c r="I42" s="226"/>
      <c r="J42" s="224" t="str">
        <f>TEXT($G$1, "[$-ko-KR]yyyy-mm-dd(ddd) ") &amp; "오후 21:00"</f>
        <v>2021-09-02(목) 오후 21:00</v>
      </c>
      <c r="K42" s="225"/>
      <c r="L42" s="226"/>
      <c r="M42" s="224" t="str">
        <f>TEXT($G$1+1, "[$-ko-KR]yyyy-mm-dd(ddd) ") &amp; "오전 00:00"</f>
        <v>2021-09-03(금)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7"/>
      <c r="R43" s="227"/>
      <c r="S43" s="227"/>
    </row>
    <row r="44" spans="1:19" ht="17.25" customHeight="1" thickBot="1">
      <c r="A44" s="123" t="s">
        <v>210</v>
      </c>
      <c r="B44" s="124">
        <v>19.100000000000001</v>
      </c>
      <c r="C44" s="76">
        <v>0.41481481479999999</v>
      </c>
      <c r="D44" s="13">
        <v>17.7</v>
      </c>
      <c r="E44" s="14">
        <f>IF(ISNUMBER(D44), (D44 - $B44) / $B44, "")</f>
        <v>-7.3298429319371833E-2</v>
      </c>
      <c r="F44" s="16">
        <f>IF(ISNUMBER(D44), $B64 * E44, "")</f>
        <v>-7329.8429319371835</v>
      </c>
      <c r="G44" s="29">
        <v>17.2</v>
      </c>
      <c r="H44" s="14">
        <f>IF(ISNUMBER(G44), (G44 - $B44) / $B44, "")</f>
        <v>-9.9476439790576021E-2</v>
      </c>
      <c r="I44" s="100">
        <f>IF(ISNUMBER(G44), $B64 * H44, "")</f>
        <v>-9947.6439790576023</v>
      </c>
      <c r="J44" s="13">
        <v>17.399999999999999</v>
      </c>
      <c r="K44" s="14">
        <f>IF(ISNUMBER(J44), (J44 - $B44) / $B44, "")</f>
        <v>-8.9005235602094376E-2</v>
      </c>
      <c r="L44" s="16">
        <f>IF(ISNUMBER(J44), $B64 * K44, "")</f>
        <v>-8900.5235602094381</v>
      </c>
      <c r="M44" s="29">
        <v>17.3</v>
      </c>
      <c r="N44" s="14">
        <f>IF(ISNUMBER(M44), (M44 - $B44) / $B44, "")</f>
        <v>-9.4240837696335109E-2</v>
      </c>
      <c r="O44" s="16">
        <f>IF(ISNUMBER(M44), $B64 * N44, "")</f>
        <v>-9424.0837696335111</v>
      </c>
      <c r="Q44" s="222"/>
      <c r="R44" s="222"/>
      <c r="S44" s="222"/>
    </row>
    <row r="45" spans="1:19" ht="17.25" customHeight="1" thickBot="1">
      <c r="A45" s="125" t="s">
        <v>178</v>
      </c>
      <c r="B45" s="126">
        <v>19.8</v>
      </c>
      <c r="C45" s="77">
        <v>6.4516129000000005E-2</v>
      </c>
      <c r="D45" s="15">
        <v>19.8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20</v>
      </c>
      <c r="H45" s="32">
        <f t="shared" ref="H45:H48" si="15">IF(ISNUMBER(G45), (G45 - $B45) / $B45, "")</f>
        <v>1.0101010101010065E-2</v>
      </c>
      <c r="I45" s="101">
        <f>IF(ISNUMBER(G45), $B64 * H45, "")</f>
        <v>1010.1010101010065</v>
      </c>
      <c r="J45" s="15">
        <v>20.100000000000001</v>
      </c>
      <c r="K45" s="32">
        <f t="shared" ref="K45:K48" si="16">IF(ISNUMBER(J45), (J45 - $B45) / $B45, "")</f>
        <v>1.5151515151515187E-2</v>
      </c>
      <c r="L45" s="18">
        <f>IF(ISNUMBER(J45), $B64 * K45, "")</f>
        <v>1515.1515151515187</v>
      </c>
      <c r="M45" s="31">
        <v>19.8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22"/>
      <c r="R45" s="222"/>
      <c r="S45" s="222"/>
    </row>
    <row r="46" spans="1:19" ht="17.25" customHeight="1" thickBot="1">
      <c r="A46" s="125" t="s">
        <v>122</v>
      </c>
      <c r="B46" s="126">
        <v>40.799999999999997</v>
      </c>
      <c r="C46" s="77">
        <v>5.6994818699999998E-2</v>
      </c>
      <c r="D46" s="15">
        <v>40.4</v>
      </c>
      <c r="E46" s="32">
        <f t="shared" si="14"/>
        <v>-9.8039215686274161E-3</v>
      </c>
      <c r="F46" s="18">
        <f>IF(ISNUMBER(D46), $B64 * E46, "")</f>
        <v>-980.39215686274156</v>
      </c>
      <c r="G46" s="31">
        <v>41.2</v>
      </c>
      <c r="H46" s="32">
        <f t="shared" si="15"/>
        <v>9.8039215686275914E-3</v>
      </c>
      <c r="I46" s="101">
        <f>IF(ISNUMBER(G46), $B64 * H46, "")</f>
        <v>980.39215686275918</v>
      </c>
      <c r="J46" s="15">
        <v>40.799999999999997</v>
      </c>
      <c r="K46" s="32">
        <f t="shared" si="16"/>
        <v>0</v>
      </c>
      <c r="L46" s="18">
        <f>IF(ISNUMBER(J46), $B64 * K46, "")</f>
        <v>0</v>
      </c>
      <c r="M46" s="31">
        <v>40.4</v>
      </c>
      <c r="N46" s="32">
        <f t="shared" si="17"/>
        <v>-9.8039215686274161E-3</v>
      </c>
      <c r="O46" s="18">
        <f>IF(ISNUMBER(M46), $B64 * N46, "")</f>
        <v>-980.39215686274156</v>
      </c>
      <c r="Q46" s="227"/>
      <c r="R46" s="227"/>
      <c r="S46" s="227"/>
    </row>
    <row r="47" spans="1:19" ht="17.25" customHeight="1" thickBot="1">
      <c r="A47" s="125" t="s">
        <v>188</v>
      </c>
      <c r="B47" s="126">
        <v>13.9</v>
      </c>
      <c r="C47" s="77">
        <v>4.5112781999999997E-2</v>
      </c>
      <c r="D47" s="15">
        <v>13.9</v>
      </c>
      <c r="E47" s="32">
        <f t="shared" si="14"/>
        <v>0</v>
      </c>
      <c r="F47" s="18">
        <f>IF(ISNUMBER(D47), $B64 * E47, "")</f>
        <v>0</v>
      </c>
      <c r="G47" s="31">
        <v>14.2</v>
      </c>
      <c r="H47" s="32">
        <f t="shared" si="15"/>
        <v>2.1582733812949562E-2</v>
      </c>
      <c r="I47" s="101">
        <f>IF(ISNUMBER(G47), $B64 * H47, "")</f>
        <v>2158.2733812949564</v>
      </c>
      <c r="J47" s="15">
        <v>14.2</v>
      </c>
      <c r="K47" s="32">
        <f t="shared" si="16"/>
        <v>2.1582733812949562E-2</v>
      </c>
      <c r="L47" s="18">
        <f>IF(ISNUMBER(J47), $B64 * K47, "")</f>
        <v>2158.2733812949564</v>
      </c>
      <c r="M47" s="31">
        <v>13.9</v>
      </c>
      <c r="N47" s="32">
        <f t="shared" si="17"/>
        <v>0</v>
      </c>
      <c r="O47" s="18">
        <f>IF(ISNUMBER(M47), $B64 * N47, "")</f>
        <v>0</v>
      </c>
      <c r="Q47" s="227"/>
      <c r="R47" s="227"/>
      <c r="S47" s="227"/>
    </row>
    <row r="48" spans="1:19" ht="17.25" customHeight="1" thickBot="1">
      <c r="A48" s="127" t="s">
        <v>148</v>
      </c>
      <c r="B48" s="128">
        <v>23.8</v>
      </c>
      <c r="C48" s="78">
        <v>3.0303030299999999E-2</v>
      </c>
      <c r="D48" s="20">
        <v>24.3</v>
      </c>
      <c r="E48" s="21">
        <f t="shared" si="14"/>
        <v>2.1008403361344536E-2</v>
      </c>
      <c r="F48" s="22">
        <f>IF(ISNUMBER(D48), $B64 * E48, "")</f>
        <v>2100.8403361344535</v>
      </c>
      <c r="G48" s="30">
        <v>24.3</v>
      </c>
      <c r="H48" s="21">
        <f t="shared" si="15"/>
        <v>2.1008403361344536E-2</v>
      </c>
      <c r="I48" s="105">
        <f>IF(ISNUMBER(G48), $B64 * H48, "")</f>
        <v>2100.8403361344535</v>
      </c>
      <c r="J48" s="20">
        <v>24.4</v>
      </c>
      <c r="K48" s="21">
        <f t="shared" si="16"/>
        <v>2.5210084033613356E-2</v>
      </c>
      <c r="L48" s="22">
        <f>IF(ISNUMBER(J48), $B64 * K48, "")</f>
        <v>2521.0084033613357</v>
      </c>
      <c r="M48" s="30">
        <v>24.1</v>
      </c>
      <c r="N48" s="21">
        <f t="shared" si="17"/>
        <v>1.2605042016806753E-2</v>
      </c>
      <c r="O48" s="22">
        <f>IF(ISNUMBER(M48), $B64 * N48, "")</f>
        <v>1260.5042016806754</v>
      </c>
      <c r="Q48" s="227"/>
      <c r="R48" s="227"/>
      <c r="S48" s="227"/>
    </row>
    <row r="49" spans="1:19" ht="17.25" customHeight="1" thickBot="1">
      <c r="A49" s="125" t="s">
        <v>208</v>
      </c>
      <c r="B49" s="129">
        <v>14.3</v>
      </c>
      <c r="C49" s="80">
        <v>2.87769784E-2</v>
      </c>
      <c r="D49" s="106">
        <v>14.8</v>
      </c>
      <c r="E49" s="107">
        <f>IF(ISNUMBER(D49), (D49 - $B49) / $B49, "")</f>
        <v>3.4965034965034961E-2</v>
      </c>
      <c r="F49" s="108">
        <f>IF(ISNUMBER(D49), $B64 * E49, "")</f>
        <v>3496.5034965034961</v>
      </c>
      <c r="G49" s="109">
        <v>14.8</v>
      </c>
      <c r="H49" s="107">
        <f>IF(ISNUMBER(G49), (G49 - $B49) / $B49, "")</f>
        <v>3.4965034965034961E-2</v>
      </c>
      <c r="I49" s="110">
        <f>IF(ISNUMBER(G49), $B64 * H49, "")</f>
        <v>3496.5034965034961</v>
      </c>
      <c r="J49" s="106">
        <v>14.8</v>
      </c>
      <c r="K49" s="107">
        <f>IF(ISNUMBER(J49), (J49 - $B49) / $B49, "")</f>
        <v>3.4965034965034961E-2</v>
      </c>
      <c r="L49" s="108">
        <f>IF(ISNUMBER(J49), $B64 * K49, "")</f>
        <v>3496.5034965034961</v>
      </c>
      <c r="M49" s="109">
        <v>14.7</v>
      </c>
      <c r="N49" s="107">
        <f>IF(ISNUMBER(M49), (M49 - $B49) / $B49, "")</f>
        <v>2.7972027972027871E-2</v>
      </c>
      <c r="O49" s="108">
        <f>IF(ISNUMBER(M49), $B64 * N49, "")</f>
        <v>2797.2027972027872</v>
      </c>
      <c r="Q49" s="227"/>
      <c r="R49" s="227"/>
      <c r="S49" s="227"/>
    </row>
    <row r="50" spans="1:19" ht="17.25" customHeight="1" thickBot="1">
      <c r="A50" s="125" t="s">
        <v>216</v>
      </c>
      <c r="B50" s="126">
        <v>11.7</v>
      </c>
      <c r="C50" s="77">
        <v>2.6315789499999999E-2</v>
      </c>
      <c r="D50" s="15">
        <v>12.2</v>
      </c>
      <c r="E50" s="32">
        <f t="shared" ref="E50:E53" si="18">IF(ISNUMBER(D50), (D50 - $B50) / $B50, "")</f>
        <v>4.2735042735042736E-2</v>
      </c>
      <c r="F50" s="18">
        <f>IF(ISNUMBER(D50), $B64 * E50, "")</f>
        <v>4273.5042735042734</v>
      </c>
      <c r="G50" s="31">
        <v>12.3</v>
      </c>
      <c r="H50" s="32">
        <f t="shared" ref="H50:H53" si="19">IF(ISNUMBER(G50), (G50 - $B50) / $B50, "")</f>
        <v>5.1282051282051405E-2</v>
      </c>
      <c r="I50" s="101">
        <f>IF(ISNUMBER(G50), $B64 * H50, "")</f>
        <v>5128.2051282051407</v>
      </c>
      <c r="J50" s="15">
        <v>12.3</v>
      </c>
      <c r="K50" s="32">
        <f t="shared" ref="K50:K53" si="20">IF(ISNUMBER(J50), (J50 - $B50) / $B50, "")</f>
        <v>5.1282051282051405E-2</v>
      </c>
      <c r="L50" s="18">
        <f>IF(ISNUMBER(J50), $B64 * K50, "")</f>
        <v>5128.2051282051407</v>
      </c>
      <c r="M50" s="31">
        <v>12.1</v>
      </c>
      <c r="N50" s="32">
        <f t="shared" ref="N50:N53" si="21">IF(ISNUMBER(M50), (M50 - $B50) / $B50, "")</f>
        <v>3.4188034188034219E-2</v>
      </c>
      <c r="O50" s="18">
        <f>IF(ISNUMBER(M50), $B64 * N50, "")</f>
        <v>3418.8034188034221</v>
      </c>
      <c r="Q50" s="227"/>
      <c r="R50" s="227"/>
      <c r="S50" s="227"/>
    </row>
    <row r="51" spans="1:19" ht="17.25" customHeight="1" thickBot="1">
      <c r="A51" s="125" t="s">
        <v>250</v>
      </c>
      <c r="B51" s="126">
        <v>88.8</v>
      </c>
      <c r="C51" s="77">
        <v>2.5404157E-2</v>
      </c>
      <c r="D51" s="15">
        <v>92.5</v>
      </c>
      <c r="E51" s="32">
        <f t="shared" si="18"/>
        <v>4.1666666666666699E-2</v>
      </c>
      <c r="F51" s="18">
        <f>IF(ISNUMBER(D51), $B64 * E51, "")</f>
        <v>4166.6666666666697</v>
      </c>
      <c r="G51" s="31">
        <v>93.6</v>
      </c>
      <c r="H51" s="32">
        <f t="shared" si="19"/>
        <v>5.4054054054054022E-2</v>
      </c>
      <c r="I51" s="101">
        <f>IF(ISNUMBER(G51), $B64 * H51, "")</f>
        <v>5405.4054054054022</v>
      </c>
      <c r="J51" s="15">
        <v>99.3</v>
      </c>
      <c r="K51" s="32">
        <f t="shared" si="20"/>
        <v>0.11824324324324324</v>
      </c>
      <c r="L51" s="18">
        <f>IF(ISNUMBER(J51), $B64 * K51, "")</f>
        <v>11824.324324324325</v>
      </c>
      <c r="M51" s="31">
        <v>96.9</v>
      </c>
      <c r="N51" s="32">
        <f t="shared" si="21"/>
        <v>9.1216216216216311E-2</v>
      </c>
      <c r="O51" s="18">
        <f>IF(ISNUMBER(M51), $B64 * N51, "")</f>
        <v>9121.6216216216308</v>
      </c>
      <c r="Q51" s="227"/>
      <c r="R51" s="227"/>
      <c r="S51" s="227"/>
    </row>
    <row r="52" spans="1:19" ht="17.25" customHeight="1" thickBot="1">
      <c r="A52" s="125" t="s">
        <v>98</v>
      </c>
      <c r="B52" s="126">
        <v>5.05</v>
      </c>
      <c r="C52" s="77">
        <v>2.4340770800000001E-2</v>
      </c>
      <c r="D52" s="15">
        <v>5.1100000000000003</v>
      </c>
      <c r="E52" s="32">
        <f t="shared" si="18"/>
        <v>1.188118811881198E-2</v>
      </c>
      <c r="F52" s="18">
        <f>IF(ISNUMBER(D52), $B64 * E52, "")</f>
        <v>1188.1188118811981</v>
      </c>
      <c r="G52" s="31">
        <v>5.23</v>
      </c>
      <c r="H52" s="32">
        <f t="shared" si="19"/>
        <v>3.5643564356435765E-2</v>
      </c>
      <c r="I52" s="101">
        <f>IF(ISNUMBER(G52), $B64 * H52, "")</f>
        <v>3564.3564356435763</v>
      </c>
      <c r="J52" s="15">
        <v>5.47</v>
      </c>
      <c r="K52" s="32">
        <f t="shared" si="20"/>
        <v>8.3168316831683159E-2</v>
      </c>
      <c r="L52" s="18">
        <f>IF(ISNUMBER(J52), $B64 * K52, "")</f>
        <v>8316.8316831683151</v>
      </c>
      <c r="M52" s="31">
        <v>5.32</v>
      </c>
      <c r="N52" s="32">
        <f t="shared" si="21"/>
        <v>5.3465346534653561E-2</v>
      </c>
      <c r="O52" s="18">
        <f>IF(ISNUMBER(M52), $B64 * N52, "")</f>
        <v>5346.5346534653563</v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2.2900763399999999E-2</v>
      </c>
      <c r="D53" s="24">
        <v>13.8</v>
      </c>
      <c r="E53" s="25">
        <f t="shared" si="18"/>
        <v>2.9850746268656744E-2</v>
      </c>
      <c r="F53" s="104">
        <f>IF(ISNUMBER(D53), $B64 * E53, "")</f>
        <v>2985.0746268656744</v>
      </c>
      <c r="G53" s="102">
        <v>14</v>
      </c>
      <c r="H53" s="25">
        <f t="shared" si="19"/>
        <v>4.4776119402985044E-2</v>
      </c>
      <c r="I53" s="103">
        <f>IF(ISNUMBER(G53), $B64 * H53, "")</f>
        <v>4477.6119402985041</v>
      </c>
      <c r="J53" s="24">
        <v>14</v>
      </c>
      <c r="K53" s="25">
        <f t="shared" si="20"/>
        <v>4.4776119402985044E-2</v>
      </c>
      <c r="L53" s="104">
        <f>IF(ISNUMBER(J53), $B64 * K53, "")</f>
        <v>4477.6119402985041</v>
      </c>
      <c r="M53" s="102">
        <v>13.9</v>
      </c>
      <c r="N53" s="25">
        <f t="shared" si="21"/>
        <v>3.7313432835820892E-2</v>
      </c>
      <c r="O53" s="104">
        <f>IF(ISNUMBER(M53), $B64 * N53, "")</f>
        <v>3731.343283582089</v>
      </c>
      <c r="Q53" s="236"/>
      <c r="R53" s="237"/>
      <c r="S53" s="238"/>
    </row>
    <row r="54" spans="1:19" ht="17.25" customHeight="1">
      <c r="A54" s="123" t="s">
        <v>204</v>
      </c>
      <c r="B54" s="124">
        <v>15.8</v>
      </c>
      <c r="C54" s="76">
        <v>1.9354838700000002E-2</v>
      </c>
      <c r="D54" s="13">
        <v>17.899999999999999</v>
      </c>
      <c r="E54" s="14">
        <f>IF(ISNUMBER(D54), (D54 - $B54) / $B54, "")</f>
        <v>0.13291139240506314</v>
      </c>
      <c r="F54" s="16">
        <f>IF(ISNUMBER(D54), $B64 * E54, "")</f>
        <v>13291.139240506314</v>
      </c>
      <c r="G54" s="29">
        <v>17.2</v>
      </c>
      <c r="H54" s="14">
        <f>IF(ISNUMBER(G54), (G54 - $B54) / $B54, "")</f>
        <v>8.8607594936708764E-2</v>
      </c>
      <c r="I54" s="100">
        <f>IF(ISNUMBER(G54), $B64 * H54, "")</f>
        <v>8860.7594936708756</v>
      </c>
      <c r="J54" s="13">
        <v>17.2</v>
      </c>
      <c r="K54" s="14">
        <f>IF(ISNUMBER(J54), (J54 - $B54) / $B54, "")</f>
        <v>8.8607594936708764E-2</v>
      </c>
      <c r="L54" s="16">
        <f>IF(ISNUMBER(J54), $B64 * K54, "")</f>
        <v>8860.7594936708756</v>
      </c>
      <c r="M54" s="29">
        <v>17</v>
      </c>
      <c r="N54" s="14">
        <f>IF(ISNUMBER(M54), (M54 - $B54) / $B54, "")</f>
        <v>7.5949367088607542E-2</v>
      </c>
      <c r="O54" s="16">
        <f>IF(ISNUMBER(M54), $B64 * N54, "")</f>
        <v>7594.9367088607542</v>
      </c>
      <c r="Q54" s="239"/>
      <c r="R54" s="240"/>
      <c r="S54" s="241"/>
    </row>
    <row r="55" spans="1:19" ht="17.25" customHeight="1" thickBot="1">
      <c r="A55" s="125" t="s">
        <v>72</v>
      </c>
      <c r="B55" s="126">
        <v>26</v>
      </c>
      <c r="C55" s="77">
        <v>1.16731518E-2</v>
      </c>
      <c r="D55" s="15">
        <v>27</v>
      </c>
      <c r="E55" s="32">
        <f t="shared" ref="E55:E58" si="22">IF(ISNUMBER(D55), (D55 - $B55) / $B55, "")</f>
        <v>3.8461538461538464E-2</v>
      </c>
      <c r="F55" s="18">
        <f>IF(ISNUMBER(D55), $B64 * E55, "")</f>
        <v>3846.1538461538462</v>
      </c>
      <c r="G55" s="31">
        <v>27</v>
      </c>
      <c r="H55" s="32">
        <f t="shared" ref="H55:H58" si="23">IF(ISNUMBER(G55), (G55 - $B55) / $B55, "")</f>
        <v>3.8461538461538464E-2</v>
      </c>
      <c r="I55" s="101">
        <f>IF(ISNUMBER(G55), $B64 * H55, "")</f>
        <v>3846.1538461538462</v>
      </c>
      <c r="J55" s="15">
        <v>27</v>
      </c>
      <c r="K55" s="32">
        <f t="shared" ref="K55:K58" si="24">IF(ISNUMBER(J55), (J55 - $B55) / $B55, "")</f>
        <v>3.8461538461538464E-2</v>
      </c>
      <c r="L55" s="18">
        <f>IF(ISNUMBER(J55), $B64 * K55, "")</f>
        <v>3846.1538461538462</v>
      </c>
      <c r="M55" s="31">
        <v>26.5</v>
      </c>
      <c r="N55" s="32">
        <f t="shared" ref="N55:N58" si="25">IF(ISNUMBER(M55), (M55 - $B55) / $B55, "")</f>
        <v>1.9230769230769232E-2</v>
      </c>
      <c r="O55" s="18">
        <f>IF(ISNUMBER(M55), $B64 * N55, "")</f>
        <v>1923.0769230769231</v>
      </c>
      <c r="Q55" s="242"/>
      <c r="R55" s="243"/>
      <c r="S55" s="244"/>
    </row>
    <row r="56" spans="1:19" ht="17.25" customHeight="1" thickBot="1">
      <c r="A56" s="125" t="s">
        <v>190</v>
      </c>
      <c r="B56" s="126">
        <v>19.399999999999999</v>
      </c>
      <c r="C56" s="77">
        <v>1.04166667E-2</v>
      </c>
      <c r="D56" s="15">
        <v>20.100000000000001</v>
      </c>
      <c r="E56" s="32">
        <f t="shared" si="22"/>
        <v>3.6082474226804273E-2</v>
      </c>
      <c r="F56" s="18">
        <f>IF(ISNUMBER(D56), $B64 * E56, "")</f>
        <v>3608.2474226804275</v>
      </c>
      <c r="G56" s="31">
        <v>20.100000000000001</v>
      </c>
      <c r="H56" s="32">
        <f t="shared" si="23"/>
        <v>3.6082474226804273E-2</v>
      </c>
      <c r="I56" s="101">
        <f>IF(ISNUMBER(G56), $B64 * H56, "")</f>
        <v>3608.2474226804275</v>
      </c>
      <c r="J56" s="15">
        <v>20.2</v>
      </c>
      <c r="K56" s="32">
        <f t="shared" si="24"/>
        <v>4.1237113402061897E-2</v>
      </c>
      <c r="L56" s="18">
        <f>IF(ISNUMBER(J56), $B64 * K56, "")</f>
        <v>4123.7113402061896</v>
      </c>
      <c r="M56" s="31">
        <v>20</v>
      </c>
      <c r="N56" s="32">
        <f t="shared" si="25"/>
        <v>3.0927835051546466E-2</v>
      </c>
      <c r="O56" s="18">
        <f>IF(ISNUMBER(M56), $B64 * N56, "")</f>
        <v>3092.7835051546467</v>
      </c>
      <c r="Q56" s="227"/>
      <c r="R56" s="227"/>
      <c r="S56" s="227"/>
    </row>
    <row r="57" spans="1:19" ht="17.25" customHeight="1" thickBot="1">
      <c r="A57" s="125" t="s">
        <v>65</v>
      </c>
      <c r="B57" s="126">
        <v>50</v>
      </c>
      <c r="C57" s="77">
        <v>1.01010101E-2</v>
      </c>
      <c r="D57" s="15">
        <v>50.7</v>
      </c>
      <c r="E57" s="32">
        <f t="shared" si="22"/>
        <v>1.4000000000000058E-2</v>
      </c>
      <c r="F57" s="18">
        <f>IF(ISNUMBER(D57), $B64 * E57, "")</f>
        <v>1400.0000000000057</v>
      </c>
      <c r="G57" s="31">
        <v>52.7</v>
      </c>
      <c r="H57" s="32">
        <f t="shared" si="23"/>
        <v>5.4000000000000055E-2</v>
      </c>
      <c r="I57" s="101">
        <f>IF(ISNUMBER(G57), $B64 * H57, "")</f>
        <v>5400.0000000000055</v>
      </c>
      <c r="J57" s="15">
        <v>51.8</v>
      </c>
      <c r="K57" s="32">
        <f t="shared" si="24"/>
        <v>3.5999999999999942E-2</v>
      </c>
      <c r="L57" s="18">
        <f>IF(ISNUMBER(J57), $B64 * K57, "")</f>
        <v>3599.9999999999941</v>
      </c>
      <c r="M57" s="31">
        <v>51.1</v>
      </c>
      <c r="N57" s="32">
        <f t="shared" si="25"/>
        <v>2.200000000000003E-2</v>
      </c>
      <c r="O57" s="18">
        <f>IF(ISNUMBER(M57), $B64 * N57, "")</f>
        <v>2200.0000000000032</v>
      </c>
      <c r="Q57" s="222"/>
      <c r="R57" s="222"/>
      <c r="S57" s="222"/>
    </row>
    <row r="58" spans="1:19" ht="17.25" customHeight="1" thickBot="1">
      <c r="A58" s="127" t="s">
        <v>202</v>
      </c>
      <c r="B58" s="128">
        <v>92.7</v>
      </c>
      <c r="C58" s="78">
        <v>8.7051143000000004E-3</v>
      </c>
      <c r="D58" s="20">
        <v>93.5</v>
      </c>
      <c r="E58" s="21">
        <f t="shared" si="22"/>
        <v>8.6299892125134541E-3</v>
      </c>
      <c r="F58" s="22">
        <f>IF(ISNUMBER(D58), $B64 * E58, "")</f>
        <v>862.99892125134545</v>
      </c>
      <c r="G58" s="30">
        <v>93.9</v>
      </c>
      <c r="H58" s="21">
        <f t="shared" si="23"/>
        <v>1.2944983818770257E-2</v>
      </c>
      <c r="I58" s="105">
        <f>IF(ISNUMBER(G58), $B64 * H58, "")</f>
        <v>1294.4983818770256</v>
      </c>
      <c r="J58" s="20">
        <v>94.1</v>
      </c>
      <c r="K58" s="21">
        <f t="shared" si="24"/>
        <v>1.5102481121898504E-2</v>
      </c>
      <c r="L58" s="22">
        <f>IF(ISNUMBER(J58), $B64 * K58, "")</f>
        <v>1510.2481121898504</v>
      </c>
      <c r="M58" s="30">
        <v>93.3</v>
      </c>
      <c r="N58" s="21">
        <f t="shared" si="25"/>
        <v>6.472491909385052E-3</v>
      </c>
      <c r="O58" s="22">
        <f>IF(ISNUMBER(M58), $B64 * N58, "")</f>
        <v>647.24919093850519</v>
      </c>
      <c r="Q58" s="222"/>
      <c r="R58" s="222"/>
      <c r="S58" s="222"/>
    </row>
    <row r="59" spans="1:19" ht="17.25" customHeight="1" thickBot="1">
      <c r="A59" s="125" t="s">
        <v>234</v>
      </c>
      <c r="B59" s="129">
        <v>85.7</v>
      </c>
      <c r="C59" s="80">
        <v>2.3391813000000002E-3</v>
      </c>
      <c r="D59" s="106">
        <v>87.6</v>
      </c>
      <c r="E59" s="107">
        <f>IF(ISNUMBER(D59), (D59 - $B59) / $B59, "")</f>
        <v>2.2170361726954392E-2</v>
      </c>
      <c r="F59" s="108">
        <f>IF(ISNUMBER(D59), $B64 * E59, "")</f>
        <v>2217.0361726954393</v>
      </c>
      <c r="G59" s="109">
        <v>88</v>
      </c>
      <c r="H59" s="107">
        <f>IF(ISNUMBER(G59), (G59 - $B59) / $B59, "")</f>
        <v>2.6837806301050142E-2</v>
      </c>
      <c r="I59" s="110">
        <f>IF(ISNUMBER(G59), $B64 * H59, "")</f>
        <v>2683.7806301050141</v>
      </c>
      <c r="J59" s="106">
        <v>88.2</v>
      </c>
      <c r="K59" s="107">
        <f>IF(ISNUMBER(J59), (J59 - $B59) / $B59, "")</f>
        <v>2.9171528588098017E-2</v>
      </c>
      <c r="L59" s="108">
        <f>IF(ISNUMBER(J59), $B64 * K59, "")</f>
        <v>2917.1528588098017</v>
      </c>
      <c r="M59" s="109">
        <v>87</v>
      </c>
      <c r="N59" s="107">
        <f>IF(ISNUMBER(M59), (M59 - $B59) / $B59, "")</f>
        <v>1.5169194865810936E-2</v>
      </c>
      <c r="O59" s="108">
        <f>IF(ISNUMBER(M59), $B64 * N59, "")</f>
        <v>1516.9194865810935</v>
      </c>
      <c r="Q59" s="227"/>
      <c r="R59" s="227"/>
      <c r="S59" s="227"/>
    </row>
    <row r="60" spans="1:19" ht="17.25" customHeight="1" thickBot="1">
      <c r="A60" s="125" t="s">
        <v>240</v>
      </c>
      <c r="B60" s="126">
        <v>73.5</v>
      </c>
      <c r="C60" s="77">
        <v>0</v>
      </c>
      <c r="D60" s="15">
        <v>74.7</v>
      </c>
      <c r="E60" s="32">
        <f t="shared" ref="E60:E63" si="26">IF(ISNUMBER(D60), (D60 - $B60) / $B60, "")</f>
        <v>1.6326530612244938E-2</v>
      </c>
      <c r="F60" s="18">
        <f>IF(ISNUMBER(D60), $B64 * E60, "")</f>
        <v>1632.6530612244937</v>
      </c>
      <c r="G60" s="31">
        <v>75.5</v>
      </c>
      <c r="H60" s="32">
        <f t="shared" ref="H60:H63" si="27">IF(ISNUMBER(G60), (G60 - $B60) / $B60, "")</f>
        <v>2.7210884353741496E-2</v>
      </c>
      <c r="I60" s="101">
        <f>IF(ISNUMBER(G60), $B64 * H60, "")</f>
        <v>2721.0884353741494</v>
      </c>
      <c r="J60" s="15">
        <v>76</v>
      </c>
      <c r="K60" s="32">
        <f t="shared" ref="K60:K63" si="28">IF(ISNUMBER(J60), (J60 - $B60) / $B60, "")</f>
        <v>3.4013605442176874E-2</v>
      </c>
      <c r="L60" s="18">
        <f>IF(ISNUMBER(J60), $B64 * K60, "")</f>
        <v>3401.3605442176872</v>
      </c>
      <c r="M60" s="31">
        <v>74.599999999999994</v>
      </c>
      <c r="N60" s="32">
        <f t="shared" ref="N60:N63" si="29">IF(ISNUMBER(M60), (M60 - $B60) / $B60, "")</f>
        <v>1.4965986394557746E-2</v>
      </c>
      <c r="O60" s="18">
        <f>IF(ISNUMBER(M60), $B64 * N60, "")</f>
        <v>1496.5986394557747</v>
      </c>
      <c r="Q60" s="227"/>
      <c r="R60" s="227"/>
      <c r="S60" s="22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132" t="s">
        <v>270</v>
      </c>
      <c r="B64" s="260">
        <f>$B$37</f>
        <v>100000</v>
      </c>
      <c r="C64" s="261"/>
      <c r="D64" s="26" t="s">
        <v>271</v>
      </c>
      <c r="E64" s="27">
        <f>IF(COUNT(E44:E63), SUM(E44:E63) / COUNT(E44:E63), 0)</f>
        <v>2.1622765757216306E-2</v>
      </c>
      <c r="F64" s="28">
        <f>SUM(F44:F63)</f>
        <v>36758.70178726771</v>
      </c>
      <c r="G64" s="26" t="s">
        <v>271</v>
      </c>
      <c r="H64" s="27">
        <f>IF(COUNT(H44:H63), SUM(H44:H63) / COUNT(H44:H63), 0)</f>
        <v>2.7522690306619434E-2</v>
      </c>
      <c r="I64" s="28">
        <f>SUM(I44:I63)</f>
        <v>46788.573521253042</v>
      </c>
      <c r="J64" s="26" t="s">
        <v>271</v>
      </c>
      <c r="K64" s="27">
        <f>IF(COUNT(K44:K63), SUM(K44:K63) / COUNT(K44:K63), 0)</f>
        <v>3.4586336769027295E-2</v>
      </c>
      <c r="L64" s="28">
        <f>SUM(L44:L63)</f>
        <v>58796.772507346395</v>
      </c>
      <c r="M64" s="26" t="s">
        <v>271</v>
      </c>
      <c r="N64" s="27">
        <f>IF(COUNT(N44:N63), SUM(N44:N63) / COUNT(N44:N63), 0)</f>
        <v>1.9848881472898473E-2</v>
      </c>
      <c r="O64" s="28">
        <f>SUM(O44:O63)</f>
        <v>33743.098503927409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61" t="s">
        <v>267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55149000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2.1442459999999998E-3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2021-09-02(목) 오전 00:00</v>
      </c>
      <c r="C69" s="265"/>
      <c r="D69" s="224" t="str">
        <f>TEXT($G$1, "[$-ko-KR]yyyy-mm-dd(ddd) ") &amp; "오후 14:00"</f>
        <v>2021-09-02(목) 오후 14:00</v>
      </c>
      <c r="E69" s="225"/>
      <c r="F69" s="226"/>
      <c r="G69" s="224" t="str">
        <f>TEXT($G$1, "[$-ko-KR]yyyy-mm-dd(ddd) ") &amp; "오후 19:00"</f>
        <v>2021-09-02(목) 오후 19:00</v>
      </c>
      <c r="H69" s="225"/>
      <c r="I69" s="226"/>
      <c r="J69" s="224" t="str">
        <f>TEXT($G$1, "[$-ko-KR]yyyy-mm-dd(ddd) ") &amp; "오후 21:00"</f>
        <v>2021-09-02(목) 오후 21:00</v>
      </c>
      <c r="K69" s="225"/>
      <c r="L69" s="226"/>
      <c r="M69" s="224" t="str">
        <f>TEXT($G$1+1, "[$-ko-KR]yyyy-mm-dd(ddd) ") &amp; "오전 00:00"</f>
        <v>2021-09-03(금)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7"/>
      <c r="R70" s="227"/>
      <c r="S70" s="227"/>
    </row>
    <row r="71" spans="1:19" ht="17.25" thickBot="1">
      <c r="A71" s="123" t="s">
        <v>164</v>
      </c>
      <c r="B71" s="124">
        <v>570</v>
      </c>
      <c r="C71" s="76">
        <v>0.13772455089999999</v>
      </c>
      <c r="D71" s="13">
        <v>565</v>
      </c>
      <c r="E71" s="14">
        <f>IF(ISNUMBER(D71), (D71 - $B71) / $B71, "")</f>
        <v>-8.771929824561403E-3</v>
      </c>
      <c r="F71" s="16">
        <f>IF(ISNUMBER(D71), $B91 * E71, "")</f>
        <v>-877.19298245614027</v>
      </c>
      <c r="G71" s="29">
        <v>602</v>
      </c>
      <c r="H71" s="14">
        <f>IF(ISNUMBER(G71), (G71 - $B71) / $B71, "")</f>
        <v>5.6140350877192984E-2</v>
      </c>
      <c r="I71" s="100">
        <f>IF(ISNUMBER(G71), $B91 * H71, "")</f>
        <v>5614.0350877192986</v>
      </c>
      <c r="J71" s="13">
        <v>608</v>
      </c>
      <c r="K71" s="14">
        <f>IF(ISNUMBER(J71), (J71 - $B71) / $B71, "")</f>
        <v>6.6666666666666666E-2</v>
      </c>
      <c r="L71" s="16">
        <f>IF(ISNUMBER(J71), $B91 * K71, "")</f>
        <v>6666.666666666667</v>
      </c>
      <c r="M71" s="29">
        <v>594</v>
      </c>
      <c r="N71" s="14">
        <f>IF(ISNUMBER(M71), (M71 - $B71) / $B71, "")</f>
        <v>4.2105263157894736E-2</v>
      </c>
      <c r="O71" s="16">
        <f>IF(ISNUMBER(M71), $B91 * N71, "")</f>
        <v>4210.5263157894733</v>
      </c>
      <c r="Q71" s="222"/>
      <c r="R71" s="222"/>
      <c r="S71" s="222"/>
    </row>
    <row r="72" spans="1:19" ht="17.25" thickBot="1">
      <c r="A72" s="125" t="s">
        <v>128</v>
      </c>
      <c r="B72" s="126">
        <v>159</v>
      </c>
      <c r="C72" s="77">
        <v>0.1118881119</v>
      </c>
      <c r="D72" s="15">
        <v>158</v>
      </c>
      <c r="E72" s="32">
        <f t="shared" ref="E72:E75" si="30">IF(ISNUMBER(D72), (D72 - $B72) / $B72, "")</f>
        <v>-6.2893081761006293E-3</v>
      </c>
      <c r="F72" s="18">
        <f>IF(ISNUMBER(D72), $B91 * E72, "")</f>
        <v>-628.93081761006295</v>
      </c>
      <c r="G72" s="31">
        <v>165</v>
      </c>
      <c r="H72" s="32">
        <f t="shared" ref="H72:H75" si="31">IF(ISNUMBER(G72), (G72 - $B72) / $B72, "")</f>
        <v>3.7735849056603772E-2</v>
      </c>
      <c r="I72" s="101">
        <f>IF(ISNUMBER(G72), $B91 * H72, "")</f>
        <v>3773.584905660377</v>
      </c>
      <c r="J72" s="15">
        <v>167</v>
      </c>
      <c r="K72" s="32">
        <f t="shared" ref="K72:K75" si="32">IF(ISNUMBER(J72), (J72 - $B72) / $B72, "")</f>
        <v>5.0314465408805034E-2</v>
      </c>
      <c r="L72" s="18">
        <f>IF(ISNUMBER(J72), $B91 * K72, "")</f>
        <v>5031.4465408805036</v>
      </c>
      <c r="M72" s="31">
        <v>166</v>
      </c>
      <c r="N72" s="32">
        <f t="shared" ref="N72:N75" si="33">IF(ISNUMBER(M72), (M72 - $B72) / $B72, "")</f>
        <v>4.40251572327044E-2</v>
      </c>
      <c r="O72" s="18">
        <f>IF(ISNUMBER(M72), $B91 * N72, "")</f>
        <v>4402.5157232704396</v>
      </c>
      <c r="Q72" s="222"/>
      <c r="R72" s="222"/>
      <c r="S72" s="222"/>
    </row>
    <row r="73" spans="1:19" ht="17.25" thickBot="1">
      <c r="A73" s="125" t="s">
        <v>218</v>
      </c>
      <c r="B73" s="126">
        <v>140</v>
      </c>
      <c r="C73" s="77">
        <v>4.4776119400000002E-2</v>
      </c>
      <c r="D73" s="15">
        <v>143</v>
      </c>
      <c r="E73" s="32">
        <f t="shared" si="30"/>
        <v>2.1428571428571429E-2</v>
      </c>
      <c r="F73" s="18">
        <f>IF(ISNUMBER(D73), $B91 * E73, "")</f>
        <v>2142.8571428571427</v>
      </c>
      <c r="G73" s="31">
        <v>148</v>
      </c>
      <c r="H73" s="32">
        <f t="shared" si="31"/>
        <v>5.7142857142857141E-2</v>
      </c>
      <c r="I73" s="101">
        <f>IF(ISNUMBER(G73), $B91 * H73, "")</f>
        <v>5714.2857142857138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145</v>
      </c>
      <c r="N73" s="32">
        <f t="shared" si="33"/>
        <v>3.5714285714285712E-2</v>
      </c>
      <c r="O73" s="18">
        <f>IF(ISNUMBER(M73), $B91 * N73, "")</f>
        <v>3571.4285714285711</v>
      </c>
      <c r="Q73" s="227"/>
      <c r="R73" s="227"/>
      <c r="S73" s="227"/>
    </row>
    <row r="74" spans="1:19" ht="17.25" thickBot="1">
      <c r="A74" s="125" t="s">
        <v>236</v>
      </c>
      <c r="B74" s="126">
        <v>713</v>
      </c>
      <c r="C74" s="77">
        <v>4.3923865300000003E-2</v>
      </c>
      <c r="D74" s="15">
        <v>702</v>
      </c>
      <c r="E74" s="32">
        <f t="shared" si="30"/>
        <v>-1.5427769985974754E-2</v>
      </c>
      <c r="F74" s="18">
        <f>IF(ISNUMBER(D74), $B91 * E74, "")</f>
        <v>-1542.7769985974753</v>
      </c>
      <c r="G74" s="31">
        <v>709</v>
      </c>
      <c r="H74" s="32">
        <f t="shared" si="31"/>
        <v>-5.6100981767180924E-3</v>
      </c>
      <c r="I74" s="101">
        <f>IF(ISNUMBER(G74), $B91 * H74, "")</f>
        <v>-561.00981767180929</v>
      </c>
      <c r="J74" s="15">
        <v>711</v>
      </c>
      <c r="K74" s="32">
        <f t="shared" si="32"/>
        <v>-2.8050490883590462E-3</v>
      </c>
      <c r="L74" s="18">
        <f>IF(ISNUMBER(J74), $B91 * K74, "")</f>
        <v>-280.50490883590464</v>
      </c>
      <c r="M74" s="31">
        <v>705</v>
      </c>
      <c r="N74" s="32">
        <f t="shared" si="33"/>
        <v>-1.1220196353436185E-2</v>
      </c>
      <c r="O74" s="18">
        <f>IF(ISNUMBER(M74), $B91 * N74, "")</f>
        <v>-1122.0196353436186</v>
      </c>
      <c r="Q74" s="227"/>
      <c r="R74" s="227"/>
      <c r="S74" s="227"/>
    </row>
    <row r="75" spans="1:19" ht="17.25" thickBot="1">
      <c r="A75" s="127" t="s">
        <v>132</v>
      </c>
      <c r="B75" s="128">
        <v>131</v>
      </c>
      <c r="C75" s="78">
        <v>3.9682539699999998E-2</v>
      </c>
      <c r="D75" s="20">
        <v>132</v>
      </c>
      <c r="E75" s="21">
        <f t="shared" si="30"/>
        <v>7.6335877862595417E-3</v>
      </c>
      <c r="F75" s="22">
        <f>IF(ISNUMBER(D75), $B91 * E75, "")</f>
        <v>763.35877862595419</v>
      </c>
      <c r="G75" s="30">
        <v>133</v>
      </c>
      <c r="H75" s="21">
        <f t="shared" si="31"/>
        <v>1.5267175572519083E-2</v>
      </c>
      <c r="I75" s="105">
        <f>IF(ISNUMBER(G75), $B91 * H75, "")</f>
        <v>1526.7175572519084</v>
      </c>
      <c r="J75" s="20">
        <v>133</v>
      </c>
      <c r="K75" s="21">
        <f t="shared" si="32"/>
        <v>1.5267175572519083E-2</v>
      </c>
      <c r="L75" s="22">
        <f>IF(ISNUMBER(J75), $B91 * K75, "")</f>
        <v>1526.7175572519084</v>
      </c>
      <c r="M75" s="30">
        <v>132</v>
      </c>
      <c r="N75" s="21">
        <f t="shared" si="33"/>
        <v>7.6335877862595417E-3</v>
      </c>
      <c r="O75" s="22">
        <f>IF(ISNUMBER(M75), $B91 * N75, "")</f>
        <v>763.35877862595419</v>
      </c>
      <c r="Q75" s="227"/>
      <c r="R75" s="227"/>
      <c r="S75" s="227"/>
    </row>
    <row r="76" spans="1:19" ht="17.25" thickBot="1">
      <c r="A76" s="125" t="s">
        <v>166</v>
      </c>
      <c r="B76" s="129">
        <v>266</v>
      </c>
      <c r="C76" s="80">
        <v>3.5019455300000002E-2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1127.8195488721803</v>
      </c>
      <c r="G76" s="109">
        <v>264</v>
      </c>
      <c r="H76" s="107">
        <f>IF(ISNUMBER(G76), (G76 - $B76) / $B76, "")</f>
        <v>-7.5187969924812026E-3</v>
      </c>
      <c r="I76" s="110">
        <f>IF(ISNUMBER(G76), $B91 * H76, "")</f>
        <v>-751.87969924812023</v>
      </c>
      <c r="J76" s="106">
        <v>264</v>
      </c>
      <c r="K76" s="107">
        <f>IF(ISNUMBER(J76), (J76 - $B76) / $B76, "")</f>
        <v>-7.5187969924812026E-3</v>
      </c>
      <c r="L76" s="108">
        <f>IF(ISNUMBER(J76), $B91 * K76, "")</f>
        <v>-751.87969924812023</v>
      </c>
      <c r="M76" s="109">
        <v>263</v>
      </c>
      <c r="N76" s="107">
        <f>IF(ISNUMBER(M76), (M76 - $B76) / $B76, "")</f>
        <v>-1.1278195488721804E-2</v>
      </c>
      <c r="O76" s="108">
        <f>IF(ISNUMBER(M76), $B91 * N76, "")</f>
        <v>-1127.8195488721803</v>
      </c>
      <c r="Q76" s="227"/>
      <c r="R76" s="227"/>
      <c r="S76" s="227"/>
    </row>
    <row r="77" spans="1:19" ht="17.25" thickBot="1">
      <c r="A77" s="125" t="s">
        <v>152</v>
      </c>
      <c r="B77" s="126">
        <v>107</v>
      </c>
      <c r="C77" s="77">
        <v>2.88461538E-2</v>
      </c>
      <c r="D77" s="15">
        <v>111</v>
      </c>
      <c r="E77" s="32">
        <f t="shared" ref="E77:E80" si="34">IF(ISNUMBER(D77), (D77 - $B77) / $B77, "")</f>
        <v>3.7383177570093455E-2</v>
      </c>
      <c r="F77" s="18">
        <f>IF(ISNUMBER(D77), $B91 * E77, "")</f>
        <v>3738.3177570093453</v>
      </c>
      <c r="G77" s="31">
        <v>115</v>
      </c>
      <c r="H77" s="32">
        <f t="shared" ref="H77:H80" si="35">IF(ISNUMBER(G77), (G77 - $B77) / $B77, "")</f>
        <v>7.476635514018691E-2</v>
      </c>
      <c r="I77" s="101">
        <f>IF(ISNUMBER(G77), $B91 * H77, "")</f>
        <v>7476.6355140186906</v>
      </c>
      <c r="J77" s="15">
        <v>116</v>
      </c>
      <c r="K77" s="32">
        <f t="shared" ref="K77:K80" si="36">IF(ISNUMBER(J77), (J77 - $B77) / $B77, "")</f>
        <v>8.4112149532710276E-2</v>
      </c>
      <c r="L77" s="18">
        <f>IF(ISNUMBER(J77), $B91 * K77, "")</f>
        <v>8411.2149532710282</v>
      </c>
      <c r="M77" s="31">
        <v>113</v>
      </c>
      <c r="N77" s="32">
        <f t="shared" ref="N77:N80" si="37">IF(ISNUMBER(M77), (M77 - $B77) / $B77, "")</f>
        <v>5.6074766355140186E-2</v>
      </c>
      <c r="O77" s="18">
        <f>IF(ISNUMBER(M77), $B91 * N77, "")</f>
        <v>5607.4766355140182</v>
      </c>
      <c r="Q77" s="227"/>
      <c r="R77" s="227"/>
      <c r="S77" s="227"/>
    </row>
    <row r="78" spans="1:19" ht="17.25" thickBot="1">
      <c r="A78" s="125" t="s">
        <v>86</v>
      </c>
      <c r="B78" s="126">
        <v>442</v>
      </c>
      <c r="C78" s="77">
        <v>2.7906976699999999E-2</v>
      </c>
      <c r="D78" s="15">
        <v>444</v>
      </c>
      <c r="E78" s="32">
        <f t="shared" si="34"/>
        <v>4.5248868778280547E-3</v>
      </c>
      <c r="F78" s="18">
        <f>IF(ISNUMBER(D78), $B91 * E78, "")</f>
        <v>452.48868778280547</v>
      </c>
      <c r="G78" s="31">
        <v>449</v>
      </c>
      <c r="H78" s="32">
        <f t="shared" si="35"/>
        <v>1.5837104072398189E-2</v>
      </c>
      <c r="I78" s="101">
        <f>IF(ISNUMBER(G78), $B91 * H78, "")</f>
        <v>1583.710407239819</v>
      </c>
      <c r="J78" s="15">
        <v>452</v>
      </c>
      <c r="K78" s="32">
        <f t="shared" si="36"/>
        <v>2.2624434389140271E-2</v>
      </c>
      <c r="L78" s="18">
        <f>IF(ISNUMBER(J78), $B91 * K78, "")</f>
        <v>2262.443438914027</v>
      </c>
      <c r="M78" s="31">
        <v>442</v>
      </c>
      <c r="N78" s="32">
        <f t="shared" si="37"/>
        <v>0</v>
      </c>
      <c r="O78" s="18">
        <f>IF(ISNUMBER(M78), $B91 * N78, "")</f>
        <v>0</v>
      </c>
      <c r="Q78" s="227"/>
      <c r="R78" s="227"/>
      <c r="S78" s="227"/>
    </row>
    <row r="79" spans="1:19" ht="17.25" thickBot="1">
      <c r="A79" s="125" t="s">
        <v>80</v>
      </c>
      <c r="B79" s="126">
        <v>977</v>
      </c>
      <c r="C79" s="77">
        <v>2.62605042E-2</v>
      </c>
      <c r="D79" s="15">
        <v>990</v>
      </c>
      <c r="E79" s="32">
        <f t="shared" si="34"/>
        <v>1.3306038894575231E-2</v>
      </c>
      <c r="F79" s="18">
        <f>IF(ISNUMBER(D79), $B91 * E79, "")</f>
        <v>1330.6038894575231</v>
      </c>
      <c r="G79" s="31">
        <v>997</v>
      </c>
      <c r="H79" s="32">
        <f t="shared" si="35"/>
        <v>2.0470829068577279E-2</v>
      </c>
      <c r="I79" s="101">
        <f>IF(ISNUMBER(G79), $B91 * H79, "")</f>
        <v>2047.0829068577279</v>
      </c>
      <c r="J79" s="15">
        <v>1000</v>
      </c>
      <c r="K79" s="32">
        <f t="shared" si="36"/>
        <v>2.3541453428863868E-2</v>
      </c>
      <c r="L79" s="18">
        <f>IF(ISNUMBER(J79), $B91 * K79, "")</f>
        <v>2354.145342886387</v>
      </c>
      <c r="M79" s="31">
        <v>986</v>
      </c>
      <c r="N79" s="32">
        <f t="shared" si="37"/>
        <v>9.2118730808597744E-3</v>
      </c>
      <c r="O79" s="18">
        <f>IF(ISNUMBER(M79), $B91 * N79, "")</f>
        <v>921.18730808597741</v>
      </c>
      <c r="Q79" s="33"/>
      <c r="R79" s="33"/>
    </row>
    <row r="80" spans="1:19" ht="17.25" thickBot="1">
      <c r="A80" s="130" t="s">
        <v>110</v>
      </c>
      <c r="B80" s="131">
        <v>197</v>
      </c>
      <c r="C80" s="79">
        <v>2.60416667E-2</v>
      </c>
      <c r="D80" s="24">
        <v>201</v>
      </c>
      <c r="E80" s="25">
        <f t="shared" si="34"/>
        <v>2.030456852791878E-2</v>
      </c>
      <c r="F80" s="104">
        <f>IF(ISNUMBER(D80), $B91 * E80, "")</f>
        <v>2030.456852791878</v>
      </c>
      <c r="G80" s="102">
        <v>201</v>
      </c>
      <c r="H80" s="25">
        <f t="shared" si="35"/>
        <v>2.030456852791878E-2</v>
      </c>
      <c r="I80" s="103">
        <f>IF(ISNUMBER(G80), $B91 * H80, "")</f>
        <v>2030.456852791878</v>
      </c>
      <c r="J80" s="24">
        <v>201</v>
      </c>
      <c r="K80" s="25">
        <f t="shared" si="36"/>
        <v>2.030456852791878E-2</v>
      </c>
      <c r="L80" s="104">
        <f>IF(ISNUMBER(J80), $B91 * K80, "")</f>
        <v>2030.456852791878</v>
      </c>
      <c r="M80" s="102">
        <v>199</v>
      </c>
      <c r="N80" s="25">
        <f t="shared" si="37"/>
        <v>1.015228426395939E-2</v>
      </c>
      <c r="O80" s="104">
        <f>IF(ISNUMBER(M80), $B91 * N80, "")</f>
        <v>1015.228426395939</v>
      </c>
      <c r="Q80" s="236"/>
      <c r="R80" s="237"/>
      <c r="S80" s="238"/>
    </row>
    <row r="81" spans="1:19">
      <c r="A81" s="123" t="s">
        <v>238</v>
      </c>
      <c r="B81" s="124">
        <v>124</v>
      </c>
      <c r="C81" s="76">
        <v>2.4793388400000001E-2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4032.2580645161288</v>
      </c>
      <c r="G81" s="29">
        <v>129</v>
      </c>
      <c r="H81" s="14">
        <f>IF(ISNUMBER(G81), (G81 - $B81) / $B81, "")</f>
        <v>4.0322580645161289E-2</v>
      </c>
      <c r="I81" s="100">
        <f>IF(ISNUMBER(G81), $B91 * H81, "")</f>
        <v>4032.2580645161288</v>
      </c>
      <c r="J81" s="13">
        <v>130</v>
      </c>
      <c r="K81" s="14">
        <f>IF(ISNUMBER(J81), (J81 - $B81) / $B81, "")</f>
        <v>4.8387096774193547E-2</v>
      </c>
      <c r="L81" s="16">
        <f>IF(ISNUMBER(J81), $B91 * K81, "")</f>
        <v>4838.7096774193551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2419.3548387096776</v>
      </c>
      <c r="Q81" s="239"/>
      <c r="R81" s="240"/>
      <c r="S81" s="241"/>
    </row>
    <row r="82" spans="1:19" ht="17.25" thickBot="1">
      <c r="A82" s="125" t="s">
        <v>242</v>
      </c>
      <c r="B82" s="126">
        <v>580</v>
      </c>
      <c r="C82" s="77">
        <v>1.9332161699999999E-2</v>
      </c>
      <c r="D82" s="15">
        <v>588</v>
      </c>
      <c r="E82" s="32">
        <f t="shared" ref="E82:E85" si="38">IF(ISNUMBER(D82), (D82 - $B82) / $B82, "")</f>
        <v>1.3793103448275862E-2</v>
      </c>
      <c r="F82" s="18">
        <f>IF(ISNUMBER(D82), $B91 * E82, "")</f>
        <v>1379.3103448275863</v>
      </c>
      <c r="G82" s="31">
        <v>661</v>
      </c>
      <c r="H82" s="32">
        <f t="shared" ref="H82:H85" si="39">IF(ISNUMBER(G82), (G82 - $B82) / $B82, "")</f>
        <v>0.1396551724137931</v>
      </c>
      <c r="I82" s="101">
        <f>IF(ISNUMBER(G82), $B91 * H82, "")</f>
        <v>13965.51724137931</v>
      </c>
      <c r="J82" s="15">
        <v>691</v>
      </c>
      <c r="K82" s="32">
        <f t="shared" ref="K82:K85" si="40">IF(ISNUMBER(J82), (J82 - $B82) / $B82, "")</f>
        <v>0.19137931034482758</v>
      </c>
      <c r="L82" s="18">
        <f>IF(ISNUMBER(J82), $B91 * K82, "")</f>
        <v>19137.931034482757</v>
      </c>
      <c r="M82" s="31">
        <v>671</v>
      </c>
      <c r="N82" s="32">
        <f t="shared" ref="N82:N85" si="41">IF(ISNUMBER(M82), (M82 - $B82) / $B82, "")</f>
        <v>0.15689655172413794</v>
      </c>
      <c r="O82" s="18">
        <f>IF(ISNUMBER(M82), $B91 * N82, "")</f>
        <v>15689.655172413793</v>
      </c>
      <c r="Q82" s="242"/>
      <c r="R82" s="243"/>
      <c r="S82" s="244"/>
    </row>
    <row r="83" spans="1:19" ht="17.25" thickBot="1">
      <c r="A83" s="125" t="s">
        <v>51</v>
      </c>
      <c r="B83" s="126">
        <v>405</v>
      </c>
      <c r="C83" s="77">
        <v>1.7587939699999999E-2</v>
      </c>
      <c r="D83" s="15">
        <v>413</v>
      </c>
      <c r="E83" s="32">
        <f t="shared" si="38"/>
        <v>1.9753086419753086E-2</v>
      </c>
      <c r="F83" s="18">
        <f>IF(ISNUMBER(D83), $B91 * E83, "")</f>
        <v>1975.3086419753085</v>
      </c>
      <c r="G83" s="31">
        <v>418</v>
      </c>
      <c r="H83" s="32">
        <f t="shared" si="39"/>
        <v>3.2098765432098768E-2</v>
      </c>
      <c r="I83" s="101">
        <f>IF(ISNUMBER(G83), $B91 * H83, "")</f>
        <v>3209.8765432098767</v>
      </c>
      <c r="J83" s="15">
        <v>425</v>
      </c>
      <c r="K83" s="32">
        <f t="shared" si="40"/>
        <v>4.9382716049382713E-2</v>
      </c>
      <c r="L83" s="18">
        <f>IF(ISNUMBER(J83), $B91 * K83, "")</f>
        <v>4938.2716049382716</v>
      </c>
      <c r="M83" s="31">
        <v>416</v>
      </c>
      <c r="N83" s="32">
        <f t="shared" si="41"/>
        <v>2.7160493827160494E-2</v>
      </c>
      <c r="O83" s="18">
        <f>IF(ISNUMBER(M83), $B91 * N83, "")</f>
        <v>2716.0493827160494</v>
      </c>
      <c r="Q83" s="227"/>
      <c r="R83" s="227"/>
      <c r="S83" s="227"/>
    </row>
    <row r="84" spans="1:19" ht="17.25" thickBot="1">
      <c r="A84" s="125" t="s">
        <v>144</v>
      </c>
      <c r="B84" s="126">
        <v>121</v>
      </c>
      <c r="C84" s="77">
        <v>1.6806722699999999E-2</v>
      </c>
      <c r="D84" s="15">
        <v>122</v>
      </c>
      <c r="E84" s="32">
        <f t="shared" si="38"/>
        <v>8.2644628099173556E-3</v>
      </c>
      <c r="F84" s="18">
        <f>IF(ISNUMBER(D84), $B91 * E84, "")</f>
        <v>826.44628099173553</v>
      </c>
      <c r="G84" s="31">
        <v>124</v>
      </c>
      <c r="H84" s="32">
        <f t="shared" si="39"/>
        <v>2.4793388429752067E-2</v>
      </c>
      <c r="I84" s="101">
        <f>IF(ISNUMBER(G84), $B91 * H84, "")</f>
        <v>2479.3388429752067</v>
      </c>
      <c r="J84" s="15">
        <v>125</v>
      </c>
      <c r="K84" s="32">
        <f t="shared" si="40"/>
        <v>3.3057851239669422E-2</v>
      </c>
      <c r="L84" s="18">
        <f>IF(ISNUMBER(J84), $B91 * K84, "")</f>
        <v>3305.7851239669421</v>
      </c>
      <c r="M84" s="31">
        <v>123</v>
      </c>
      <c r="N84" s="32">
        <f t="shared" si="41"/>
        <v>1.6528925619834711E-2</v>
      </c>
      <c r="O84" s="18">
        <f>IF(ISNUMBER(M84), $B91 * N84, "")</f>
        <v>1652.8925619834711</v>
      </c>
      <c r="Q84" s="222"/>
      <c r="R84" s="222"/>
      <c r="S84" s="222"/>
    </row>
    <row r="85" spans="1:19" ht="17.25" thickBot="1">
      <c r="A85" s="127" t="s">
        <v>222</v>
      </c>
      <c r="B85" s="128">
        <v>191</v>
      </c>
      <c r="C85" s="78">
        <v>1.59574468E-2</v>
      </c>
      <c r="D85" s="20">
        <v>191</v>
      </c>
      <c r="E85" s="21">
        <f t="shared" si="38"/>
        <v>0</v>
      </c>
      <c r="F85" s="22">
        <f>IF(ISNUMBER(D85), $B91 * E85, "")</f>
        <v>0</v>
      </c>
      <c r="G85" s="30">
        <v>193</v>
      </c>
      <c r="H85" s="21">
        <f t="shared" si="39"/>
        <v>1.0471204188481676E-2</v>
      </c>
      <c r="I85" s="105">
        <f>IF(ISNUMBER(G85), $B91 * H85, "")</f>
        <v>1047.1204188481677</v>
      </c>
      <c r="J85" s="20">
        <v>191</v>
      </c>
      <c r="K85" s="21">
        <f t="shared" si="40"/>
        <v>0</v>
      </c>
      <c r="L85" s="22">
        <f>IF(ISNUMBER(J85), $B91 * K85, "")</f>
        <v>0</v>
      </c>
      <c r="M85" s="30">
        <v>189</v>
      </c>
      <c r="N85" s="21">
        <f t="shared" si="41"/>
        <v>-1.0471204188481676E-2</v>
      </c>
      <c r="O85" s="22">
        <f>IF(ISNUMBER(M85), $B91 * N85, "")</f>
        <v>-1047.1204188481677</v>
      </c>
      <c r="Q85" s="222"/>
      <c r="R85" s="222"/>
      <c r="S85" s="222"/>
    </row>
    <row r="86" spans="1:19" ht="17.25" thickBot="1">
      <c r="A86" s="125" t="s">
        <v>130</v>
      </c>
      <c r="B86" s="129">
        <v>136</v>
      </c>
      <c r="C86" s="80">
        <v>1.49253731E-2</v>
      </c>
      <c r="D86" s="106">
        <v>141</v>
      </c>
      <c r="E86" s="107">
        <f>IF(ISNUMBER(D86), (D86 - $B86) / $B86, "")</f>
        <v>3.6764705882352942E-2</v>
      </c>
      <c r="F86" s="108">
        <f>IF(ISNUMBER(D86), $B91 * E86, "")</f>
        <v>3676.4705882352941</v>
      </c>
      <c r="G86" s="109">
        <v>141</v>
      </c>
      <c r="H86" s="107">
        <f>IF(ISNUMBER(G86), (G86 - $B86) / $B86, "")</f>
        <v>3.6764705882352942E-2</v>
      </c>
      <c r="I86" s="110">
        <f>IF(ISNUMBER(G86), $B91 * H86, "")</f>
        <v>3676.4705882352941</v>
      </c>
      <c r="J86" s="106">
        <v>142</v>
      </c>
      <c r="K86" s="107">
        <f>IF(ISNUMBER(J86), (J86 - $B86) / $B86, "")</f>
        <v>4.4117647058823532E-2</v>
      </c>
      <c r="L86" s="108">
        <f>IF(ISNUMBER(J86), $B91 * K86, "")</f>
        <v>4411.7647058823532</v>
      </c>
      <c r="M86" s="109">
        <v>140</v>
      </c>
      <c r="N86" s="107">
        <f>IF(ISNUMBER(M86), (M86 - $B86) / $B86, "")</f>
        <v>2.9411764705882353E-2</v>
      </c>
      <c r="O86" s="108">
        <f>IF(ISNUMBER(M86), $B91 * N86, "")</f>
        <v>2941.1764705882351</v>
      </c>
      <c r="Q86" s="227"/>
      <c r="R86" s="227"/>
      <c r="S86" s="227"/>
    </row>
    <row r="87" spans="1:19" ht="17.25" thickBot="1">
      <c r="A87" s="125" t="s">
        <v>54</v>
      </c>
      <c r="B87" s="126">
        <v>300</v>
      </c>
      <c r="C87" s="77">
        <v>1.3513513499999999E-2</v>
      </c>
      <c r="D87" s="15">
        <v>303</v>
      </c>
      <c r="E87" s="32">
        <f t="shared" ref="E87:E90" si="42">IF(ISNUMBER(D87), (D87 - $B87) / $B87, "")</f>
        <v>0.01</v>
      </c>
      <c r="F87" s="18">
        <f>IF(ISNUMBER(D87), $B91 * E87, "")</f>
        <v>1000</v>
      </c>
      <c r="G87" s="31">
        <v>312</v>
      </c>
      <c r="H87" s="32">
        <f t="shared" ref="H87:H90" si="43">IF(ISNUMBER(G87), (G87 - $B87) / $B87, "")</f>
        <v>0.04</v>
      </c>
      <c r="I87" s="101">
        <f>IF(ISNUMBER(G87), $B91 * H87, "")</f>
        <v>4000</v>
      </c>
      <c r="J87" s="15">
        <v>313</v>
      </c>
      <c r="K87" s="32">
        <f t="shared" ref="K87:K90" si="44">IF(ISNUMBER(J87), (J87 - $B87) / $B87, "")</f>
        <v>4.3333333333333335E-2</v>
      </c>
      <c r="L87" s="18">
        <f>IF(ISNUMBER(J87), $B91 * K87, "")</f>
        <v>4333.333333333333</v>
      </c>
      <c r="M87" s="31">
        <v>310</v>
      </c>
      <c r="N87" s="32">
        <f t="shared" ref="N87:N90" si="45">IF(ISNUMBER(M87), (M87 - $B87) / $B87, "")</f>
        <v>3.3333333333333333E-2</v>
      </c>
      <c r="O87" s="18">
        <f>IF(ISNUMBER(M87), $B91 * N87, "")</f>
        <v>3333.3333333333335</v>
      </c>
      <c r="Q87" s="227"/>
      <c r="R87" s="227"/>
      <c r="S87" s="227"/>
    </row>
    <row r="88" spans="1:19" ht="17.25" thickBot="1">
      <c r="A88" s="125" t="s">
        <v>57</v>
      </c>
      <c r="B88" s="126">
        <v>229</v>
      </c>
      <c r="C88" s="77">
        <v>1.32743363E-2</v>
      </c>
      <c r="D88" s="15">
        <v>232</v>
      </c>
      <c r="E88" s="32">
        <f t="shared" si="42"/>
        <v>1.3100436681222707E-2</v>
      </c>
      <c r="F88" s="18">
        <f>IF(ISNUMBER(D88), $B91 * E88, "")</f>
        <v>1310.0436681222707</v>
      </c>
      <c r="G88" s="31">
        <v>234</v>
      </c>
      <c r="H88" s="32">
        <f t="shared" si="43"/>
        <v>2.1834061135371178E-2</v>
      </c>
      <c r="I88" s="101">
        <f>IF(ISNUMBER(G88), $B91 * H88, "")</f>
        <v>2183.406113537118</v>
      </c>
      <c r="J88" s="15">
        <v>236</v>
      </c>
      <c r="K88" s="32">
        <f t="shared" si="44"/>
        <v>3.0567685589519649E-2</v>
      </c>
      <c r="L88" s="18">
        <f>IF(ISNUMBER(J88), $B91 * K88, "")</f>
        <v>3056.7685589519651</v>
      </c>
      <c r="M88" s="31">
        <v>232</v>
      </c>
      <c r="N88" s="32">
        <f t="shared" si="45"/>
        <v>1.3100436681222707E-2</v>
      </c>
      <c r="O88" s="18">
        <f>IF(ISNUMBER(M88), $B91 * N88, "")</f>
        <v>1310.0436681222707</v>
      </c>
      <c r="Q88" s="227"/>
      <c r="R88" s="227"/>
      <c r="S88" s="227"/>
    </row>
    <row r="89" spans="1:19">
      <c r="A89" s="125" t="s">
        <v>118</v>
      </c>
      <c r="B89" s="126">
        <v>182</v>
      </c>
      <c r="C89" s="77">
        <v>1.11111111E-2</v>
      </c>
      <c r="D89" s="15">
        <v>187</v>
      </c>
      <c r="E89" s="32">
        <f t="shared" si="42"/>
        <v>2.7472527472527472E-2</v>
      </c>
      <c r="F89" s="18">
        <f>IF(ISNUMBER(D89), $B91 * E89, "")</f>
        <v>2747.2527472527472</v>
      </c>
      <c r="G89" s="31">
        <v>189</v>
      </c>
      <c r="H89" s="32">
        <f t="shared" si="43"/>
        <v>3.8461538461538464E-2</v>
      </c>
      <c r="I89" s="101">
        <f>IF(ISNUMBER(G89), $B91 * H89, "")</f>
        <v>3846.1538461538462</v>
      </c>
      <c r="J89" s="15">
        <v>191</v>
      </c>
      <c r="K89" s="32">
        <f t="shared" si="44"/>
        <v>4.9450549450549448E-2</v>
      </c>
      <c r="L89" s="18">
        <f>IF(ISNUMBER(J89), $B91 * K89, "")</f>
        <v>4945.0549450549452</v>
      </c>
      <c r="M89" s="31">
        <v>188</v>
      </c>
      <c r="N89" s="32">
        <f t="shared" si="45"/>
        <v>3.2967032967032968E-2</v>
      </c>
      <c r="O89" s="18">
        <f>IF(ISNUMBER(M89), $B91 * N89, "")</f>
        <v>3296.7032967032969</v>
      </c>
      <c r="Q89" s="249"/>
      <c r="R89" s="250"/>
      <c r="S89" s="251"/>
    </row>
    <row r="90" spans="1:19" ht="17.25" thickBot="1">
      <c r="A90" s="130" t="s">
        <v>192</v>
      </c>
      <c r="B90" s="131">
        <v>284</v>
      </c>
      <c r="C90" s="79">
        <v>1.06761566E-2</v>
      </c>
      <c r="D90" s="24">
        <v>293</v>
      </c>
      <c r="E90" s="25">
        <f t="shared" si="42"/>
        <v>3.1690140845070422E-2</v>
      </c>
      <c r="F90" s="104">
        <f>IF(ISNUMBER(D90), $B91 * E90, "")</f>
        <v>3169.0140845070423</v>
      </c>
      <c r="G90" s="102">
        <v>295</v>
      </c>
      <c r="H90" s="25">
        <f t="shared" si="43"/>
        <v>3.873239436619718E-2</v>
      </c>
      <c r="I90" s="103">
        <f>IF(ISNUMBER(G90), $B91 * H90, "")</f>
        <v>3873.2394366197182</v>
      </c>
      <c r="J90" s="24">
        <v>296</v>
      </c>
      <c r="K90" s="25">
        <f t="shared" si="44"/>
        <v>4.2253521126760563E-2</v>
      </c>
      <c r="L90" s="104">
        <f>IF(ISNUMBER(J90), $B91 * K90, "")</f>
        <v>4225.3521126760561</v>
      </c>
      <c r="M90" s="102">
        <v>293</v>
      </c>
      <c r="N90" s="25">
        <f t="shared" si="45"/>
        <v>3.1690140845070422E-2</v>
      </c>
      <c r="O90" s="104">
        <f>IF(ISNUMBER(M90), $B91 * N90, "")</f>
        <v>3169.0140845070423</v>
      </c>
      <c r="Q90" s="252"/>
      <c r="R90" s="253"/>
      <c r="S90" s="254"/>
    </row>
    <row r="91" spans="1:19" ht="17.25" thickBot="1">
      <c r="A91" s="132" t="s">
        <v>270</v>
      </c>
      <c r="B91" s="260">
        <f>$B$37</f>
        <v>100000</v>
      </c>
      <c r="C91" s="261"/>
      <c r="D91" s="26" t="s">
        <v>271</v>
      </c>
      <c r="E91" s="27">
        <f>IF(COUNT(E71:E90), SUM(E71:E90) / COUNT(E71:E90), 0)</f>
        <v>1.4326553139580634E-2</v>
      </c>
      <c r="F91" s="28">
        <f>SUM(F71:F90)</f>
        <v>28653.106279161264</v>
      </c>
      <c r="G91" s="26" t="s">
        <v>271</v>
      </c>
      <c r="H91" s="27">
        <f>IF(COUNT(H71:H90), SUM(H71:H90) / COUNT(H71:H90), 0)</f>
        <v>3.5383500262190073E-2</v>
      </c>
      <c r="I91" s="28">
        <f>SUM(I71:I90)</f>
        <v>70767.000524380142</v>
      </c>
      <c r="J91" s="26" t="s">
        <v>271</v>
      </c>
      <c r="K91" s="27">
        <f>IF(COUNT(K71:K90), SUM(K71:K90) / COUNT(K71:K90), 0)</f>
        <v>4.2721838920642172E-2</v>
      </c>
      <c r="L91" s="28">
        <f>SUM(L71:L90)</f>
        <v>85443.677841284341</v>
      </c>
      <c r="M91" s="26" t="s">
        <v>271</v>
      </c>
      <c r="N91" s="27">
        <f>IF(COUNT(N71:N90), SUM(N71:N90) / COUNT(N71:N90), 0)</f>
        <v>2.686149248256179E-2</v>
      </c>
      <c r="O91" s="28">
        <f>SUM(O71:O90)</f>
        <v>53722.984965123578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61" t="s">
        <v>267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55149000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2.1442459999999998E-3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2021-09-02(목) 오전 00:00</v>
      </c>
      <c r="C96" s="265"/>
      <c r="D96" s="224" t="str">
        <f>TEXT($G$1, "[$-ko-KR]yyyy-mm-dd(ddd) ") &amp; "오후 14:00"</f>
        <v>2021-09-02(목) 오후 14:00</v>
      </c>
      <c r="E96" s="225"/>
      <c r="F96" s="226"/>
      <c r="G96" s="224" t="str">
        <f>TEXT($G$1, "[$-ko-KR]yyyy-mm-dd(ddd) ") &amp; "오후 19:00"</f>
        <v>2021-09-02(목) 오후 19:00</v>
      </c>
      <c r="H96" s="225"/>
      <c r="I96" s="226"/>
      <c r="J96" s="224" t="str">
        <f>TEXT($G$1, "[$-ko-KR]yyyy-mm-dd(ddd) ") &amp; "오후 21:00"</f>
        <v>2021-09-02(목) 오후 21:00</v>
      </c>
      <c r="K96" s="225"/>
      <c r="L96" s="226"/>
      <c r="M96" s="224" t="str">
        <f>TEXT($G$1+1, "[$-ko-KR]yyyy-mm-dd(ddd) ") &amp; "오전 00:00"</f>
        <v>2021-09-03(금)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7"/>
      <c r="R97" s="227"/>
      <c r="S97" s="227"/>
    </row>
    <row r="98" spans="1:19" ht="17.25" thickBot="1">
      <c r="A98" s="123" t="s">
        <v>210</v>
      </c>
      <c r="B98" s="124">
        <v>19.100000000000001</v>
      </c>
      <c r="C98" s="76">
        <v>0.41481481479999999</v>
      </c>
      <c r="D98" s="13">
        <v>17.7</v>
      </c>
      <c r="E98" s="14">
        <f>IF(ISNUMBER(D98), (D98 - $B98) / $B98, "")</f>
        <v>-7.3298429319371833E-2</v>
      </c>
      <c r="F98" s="16">
        <f>IF(ISNUMBER(D98), $B118 * E98, "")</f>
        <v>-7329.8429319371835</v>
      </c>
      <c r="G98" s="29">
        <v>17.2</v>
      </c>
      <c r="H98" s="14">
        <f>IF(ISNUMBER(G98), (G98 - $B98) / $B98, "")</f>
        <v>-9.9476439790576021E-2</v>
      </c>
      <c r="I98" s="100">
        <f>IF(ISNUMBER(G98), $B118 * H98, "")</f>
        <v>-9947.6439790576023</v>
      </c>
      <c r="J98" s="13">
        <v>17.399999999999999</v>
      </c>
      <c r="K98" s="14">
        <f>IF(ISNUMBER(J98), (J98 - $B98) / $B98, "")</f>
        <v>-8.9005235602094376E-2</v>
      </c>
      <c r="L98" s="16">
        <f>IF(ISNUMBER(J98), $B118 * K98, "")</f>
        <v>-8900.5235602094381</v>
      </c>
      <c r="M98" s="29">
        <v>17.3</v>
      </c>
      <c r="N98" s="14">
        <f>IF(ISNUMBER(M98), (M98 - $B98) / $B98, "")</f>
        <v>-9.4240837696335109E-2</v>
      </c>
      <c r="O98" s="16">
        <f>IF(ISNUMBER(M98), $B118 * N98, "")</f>
        <v>-9424.0837696335111</v>
      </c>
      <c r="Q98" s="222"/>
      <c r="R98" s="222"/>
      <c r="S98" s="222"/>
    </row>
    <row r="99" spans="1:19" ht="17.25" thickBot="1">
      <c r="A99" s="125" t="s">
        <v>164</v>
      </c>
      <c r="B99" s="126">
        <v>570</v>
      </c>
      <c r="C99" s="77">
        <v>0.13772455089999999</v>
      </c>
      <c r="D99" s="15">
        <v>565</v>
      </c>
      <c r="E99" s="32">
        <f t="shared" ref="E99:E102" si="46">IF(ISNUMBER(D99), (D99 - $B99) / $B99, "")</f>
        <v>-8.771929824561403E-3</v>
      </c>
      <c r="F99" s="18">
        <f>IF(ISNUMBER(D99), $B118 * E99, "")</f>
        <v>-877.19298245614027</v>
      </c>
      <c r="G99" s="31">
        <v>602</v>
      </c>
      <c r="H99" s="32">
        <f t="shared" ref="H99:H102" si="47">IF(ISNUMBER(G99), (G99 - $B99) / $B99, "")</f>
        <v>5.6140350877192984E-2</v>
      </c>
      <c r="I99" s="101">
        <f>IF(ISNUMBER(G99), $B118 * H99, "")</f>
        <v>5614.0350877192986</v>
      </c>
      <c r="J99" s="15">
        <v>608</v>
      </c>
      <c r="K99" s="32">
        <f t="shared" ref="K99:K102" si="48">IF(ISNUMBER(J99), (J99 - $B99) / $B99, "")</f>
        <v>6.6666666666666666E-2</v>
      </c>
      <c r="L99" s="18">
        <f>IF(ISNUMBER(J99), $B118 * K99, "")</f>
        <v>6666.666666666667</v>
      </c>
      <c r="M99" s="31">
        <v>594</v>
      </c>
      <c r="N99" s="32">
        <f t="shared" ref="N99:N102" si="49">IF(ISNUMBER(M99), (M99 - $B99) / $B99, "")</f>
        <v>4.2105263157894736E-2</v>
      </c>
      <c r="O99" s="18">
        <f>IF(ISNUMBER(M99), $B118 * N99, "")</f>
        <v>4210.5263157894733</v>
      </c>
      <c r="Q99" s="222"/>
      <c r="R99" s="222"/>
      <c r="S99" s="222"/>
    </row>
    <row r="100" spans="1:19" ht="17.25" thickBot="1">
      <c r="A100" s="125" t="s">
        <v>128</v>
      </c>
      <c r="B100" s="126">
        <v>159</v>
      </c>
      <c r="C100" s="77">
        <v>0.1118881119</v>
      </c>
      <c r="D100" s="15">
        <v>158</v>
      </c>
      <c r="E100" s="32">
        <f t="shared" si="46"/>
        <v>-6.2893081761006293E-3</v>
      </c>
      <c r="F100" s="18">
        <f>IF(ISNUMBER(D100), $B118 * E100, "")</f>
        <v>-628.93081761006295</v>
      </c>
      <c r="G100" s="31">
        <v>165</v>
      </c>
      <c r="H100" s="32">
        <f t="shared" si="47"/>
        <v>3.7735849056603772E-2</v>
      </c>
      <c r="I100" s="101">
        <f>IF(ISNUMBER(G100), $B118 * H100, "")</f>
        <v>3773.584905660377</v>
      </c>
      <c r="J100" s="15">
        <v>167</v>
      </c>
      <c r="K100" s="32">
        <f t="shared" si="48"/>
        <v>5.0314465408805034E-2</v>
      </c>
      <c r="L100" s="18">
        <f>IF(ISNUMBER(J100), $B118 * K100, "")</f>
        <v>5031.4465408805036</v>
      </c>
      <c r="M100" s="31">
        <v>166</v>
      </c>
      <c r="N100" s="32">
        <f t="shared" si="49"/>
        <v>4.40251572327044E-2</v>
      </c>
      <c r="O100" s="18">
        <f>IF(ISNUMBER(M100), $B118 * N100, "")</f>
        <v>4402.5157232704396</v>
      </c>
      <c r="Q100" s="227"/>
      <c r="R100" s="227"/>
      <c r="S100" s="227"/>
    </row>
    <row r="101" spans="1:19" ht="17.25" thickBot="1">
      <c r="A101" s="125" t="s">
        <v>212</v>
      </c>
      <c r="B101" s="126">
        <v>1430</v>
      </c>
      <c r="C101" s="77">
        <v>7.9245283E-2</v>
      </c>
      <c r="D101" s="15">
        <v>1405</v>
      </c>
      <c r="E101" s="32">
        <f t="shared" si="46"/>
        <v>-1.7482517482517484E-2</v>
      </c>
      <c r="F101" s="18">
        <f>IF(ISNUMBER(D101), $B118 * E101, "")</f>
        <v>-1748.2517482517483</v>
      </c>
      <c r="G101" s="31">
        <v>1410</v>
      </c>
      <c r="H101" s="32">
        <f t="shared" si="47"/>
        <v>-1.3986013986013986E-2</v>
      </c>
      <c r="I101" s="101">
        <f>IF(ISNUMBER(G101), $B118 * H101, "")</f>
        <v>-1398.6013986013986</v>
      </c>
      <c r="J101" s="15">
        <v>1410</v>
      </c>
      <c r="K101" s="32">
        <f t="shared" si="48"/>
        <v>-1.3986013986013986E-2</v>
      </c>
      <c r="L101" s="18">
        <f>IF(ISNUMBER(J101), $B118 * K101, "")</f>
        <v>-1398.6013986013986</v>
      </c>
      <c r="M101" s="31">
        <v>1395</v>
      </c>
      <c r="N101" s="32">
        <f t="shared" si="49"/>
        <v>-2.4475524475524476E-2</v>
      </c>
      <c r="O101" s="18">
        <f>IF(ISNUMBER(M101), $B118 * N101, "")</f>
        <v>-2447.5524475524476</v>
      </c>
      <c r="Q101" s="227"/>
      <c r="R101" s="227"/>
      <c r="S101" s="227"/>
    </row>
    <row r="102" spans="1:19" ht="17.25" thickBot="1">
      <c r="A102" s="127" t="s">
        <v>76</v>
      </c>
      <c r="B102" s="128">
        <v>33400</v>
      </c>
      <c r="C102" s="78">
        <v>6.70926518E-2</v>
      </c>
      <c r="D102" s="20">
        <v>33510</v>
      </c>
      <c r="E102" s="21">
        <f t="shared" si="46"/>
        <v>3.2934131736526945E-3</v>
      </c>
      <c r="F102" s="22">
        <f>IF(ISNUMBER(D102), $B118 * E102, "")</f>
        <v>329.34131736526945</v>
      </c>
      <c r="G102" s="30">
        <v>33890</v>
      </c>
      <c r="H102" s="21">
        <f t="shared" si="47"/>
        <v>1.4670658682634731E-2</v>
      </c>
      <c r="I102" s="105">
        <f>IF(ISNUMBER(G102), $B118 * H102, "")</f>
        <v>1467.065868263473</v>
      </c>
      <c r="J102" s="20">
        <v>34340</v>
      </c>
      <c r="K102" s="21">
        <f t="shared" si="48"/>
        <v>2.8143712574850301E-2</v>
      </c>
      <c r="L102" s="22">
        <f>IF(ISNUMBER(J102), $B118 * K102, "")</f>
        <v>2814.3712574850301</v>
      </c>
      <c r="M102" s="30">
        <v>34610</v>
      </c>
      <c r="N102" s="21">
        <f t="shared" si="49"/>
        <v>3.622754491017964E-2</v>
      </c>
      <c r="O102" s="22">
        <f>IF(ISNUMBER(M102), $B118 * N102, "")</f>
        <v>3622.754491017964</v>
      </c>
      <c r="Q102" s="227"/>
      <c r="R102" s="227"/>
      <c r="S102" s="227"/>
    </row>
    <row r="103" spans="1:19" ht="17.25" thickBot="1">
      <c r="A103" s="125" t="s">
        <v>178</v>
      </c>
      <c r="B103" s="129">
        <v>19.8</v>
      </c>
      <c r="C103" s="80">
        <v>6.4516129000000005E-2</v>
      </c>
      <c r="D103" s="106">
        <v>19.8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</v>
      </c>
      <c r="H103" s="107">
        <f>IF(ISNUMBER(G103), (G103 - $B103) / $B103, "")</f>
        <v>1.0101010101010065E-2</v>
      </c>
      <c r="I103" s="110">
        <f>IF(ISNUMBER(G103), $B118 * H103, "")</f>
        <v>1010.1010101010065</v>
      </c>
      <c r="J103" s="106">
        <v>20.100000000000001</v>
      </c>
      <c r="K103" s="107">
        <f>IF(ISNUMBER(J103), (J103 - $B103) / $B103, "")</f>
        <v>1.5151515151515187E-2</v>
      </c>
      <c r="L103" s="108">
        <f>IF(ISNUMBER(J103), $B118 * K103, "")</f>
        <v>1515.1515151515187</v>
      </c>
      <c r="M103" s="109">
        <v>19.8</v>
      </c>
      <c r="N103" s="107">
        <f>IF(ISNUMBER(M103), (M103 - $B103) / $B103, "")</f>
        <v>0</v>
      </c>
      <c r="O103" s="108">
        <f>IF(ISNUMBER(M103), $B118 * N103, "")</f>
        <v>0</v>
      </c>
      <c r="Q103" s="227"/>
      <c r="R103" s="227"/>
      <c r="S103" s="227"/>
    </row>
    <row r="104" spans="1:19" ht="17.25" thickBot="1">
      <c r="A104" s="125" t="s">
        <v>122</v>
      </c>
      <c r="B104" s="126">
        <v>40.799999999999997</v>
      </c>
      <c r="C104" s="77">
        <v>5.6994818699999998E-2</v>
      </c>
      <c r="D104" s="15">
        <v>40.4</v>
      </c>
      <c r="E104" s="32">
        <f t="shared" ref="E104:E107" si="50">IF(ISNUMBER(D104), (D104 - $B104) / $B104, "")</f>
        <v>-9.8039215686274161E-3</v>
      </c>
      <c r="F104" s="18">
        <f>IF(ISNUMBER(D104), $B118 * E104, "")</f>
        <v>-980.39215686274156</v>
      </c>
      <c r="G104" s="31">
        <v>41.2</v>
      </c>
      <c r="H104" s="32">
        <f t="shared" ref="H104:H107" si="51">IF(ISNUMBER(G104), (G104 - $B104) / $B104, "")</f>
        <v>9.8039215686275914E-3</v>
      </c>
      <c r="I104" s="101">
        <f>IF(ISNUMBER(G104), $B118 * H104, "")</f>
        <v>980.39215686275918</v>
      </c>
      <c r="J104" s="15">
        <v>40.799999999999997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40.4</v>
      </c>
      <c r="N104" s="32">
        <f t="shared" ref="N104:N107" si="53">IF(ISNUMBER(M104), (M104 - $B104) / $B104, "")</f>
        <v>-9.8039215686274161E-3</v>
      </c>
      <c r="O104" s="18">
        <f>IF(ISNUMBER(M104), $B118 * N104, "")</f>
        <v>-980.39215686274156</v>
      </c>
      <c r="Q104" s="227"/>
      <c r="R104" s="227"/>
      <c r="S104" s="227"/>
    </row>
    <row r="105" spans="1:19" ht="17.25" thickBot="1">
      <c r="A105" s="125" t="s">
        <v>146</v>
      </c>
      <c r="B105" s="126">
        <v>4310</v>
      </c>
      <c r="C105" s="77">
        <v>4.7387606300000003E-2</v>
      </c>
      <c r="D105" s="15">
        <v>4325</v>
      </c>
      <c r="E105" s="32">
        <f t="shared" si="50"/>
        <v>3.4802784222737818E-3</v>
      </c>
      <c r="F105" s="18">
        <f>IF(ISNUMBER(D105), $B118 * E105, "")</f>
        <v>348.02784222737819</v>
      </c>
      <c r="G105" s="31">
        <v>4325</v>
      </c>
      <c r="H105" s="32">
        <f t="shared" si="51"/>
        <v>3.4802784222737818E-3</v>
      </c>
      <c r="I105" s="101">
        <f>IF(ISNUMBER(G105), $B118 * H105, "")</f>
        <v>348.02784222737819</v>
      </c>
      <c r="J105" s="15">
        <v>4360</v>
      </c>
      <c r="K105" s="32">
        <f t="shared" si="52"/>
        <v>1.1600928074245939E-2</v>
      </c>
      <c r="L105" s="18">
        <f>IF(ISNUMBER(J105), $B118 * K105, "")</f>
        <v>1160.092807424594</v>
      </c>
      <c r="M105" s="31">
        <v>4315</v>
      </c>
      <c r="N105" s="32">
        <f t="shared" si="53"/>
        <v>1.1600928074245939E-3</v>
      </c>
      <c r="O105" s="18">
        <f>IF(ISNUMBER(M105), $B118 * N105, "")</f>
        <v>116.0092807424594</v>
      </c>
      <c r="Q105" s="227"/>
      <c r="R105" s="227"/>
      <c r="S105" s="227"/>
    </row>
    <row r="106" spans="1:19" ht="17.25" thickBot="1">
      <c r="A106" s="125" t="s">
        <v>188</v>
      </c>
      <c r="B106" s="126">
        <v>13.9</v>
      </c>
      <c r="C106" s="77">
        <v>4.5112781999999997E-2</v>
      </c>
      <c r="D106" s="15">
        <v>13.9</v>
      </c>
      <c r="E106" s="32">
        <f t="shared" si="50"/>
        <v>0</v>
      </c>
      <c r="F106" s="18">
        <f>IF(ISNUMBER(D106), $B118 * E106, "")</f>
        <v>0</v>
      </c>
      <c r="G106" s="31">
        <v>14.2</v>
      </c>
      <c r="H106" s="32">
        <f t="shared" si="51"/>
        <v>2.1582733812949562E-2</v>
      </c>
      <c r="I106" s="101">
        <f>IF(ISNUMBER(G106), $B118 * H106, "")</f>
        <v>2158.2733812949564</v>
      </c>
      <c r="J106" s="15">
        <v>14.2</v>
      </c>
      <c r="K106" s="32">
        <f t="shared" si="52"/>
        <v>2.1582733812949562E-2</v>
      </c>
      <c r="L106" s="18">
        <f>IF(ISNUMBER(J106), $B118 * K106, "")</f>
        <v>2158.2733812949564</v>
      </c>
      <c r="M106" s="31">
        <v>13.9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218</v>
      </c>
      <c r="B107" s="131">
        <v>140</v>
      </c>
      <c r="C107" s="79">
        <v>4.4776119400000002E-2</v>
      </c>
      <c r="D107" s="24">
        <v>143</v>
      </c>
      <c r="E107" s="25">
        <f t="shared" si="50"/>
        <v>2.1428571428571429E-2</v>
      </c>
      <c r="F107" s="104">
        <f>IF(ISNUMBER(D107), $B118 * E107, "")</f>
        <v>2142.8571428571427</v>
      </c>
      <c r="G107" s="102">
        <v>148</v>
      </c>
      <c r="H107" s="25">
        <f t="shared" si="51"/>
        <v>5.7142857142857141E-2</v>
      </c>
      <c r="I107" s="103">
        <f>IF(ISNUMBER(G107), $B118 * H107, "")</f>
        <v>5714.2857142857138</v>
      </c>
      <c r="J107" s="24">
        <v>147</v>
      </c>
      <c r="K107" s="25">
        <f t="shared" si="52"/>
        <v>0.05</v>
      </c>
      <c r="L107" s="104">
        <f>IF(ISNUMBER(J107), $B118 * K107, "")</f>
        <v>5000</v>
      </c>
      <c r="M107" s="102">
        <v>145</v>
      </c>
      <c r="N107" s="25">
        <f t="shared" si="53"/>
        <v>3.5714285714285712E-2</v>
      </c>
      <c r="O107" s="104">
        <f>IF(ISNUMBER(M107), $B118 * N107, "")</f>
        <v>3571.4285714285711</v>
      </c>
      <c r="Q107" s="236"/>
      <c r="R107" s="237"/>
      <c r="S107" s="238"/>
    </row>
    <row r="108" spans="1:19">
      <c r="A108" s="123" t="s">
        <v>236</v>
      </c>
      <c r="B108" s="124">
        <v>713</v>
      </c>
      <c r="C108" s="76">
        <v>4.3923865300000003E-2</v>
      </c>
      <c r="D108" s="13">
        <v>702</v>
      </c>
      <c r="E108" s="14">
        <f>IF(ISNUMBER(D108), (D108 - $B108) / $B108, "")</f>
        <v>-1.5427769985974754E-2</v>
      </c>
      <c r="F108" s="16">
        <f>IF(ISNUMBER(D108), $B118 * E108, "")</f>
        <v>-1542.7769985974753</v>
      </c>
      <c r="G108" s="29">
        <v>709</v>
      </c>
      <c r="H108" s="14">
        <f>IF(ISNUMBER(G108), (G108 - $B108) / $B108, "")</f>
        <v>-5.6100981767180924E-3</v>
      </c>
      <c r="I108" s="100">
        <f>IF(ISNUMBER(G108), $B118 * H108, "")</f>
        <v>-561.00981767180929</v>
      </c>
      <c r="J108" s="13">
        <v>711</v>
      </c>
      <c r="K108" s="14">
        <f>IF(ISNUMBER(J108), (J108 - $B108) / $B108, "")</f>
        <v>-2.8050490883590462E-3</v>
      </c>
      <c r="L108" s="16">
        <f>IF(ISNUMBER(J108), $B118 * K108, "")</f>
        <v>-280.50490883590464</v>
      </c>
      <c r="M108" s="29">
        <v>705</v>
      </c>
      <c r="N108" s="14">
        <f>IF(ISNUMBER(M108), (M108 - $B108) / $B108, "")</f>
        <v>-1.1220196353436185E-2</v>
      </c>
      <c r="O108" s="16">
        <f>IF(ISNUMBER(M108), $B118 * N108, "")</f>
        <v>-1122.0196353436186</v>
      </c>
      <c r="Q108" s="239"/>
      <c r="R108" s="240"/>
      <c r="S108" s="241"/>
    </row>
    <row r="109" spans="1:19" ht="17.25" thickBot="1">
      <c r="A109" s="125" t="s">
        <v>132</v>
      </c>
      <c r="B109" s="126">
        <v>131</v>
      </c>
      <c r="C109" s="77">
        <v>3.9682539699999998E-2</v>
      </c>
      <c r="D109" s="15">
        <v>132</v>
      </c>
      <c r="E109" s="32">
        <f t="shared" ref="E109:E112" si="54">IF(ISNUMBER(D109), (D109 - $B109) / $B109, "")</f>
        <v>7.6335877862595417E-3</v>
      </c>
      <c r="F109" s="18">
        <f>IF(ISNUMBER(D109), $B118 * E109, "")</f>
        <v>763.35877862595419</v>
      </c>
      <c r="G109" s="31">
        <v>133</v>
      </c>
      <c r="H109" s="32">
        <f t="shared" ref="H109:H112" si="55">IF(ISNUMBER(G109), (G109 - $B109) / $B109, "")</f>
        <v>1.5267175572519083E-2</v>
      </c>
      <c r="I109" s="101">
        <f>IF(ISNUMBER(G109), $B118 * H109, "")</f>
        <v>1526.7175572519084</v>
      </c>
      <c r="J109" s="15">
        <v>133</v>
      </c>
      <c r="K109" s="32">
        <f t="shared" ref="K109:K112" si="56">IF(ISNUMBER(J109), (J109 - $B109) / $B109, "")</f>
        <v>1.5267175572519083E-2</v>
      </c>
      <c r="L109" s="18">
        <f>IF(ISNUMBER(J109), $B118 * K109, "")</f>
        <v>1526.7175572519084</v>
      </c>
      <c r="M109" s="31">
        <v>132</v>
      </c>
      <c r="N109" s="32">
        <f t="shared" ref="N109:N112" si="57">IF(ISNUMBER(M109), (M109 - $B109) / $B109, "")</f>
        <v>7.6335877862595417E-3</v>
      </c>
      <c r="O109" s="18">
        <f>IF(ISNUMBER(M109), $B118 * N109, "")</f>
        <v>763.35877862595419</v>
      </c>
      <c r="Q109" s="242"/>
      <c r="R109" s="243"/>
      <c r="S109" s="244"/>
    </row>
    <row r="110" spans="1:19" ht="17.25" thickBot="1">
      <c r="A110" s="125" t="s">
        <v>166</v>
      </c>
      <c r="B110" s="126">
        <v>266</v>
      </c>
      <c r="C110" s="77">
        <v>3.5019455300000002E-2</v>
      </c>
      <c r="D110" s="15">
        <v>269</v>
      </c>
      <c r="E110" s="32">
        <f t="shared" si="54"/>
        <v>1.1278195488721804E-2</v>
      </c>
      <c r="F110" s="18">
        <f>IF(ISNUMBER(D110), $B118 * E110, "")</f>
        <v>1127.8195488721803</v>
      </c>
      <c r="G110" s="31">
        <v>264</v>
      </c>
      <c r="H110" s="32">
        <f t="shared" si="55"/>
        <v>-7.5187969924812026E-3</v>
      </c>
      <c r="I110" s="101">
        <f>IF(ISNUMBER(G110), $B118 * H110, "")</f>
        <v>-751.87969924812023</v>
      </c>
      <c r="J110" s="15">
        <v>264</v>
      </c>
      <c r="K110" s="32">
        <f t="shared" si="56"/>
        <v>-7.5187969924812026E-3</v>
      </c>
      <c r="L110" s="18">
        <f>IF(ISNUMBER(J110), $B118 * K110, "")</f>
        <v>-751.87969924812023</v>
      </c>
      <c r="M110" s="31">
        <v>263</v>
      </c>
      <c r="N110" s="32">
        <f t="shared" si="57"/>
        <v>-1.1278195488721804E-2</v>
      </c>
      <c r="O110" s="18">
        <f>IF(ISNUMBER(M110), $B118 * N110, "")</f>
        <v>-1127.8195488721803</v>
      </c>
      <c r="Q110" s="227"/>
      <c r="R110" s="227"/>
      <c r="S110" s="227"/>
    </row>
    <row r="111" spans="1:19" ht="17.25" thickBot="1">
      <c r="A111" s="125" t="s">
        <v>114</v>
      </c>
      <c r="B111" s="126">
        <v>1155</v>
      </c>
      <c r="C111" s="77">
        <v>3.125E-2</v>
      </c>
      <c r="D111" s="15">
        <v>1180</v>
      </c>
      <c r="E111" s="32">
        <f t="shared" si="54"/>
        <v>2.1645021645021644E-2</v>
      </c>
      <c r="F111" s="18">
        <f>IF(ISNUMBER(D111), $B118 * E111, "")</f>
        <v>2164.5021645021643</v>
      </c>
      <c r="G111" s="31">
        <v>1180</v>
      </c>
      <c r="H111" s="32">
        <f t="shared" si="55"/>
        <v>2.1645021645021644E-2</v>
      </c>
      <c r="I111" s="101">
        <f>IF(ISNUMBER(G111), $B118 * H111, "")</f>
        <v>2164.5021645021643</v>
      </c>
      <c r="J111" s="15">
        <v>1190</v>
      </c>
      <c r="K111" s="32">
        <f t="shared" si="56"/>
        <v>3.0303030303030304E-2</v>
      </c>
      <c r="L111" s="18">
        <f>IF(ISNUMBER(J111), $B118 * K111, "")</f>
        <v>3030.3030303030305</v>
      </c>
      <c r="M111" s="31">
        <v>1145</v>
      </c>
      <c r="N111" s="32">
        <f t="shared" si="57"/>
        <v>-8.658008658008658E-3</v>
      </c>
      <c r="O111" s="18">
        <f>IF(ISNUMBER(M111), $B118 * N111, "")</f>
        <v>-865.80086580086584</v>
      </c>
      <c r="Q111" s="222"/>
      <c r="R111" s="222"/>
      <c r="S111" s="222"/>
    </row>
    <row r="112" spans="1:19" ht="17.25" thickBot="1">
      <c r="A112" s="127" t="s">
        <v>136</v>
      </c>
      <c r="B112" s="128">
        <v>2335</v>
      </c>
      <c r="C112" s="78">
        <v>3.09050773E-2</v>
      </c>
      <c r="D112" s="20">
        <v>2315</v>
      </c>
      <c r="E112" s="21">
        <f t="shared" si="54"/>
        <v>-8.5653104925053538E-3</v>
      </c>
      <c r="F112" s="22">
        <f>IF(ISNUMBER(D112), $B118 * E112, "")</f>
        <v>-856.53104925053537</v>
      </c>
      <c r="G112" s="30">
        <v>2340</v>
      </c>
      <c r="H112" s="21">
        <f t="shared" si="55"/>
        <v>2.1413276231263384E-3</v>
      </c>
      <c r="I112" s="105">
        <f>IF(ISNUMBER(G112), $B118 * H112, "")</f>
        <v>214.13276231263384</v>
      </c>
      <c r="J112" s="20">
        <v>2355</v>
      </c>
      <c r="K112" s="21">
        <f t="shared" si="56"/>
        <v>8.5653104925053538E-3</v>
      </c>
      <c r="L112" s="22">
        <f>IF(ISNUMBER(J112), $B118 * K112, "")</f>
        <v>856.53104925053537</v>
      </c>
      <c r="M112" s="30">
        <v>2320</v>
      </c>
      <c r="N112" s="21">
        <f t="shared" si="57"/>
        <v>-6.4239828693790149E-3</v>
      </c>
      <c r="O112" s="22">
        <f>IF(ISNUMBER(M112), $B118 * N112, "")</f>
        <v>-642.3982869379015</v>
      </c>
      <c r="Q112" s="222"/>
      <c r="R112" s="222"/>
      <c r="S112" s="222"/>
    </row>
    <row r="113" spans="1:19" ht="17.25" thickBot="1">
      <c r="A113" s="125" t="s">
        <v>94</v>
      </c>
      <c r="B113" s="129">
        <v>4138000</v>
      </c>
      <c r="C113" s="80">
        <v>3.0891878399999999E-2</v>
      </c>
      <c r="D113" s="106">
        <v>4358000</v>
      </c>
      <c r="E113" s="107">
        <f>IF(ISNUMBER(D113), (D113 - $B113) / $B113, "")</f>
        <v>5.3165780570323826E-2</v>
      </c>
      <c r="F113" s="108">
        <f>IF(ISNUMBER(D113), $B118 * E113, "")</f>
        <v>5316.5780570323823</v>
      </c>
      <c r="G113" s="109">
        <v>4342000</v>
      </c>
      <c r="H113" s="107">
        <f>IF(ISNUMBER(G113), (G113 - $B113) / $B113, "")</f>
        <v>4.9299178347027552E-2</v>
      </c>
      <c r="I113" s="110">
        <f>IF(ISNUMBER(G113), $B118 * H113, "")</f>
        <v>4929.9178347027555</v>
      </c>
      <c r="J113" s="106">
        <v>4364000</v>
      </c>
      <c r="K113" s="107">
        <f>IF(ISNUMBER(J113), (J113 - $B113) / $B113, "")</f>
        <v>5.4615756404059933E-2</v>
      </c>
      <c r="L113" s="108">
        <f>IF(ISNUMBER(J113), $B118 * K113, "")</f>
        <v>5461.575640405993</v>
      </c>
      <c r="M113" s="109">
        <v>4380000</v>
      </c>
      <c r="N113" s="107">
        <f>IF(ISNUMBER(M113), (M113 - $B113) / $B113, "")</f>
        <v>5.8482358627356214E-2</v>
      </c>
      <c r="O113" s="108">
        <f>IF(ISNUMBER(M113), $B118 * N113, "")</f>
        <v>5848.2358627356216</v>
      </c>
      <c r="Q113" s="227"/>
      <c r="R113" s="227"/>
      <c r="S113" s="227"/>
    </row>
    <row r="114" spans="1:19" ht="17.25" thickBot="1">
      <c r="A114" s="125" t="s">
        <v>148</v>
      </c>
      <c r="B114" s="126">
        <v>23.8</v>
      </c>
      <c r="C114" s="77">
        <v>3.0303030299999999E-2</v>
      </c>
      <c r="D114" s="15">
        <v>24.3</v>
      </c>
      <c r="E114" s="32">
        <f t="shared" ref="E114:E117" si="58">IF(ISNUMBER(D114), (D114 - $B114) / $B114, "")</f>
        <v>2.1008403361344536E-2</v>
      </c>
      <c r="F114" s="18">
        <f>IF(ISNUMBER(D114), $B118 * E114, "")</f>
        <v>2100.8403361344535</v>
      </c>
      <c r="G114" s="31">
        <v>24.3</v>
      </c>
      <c r="H114" s="32">
        <f t="shared" ref="H114:H117" si="59">IF(ISNUMBER(G114), (G114 - $B114) / $B114, "")</f>
        <v>2.1008403361344536E-2</v>
      </c>
      <c r="I114" s="101">
        <f>IF(ISNUMBER(G114), $B118 * H114, "")</f>
        <v>2100.8403361344535</v>
      </c>
      <c r="J114" s="15">
        <v>24.4</v>
      </c>
      <c r="K114" s="32">
        <f t="shared" ref="K114:K117" si="60">IF(ISNUMBER(J114), (J114 - $B114) / $B114, "")</f>
        <v>2.5210084033613356E-2</v>
      </c>
      <c r="L114" s="18">
        <f>IF(ISNUMBER(J114), $B118 * K114, "")</f>
        <v>2521.0084033613357</v>
      </c>
      <c r="M114" s="31">
        <v>24.1</v>
      </c>
      <c r="N114" s="32">
        <f t="shared" ref="N114:N117" si="61">IF(ISNUMBER(M114), (M114 - $B114) / $B114, "")</f>
        <v>1.2605042016806753E-2</v>
      </c>
      <c r="O114" s="18">
        <f>IF(ISNUMBER(M114), $B118 * N114, "")</f>
        <v>1260.5042016806754</v>
      </c>
      <c r="Q114" s="227"/>
      <c r="R114" s="227"/>
      <c r="S114" s="227"/>
    </row>
    <row r="115" spans="1:19" ht="17.25" thickBot="1">
      <c r="A115" s="125" t="s">
        <v>108</v>
      </c>
      <c r="B115" s="126">
        <v>1605</v>
      </c>
      <c r="C115" s="77">
        <v>2.88461538E-2</v>
      </c>
      <c r="D115" s="15">
        <v>1640</v>
      </c>
      <c r="E115" s="32">
        <f t="shared" si="58"/>
        <v>2.1806853582554516E-2</v>
      </c>
      <c r="F115" s="18">
        <f>IF(ISNUMBER(D115), $B118 * E115, "")</f>
        <v>2180.6853582554518</v>
      </c>
      <c r="G115" s="31">
        <v>1660</v>
      </c>
      <c r="H115" s="32">
        <f t="shared" si="59"/>
        <v>3.4267912772585667E-2</v>
      </c>
      <c r="I115" s="101">
        <f>IF(ISNUMBER(G115), $B118 * H115, "")</f>
        <v>3426.7912772585669</v>
      </c>
      <c r="J115" s="15">
        <v>1675</v>
      </c>
      <c r="K115" s="32">
        <f t="shared" si="60"/>
        <v>4.3613707165109032E-2</v>
      </c>
      <c r="L115" s="18">
        <f>IF(ISNUMBER(J115), $B118 * K115, "")</f>
        <v>4361.3707165109035</v>
      </c>
      <c r="M115" s="31">
        <v>1645</v>
      </c>
      <c r="N115" s="32">
        <f t="shared" si="61"/>
        <v>2.4922118380062305E-2</v>
      </c>
      <c r="O115" s="18">
        <f>IF(ISNUMBER(M115), $B118 * N115, "")</f>
        <v>2492.2118380062307</v>
      </c>
      <c r="Q115" s="227"/>
      <c r="R115" s="227"/>
      <c r="S115" s="227"/>
    </row>
    <row r="116" spans="1:19">
      <c r="A116" s="125" t="s">
        <v>152</v>
      </c>
      <c r="B116" s="126">
        <v>107</v>
      </c>
      <c r="C116" s="77">
        <v>2.88461538E-2</v>
      </c>
      <c r="D116" s="15">
        <v>111</v>
      </c>
      <c r="E116" s="32">
        <f t="shared" si="58"/>
        <v>3.7383177570093455E-2</v>
      </c>
      <c r="F116" s="18">
        <f>IF(ISNUMBER(D116), $B118 * E116, "")</f>
        <v>3738.3177570093453</v>
      </c>
      <c r="G116" s="31">
        <v>115</v>
      </c>
      <c r="H116" s="32">
        <f t="shared" si="59"/>
        <v>7.476635514018691E-2</v>
      </c>
      <c r="I116" s="101">
        <f>IF(ISNUMBER(G116), $B118 * H116, "")</f>
        <v>7476.6355140186906</v>
      </c>
      <c r="J116" s="15">
        <v>116</v>
      </c>
      <c r="K116" s="32">
        <f t="shared" si="60"/>
        <v>8.4112149532710276E-2</v>
      </c>
      <c r="L116" s="18">
        <f>IF(ISNUMBER(J116), $B118 * K116, "")</f>
        <v>8411.2149532710282</v>
      </c>
      <c r="M116" s="31">
        <v>113</v>
      </c>
      <c r="N116" s="32">
        <f t="shared" si="61"/>
        <v>5.6074766355140186E-2</v>
      </c>
      <c r="O116" s="18">
        <f>IF(ISNUMBER(M116), $B118 * N116, "")</f>
        <v>5607.4766355140182</v>
      </c>
      <c r="Q116" s="249"/>
      <c r="R116" s="250"/>
      <c r="S116" s="251"/>
    </row>
    <row r="117" spans="1:19" ht="17.25" thickBot="1">
      <c r="A117" s="130" t="s">
        <v>208</v>
      </c>
      <c r="B117" s="131">
        <v>14.3</v>
      </c>
      <c r="C117" s="79">
        <v>2.87769784E-2</v>
      </c>
      <c r="D117" s="24">
        <v>14.8</v>
      </c>
      <c r="E117" s="25">
        <f t="shared" si="58"/>
        <v>3.4965034965034961E-2</v>
      </c>
      <c r="F117" s="104">
        <f>IF(ISNUMBER(D117), $B118 * E117, "")</f>
        <v>3496.5034965034961</v>
      </c>
      <c r="G117" s="102">
        <v>14.8</v>
      </c>
      <c r="H117" s="25">
        <f t="shared" si="59"/>
        <v>3.4965034965034961E-2</v>
      </c>
      <c r="I117" s="103">
        <f>IF(ISNUMBER(G117), $B118 * H117, "")</f>
        <v>3496.5034965034961</v>
      </c>
      <c r="J117" s="24">
        <v>14.8</v>
      </c>
      <c r="K117" s="25">
        <f t="shared" si="60"/>
        <v>3.4965034965034961E-2</v>
      </c>
      <c r="L117" s="104">
        <f>IF(ISNUMBER(J117), $B118 * K117, "")</f>
        <v>3496.5034965034961</v>
      </c>
      <c r="M117" s="102">
        <v>14.7</v>
      </c>
      <c r="N117" s="25">
        <f t="shared" si="61"/>
        <v>2.7972027972027871E-2</v>
      </c>
      <c r="O117" s="104">
        <f>IF(ISNUMBER(M117), $B118 * N117, "")</f>
        <v>2797.2027972027872</v>
      </c>
      <c r="Q117" s="252"/>
      <c r="R117" s="253"/>
      <c r="S117" s="254"/>
    </row>
    <row r="118" spans="1:19" ht="17.25" thickBot="1">
      <c r="A118" s="132" t="s">
        <v>270</v>
      </c>
      <c r="B118" s="260">
        <f>$B$37</f>
        <v>100000</v>
      </c>
      <c r="C118" s="261"/>
      <c r="D118" s="26" t="s">
        <v>271</v>
      </c>
      <c r="E118" s="27">
        <f>IF(COUNT(E98:E117), SUM(E98:E117) / COUNT(E98:E117), 0)</f>
        <v>4.8724565572096671E-3</v>
      </c>
      <c r="F118" s="28">
        <f>SUM(F98:F117)</f>
        <v>9744.9131144193325</v>
      </c>
      <c r="G118" s="26" t="s">
        <v>271</v>
      </c>
      <c r="H118" s="27">
        <f>IF(COUNT(H98:H117), SUM(H98:H117) / COUNT(H98:H117), 0)</f>
        <v>1.6871336007260353E-2</v>
      </c>
      <c r="I118" s="28">
        <f>SUM(I98:I117)</f>
        <v>33742.6720145207</v>
      </c>
      <c r="J118" s="26" t="s">
        <v>271</v>
      </c>
      <c r="K118" s="27">
        <f>IF(COUNT(K98:K117), SUM(K98:K117) / COUNT(K98:K117), 0)</f>
        <v>2.1339858724433322E-2</v>
      </c>
      <c r="L118" s="28">
        <f>SUM(L98:L117)</f>
        <v>42679.717448866635</v>
      </c>
      <c r="M118" s="26" t="s">
        <v>271</v>
      </c>
      <c r="N118" s="27">
        <f>IF(COUNT(N98:N117), SUM(N98:N117) / COUNT(N98:N117), 0)</f>
        <v>9.0410788925054629E-3</v>
      </c>
      <c r="O118" s="28">
        <f>SUM(O98:O117)</f>
        <v>18082.157785010928</v>
      </c>
      <c r="Q118" s="255"/>
      <c r="R118" s="256"/>
      <c r="S118" s="257"/>
    </row>
    <row r="120" spans="1:19" ht="17.25" thickBot="1"/>
    <row r="121" spans="1:19" ht="17.25" thickBot="1">
      <c r="A121" s="201" t="s">
        <v>258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61" t="s">
        <v>267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55149000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2.1442459999999998E-3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2021-09-02(목) 오전 00:00</v>
      </c>
      <c r="C123" s="265"/>
      <c r="D123" s="224" t="str">
        <f>TEXT($G$1, "[$-ko-KR]yyyy-mm-dd(ddd) ") &amp; "오후 14:00"</f>
        <v>2021-09-02(목) 오후 14:00</v>
      </c>
      <c r="E123" s="225"/>
      <c r="F123" s="226"/>
      <c r="G123" s="224" t="str">
        <f>TEXT($G$1, "[$-ko-KR]yyyy-mm-dd(ddd) ") &amp; "오후 19:00"</f>
        <v>2021-09-02(목) 오후 19:00</v>
      </c>
      <c r="H123" s="225"/>
      <c r="I123" s="226"/>
      <c r="J123" s="224" t="str">
        <f>TEXT($G$1, "[$-ko-KR]yyyy-mm-dd(ddd) ") &amp; "오후 21:00"</f>
        <v>2021-09-02(목) 오후 21:00</v>
      </c>
      <c r="K123" s="225"/>
      <c r="L123" s="226"/>
      <c r="M123" s="224" t="str">
        <f>TEXT($G$1+1, "[$-ko-KR]yyyy-mm-dd(ddd) ") &amp; "오전 00:00"</f>
        <v>2021-09-03(금)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7"/>
      <c r="R124" s="227"/>
      <c r="S124" s="227"/>
    </row>
    <row r="125" spans="1:19" ht="17.25" thickBot="1">
      <c r="A125" s="123" t="s">
        <v>210</v>
      </c>
      <c r="B125" s="124">
        <v>19.100000000000001</v>
      </c>
      <c r="C125" s="76">
        <v>0.41481481479999999</v>
      </c>
      <c r="D125" s="13">
        <v>17.7</v>
      </c>
      <c r="E125" s="14">
        <f>IF(ISNUMBER(D125), (D125 - $B125) / $B125, "")</f>
        <v>-7.3298429319371833E-2</v>
      </c>
      <c r="F125" s="16">
        <f>IF(ISNUMBER(D125), $B145 * E125, "")</f>
        <v>-7329.8429319371835</v>
      </c>
      <c r="G125" s="29">
        <v>17.2</v>
      </c>
      <c r="H125" s="14">
        <f>IF(ISNUMBER(G125), (G125 - $B125) / $B125, "")</f>
        <v>-9.9476439790576021E-2</v>
      </c>
      <c r="I125" s="100">
        <f>IF(ISNUMBER(G125), $B145 * H125, "")</f>
        <v>-9947.6439790576023</v>
      </c>
      <c r="J125" s="13">
        <v>17.399999999999999</v>
      </c>
      <c r="K125" s="14">
        <f>IF(ISNUMBER(J125), (J125 - $B125) / $B125, "")</f>
        <v>-8.9005235602094376E-2</v>
      </c>
      <c r="L125" s="16">
        <f>IF(ISNUMBER(J125), $B145 * K125, "")</f>
        <v>-8900.5235602094381</v>
      </c>
      <c r="M125" s="29">
        <v>17.3</v>
      </c>
      <c r="N125" s="14">
        <f>IF(ISNUMBER(M125), (M125 - $B125) / $B125, "")</f>
        <v>-9.4240837696335109E-2</v>
      </c>
      <c r="O125" s="16">
        <f>IF(ISNUMBER(M125), $B145 * N125, "")</f>
        <v>-9424.0837696335111</v>
      </c>
      <c r="Q125" s="222"/>
      <c r="R125" s="222"/>
      <c r="S125" s="222"/>
    </row>
    <row r="126" spans="1:19" ht="17.25" thickBot="1">
      <c r="A126" s="125" t="s">
        <v>178</v>
      </c>
      <c r="B126" s="126">
        <v>19.8</v>
      </c>
      <c r="C126" s="77">
        <v>6.4516129000000005E-2</v>
      </c>
      <c r="D126" s="15">
        <v>19.8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20</v>
      </c>
      <c r="H126" s="32">
        <f t="shared" ref="H126:H129" si="63">IF(ISNUMBER(G126), (G126 - $B126) / $B126, "")</f>
        <v>1.0101010101010065E-2</v>
      </c>
      <c r="I126" s="101">
        <f>IF(ISNUMBER(G126), $B145 * H126, "")</f>
        <v>1010.1010101010065</v>
      </c>
      <c r="J126" s="15">
        <v>20.100000000000001</v>
      </c>
      <c r="K126" s="32">
        <f t="shared" ref="K126:K129" si="64">IF(ISNUMBER(J126), (J126 - $B126) / $B126, "")</f>
        <v>1.5151515151515187E-2</v>
      </c>
      <c r="L126" s="18">
        <f>IF(ISNUMBER(J126), $B145 * K126, "")</f>
        <v>1515.1515151515187</v>
      </c>
      <c r="M126" s="31">
        <v>19.8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22"/>
      <c r="R126" s="222"/>
      <c r="S126" s="222"/>
    </row>
    <row r="127" spans="1:19" ht="17.25" thickBot="1">
      <c r="A127" s="125" t="s">
        <v>122</v>
      </c>
      <c r="B127" s="126">
        <v>40.799999999999997</v>
      </c>
      <c r="C127" s="77">
        <v>5.6994818699999998E-2</v>
      </c>
      <c r="D127" s="15">
        <v>40.4</v>
      </c>
      <c r="E127" s="32">
        <f t="shared" si="62"/>
        <v>-9.8039215686274161E-3</v>
      </c>
      <c r="F127" s="18">
        <f>IF(ISNUMBER(D127), $B145 * E127, "")</f>
        <v>-980.39215686274156</v>
      </c>
      <c r="G127" s="31">
        <v>41.2</v>
      </c>
      <c r="H127" s="32">
        <f t="shared" si="63"/>
        <v>9.8039215686275914E-3</v>
      </c>
      <c r="I127" s="101">
        <f>IF(ISNUMBER(G127), $B145 * H127, "")</f>
        <v>980.39215686275918</v>
      </c>
      <c r="J127" s="15">
        <v>40.799999999999997</v>
      </c>
      <c r="K127" s="32">
        <f t="shared" si="64"/>
        <v>0</v>
      </c>
      <c r="L127" s="18">
        <f>IF(ISNUMBER(J127), $B145 * K127, "")</f>
        <v>0</v>
      </c>
      <c r="M127" s="31">
        <v>40.4</v>
      </c>
      <c r="N127" s="32">
        <f t="shared" si="65"/>
        <v>-9.8039215686274161E-3</v>
      </c>
      <c r="O127" s="18">
        <f>IF(ISNUMBER(M127), $B145 * N127, "")</f>
        <v>-980.39215686274156</v>
      </c>
      <c r="Q127" s="227"/>
      <c r="R127" s="227"/>
      <c r="S127" s="227"/>
    </row>
    <row r="128" spans="1:19" ht="17.25" thickBot="1">
      <c r="A128" s="125" t="s">
        <v>188</v>
      </c>
      <c r="B128" s="126">
        <v>13.9</v>
      </c>
      <c r="C128" s="77">
        <v>4.5112781999999997E-2</v>
      </c>
      <c r="D128" s="15">
        <v>13.9</v>
      </c>
      <c r="E128" s="32">
        <f t="shared" si="62"/>
        <v>0</v>
      </c>
      <c r="F128" s="18">
        <f>IF(ISNUMBER(D128), $B145 * E128, "")</f>
        <v>0</v>
      </c>
      <c r="G128" s="31">
        <v>14.2</v>
      </c>
      <c r="H128" s="32">
        <f t="shared" si="63"/>
        <v>2.1582733812949562E-2</v>
      </c>
      <c r="I128" s="101">
        <f>IF(ISNUMBER(G128), $B145 * H128, "")</f>
        <v>2158.2733812949564</v>
      </c>
      <c r="J128" s="15">
        <v>14.2</v>
      </c>
      <c r="K128" s="32">
        <f t="shared" si="64"/>
        <v>2.1582733812949562E-2</v>
      </c>
      <c r="L128" s="18">
        <f>IF(ISNUMBER(J128), $B145 * K128, "")</f>
        <v>2158.2733812949564</v>
      </c>
      <c r="M128" s="31">
        <v>13.9</v>
      </c>
      <c r="N128" s="32">
        <f t="shared" si="65"/>
        <v>0</v>
      </c>
      <c r="O128" s="18">
        <f>IF(ISNUMBER(M128), $B145 * N128, "")</f>
        <v>0</v>
      </c>
      <c r="Q128" s="227"/>
      <c r="R128" s="227"/>
      <c r="S128" s="227"/>
    </row>
    <row r="129" spans="1:19" ht="17.25" thickBot="1">
      <c r="A129" s="127" t="s">
        <v>148</v>
      </c>
      <c r="B129" s="128">
        <v>23.8</v>
      </c>
      <c r="C129" s="78">
        <v>3.0303030299999999E-2</v>
      </c>
      <c r="D129" s="20">
        <v>24.3</v>
      </c>
      <c r="E129" s="21">
        <f t="shared" si="62"/>
        <v>2.1008403361344536E-2</v>
      </c>
      <c r="F129" s="22">
        <f>IF(ISNUMBER(D129), $B145 * E129, "")</f>
        <v>2100.8403361344535</v>
      </c>
      <c r="G129" s="30">
        <v>24.3</v>
      </c>
      <c r="H129" s="21">
        <f t="shared" si="63"/>
        <v>2.1008403361344536E-2</v>
      </c>
      <c r="I129" s="105">
        <f>IF(ISNUMBER(G129), $B145 * H129, "")</f>
        <v>2100.8403361344535</v>
      </c>
      <c r="J129" s="20">
        <v>24.4</v>
      </c>
      <c r="K129" s="21">
        <f t="shared" si="64"/>
        <v>2.5210084033613356E-2</v>
      </c>
      <c r="L129" s="22">
        <f>IF(ISNUMBER(J129), $B145 * K129, "")</f>
        <v>2521.0084033613357</v>
      </c>
      <c r="M129" s="30">
        <v>24.1</v>
      </c>
      <c r="N129" s="21">
        <f t="shared" si="65"/>
        <v>1.2605042016806753E-2</v>
      </c>
      <c r="O129" s="22">
        <f>IF(ISNUMBER(M129), $B145 * N129, "")</f>
        <v>1260.5042016806754</v>
      </c>
      <c r="Q129" s="227"/>
      <c r="R129" s="227"/>
      <c r="S129" s="227"/>
    </row>
    <row r="130" spans="1:19" ht="17.25" thickBot="1">
      <c r="A130" s="125" t="s">
        <v>208</v>
      </c>
      <c r="B130" s="129">
        <v>14.3</v>
      </c>
      <c r="C130" s="80">
        <v>2.87769784E-2</v>
      </c>
      <c r="D130" s="106">
        <v>14.8</v>
      </c>
      <c r="E130" s="107">
        <f>IF(ISNUMBER(D130), (D130 - $B130) / $B130, "")</f>
        <v>3.4965034965034961E-2</v>
      </c>
      <c r="F130" s="108">
        <f>IF(ISNUMBER(D130), $B145 * E130, "")</f>
        <v>3496.5034965034961</v>
      </c>
      <c r="G130" s="109">
        <v>14.8</v>
      </c>
      <c r="H130" s="107">
        <f>IF(ISNUMBER(G130), (G130 - $B130) / $B130, "")</f>
        <v>3.4965034965034961E-2</v>
      </c>
      <c r="I130" s="110">
        <f>IF(ISNUMBER(G130), $B145 * H130, "")</f>
        <v>3496.5034965034961</v>
      </c>
      <c r="J130" s="106">
        <v>14.8</v>
      </c>
      <c r="K130" s="107">
        <f>IF(ISNUMBER(J130), (J130 - $B130) / $B130, "")</f>
        <v>3.4965034965034961E-2</v>
      </c>
      <c r="L130" s="108">
        <f>IF(ISNUMBER(J130), $B145 * K130, "")</f>
        <v>3496.5034965034961</v>
      </c>
      <c r="M130" s="109">
        <v>14.7</v>
      </c>
      <c r="N130" s="107">
        <f>IF(ISNUMBER(M130), (M130 - $B130) / $B130, "")</f>
        <v>2.7972027972027871E-2</v>
      </c>
      <c r="O130" s="108">
        <f>IF(ISNUMBER(M130), $B145 * N130, "")</f>
        <v>2797.2027972027872</v>
      </c>
      <c r="Q130" s="227"/>
      <c r="R130" s="227"/>
      <c r="S130" s="227"/>
    </row>
    <row r="131" spans="1:19" ht="17.25" thickBot="1">
      <c r="A131" s="125" t="s">
        <v>216</v>
      </c>
      <c r="B131" s="126">
        <v>11.7</v>
      </c>
      <c r="C131" s="77">
        <v>2.6315789499999999E-2</v>
      </c>
      <c r="D131" s="15">
        <v>12.2</v>
      </c>
      <c r="E131" s="32">
        <f t="shared" ref="E131:E134" si="66">IF(ISNUMBER(D131), (D131 - $B131) / $B131, "")</f>
        <v>4.2735042735042736E-2</v>
      </c>
      <c r="F131" s="18">
        <f>IF(ISNUMBER(D131), $B145 * E131, "")</f>
        <v>4273.5042735042734</v>
      </c>
      <c r="G131" s="31">
        <v>12.3</v>
      </c>
      <c r="H131" s="32">
        <f t="shared" ref="H131:H134" si="67">IF(ISNUMBER(G131), (G131 - $B131) / $B131, "")</f>
        <v>5.1282051282051405E-2</v>
      </c>
      <c r="I131" s="101">
        <f>IF(ISNUMBER(G131), $B145 * H131, "")</f>
        <v>5128.2051282051407</v>
      </c>
      <c r="J131" s="15">
        <v>12.3</v>
      </c>
      <c r="K131" s="32">
        <f t="shared" ref="K131:K134" si="68">IF(ISNUMBER(J131), (J131 - $B131) / $B131, "")</f>
        <v>5.1282051282051405E-2</v>
      </c>
      <c r="L131" s="18">
        <f>IF(ISNUMBER(J131), $B145 * K131, "")</f>
        <v>5128.2051282051407</v>
      </c>
      <c r="M131" s="31">
        <v>12.1</v>
      </c>
      <c r="N131" s="32">
        <f t="shared" ref="N131:N134" si="69">IF(ISNUMBER(M131), (M131 - $B131) / $B131, "")</f>
        <v>3.4188034188034219E-2</v>
      </c>
      <c r="O131" s="18">
        <f>IF(ISNUMBER(M131), $B145 * N131, "")</f>
        <v>3418.8034188034221</v>
      </c>
      <c r="Q131" s="227"/>
      <c r="R131" s="227"/>
      <c r="S131" s="227"/>
    </row>
    <row r="132" spans="1:19" ht="17.25" thickBot="1">
      <c r="A132" s="125" t="s">
        <v>250</v>
      </c>
      <c r="B132" s="126">
        <v>88.8</v>
      </c>
      <c r="C132" s="77">
        <v>2.5404157E-2</v>
      </c>
      <c r="D132" s="15">
        <v>92.5</v>
      </c>
      <c r="E132" s="32">
        <f t="shared" si="66"/>
        <v>4.1666666666666699E-2</v>
      </c>
      <c r="F132" s="18">
        <f>IF(ISNUMBER(D132), $B145 * E132, "")</f>
        <v>4166.6666666666697</v>
      </c>
      <c r="G132" s="31">
        <v>93.6</v>
      </c>
      <c r="H132" s="32">
        <f t="shared" si="67"/>
        <v>5.4054054054054022E-2</v>
      </c>
      <c r="I132" s="101">
        <f>IF(ISNUMBER(G132), $B145 * H132, "")</f>
        <v>5405.4054054054022</v>
      </c>
      <c r="J132" s="15">
        <v>99.3</v>
      </c>
      <c r="K132" s="32">
        <f t="shared" si="68"/>
        <v>0.11824324324324324</v>
      </c>
      <c r="L132" s="18">
        <f>IF(ISNUMBER(J132), $B145 * K132, "")</f>
        <v>11824.324324324325</v>
      </c>
      <c r="M132" s="31">
        <v>96.9</v>
      </c>
      <c r="N132" s="32">
        <f t="shared" si="69"/>
        <v>9.1216216216216311E-2</v>
      </c>
      <c r="O132" s="18">
        <f>IF(ISNUMBER(M132), $B145 * N132, "")</f>
        <v>9121.6216216216308</v>
      </c>
      <c r="Q132" s="227"/>
      <c r="R132" s="227"/>
      <c r="S132" s="227"/>
    </row>
    <row r="133" spans="1:19" ht="17.25" thickBot="1">
      <c r="A133" s="125" t="s">
        <v>98</v>
      </c>
      <c r="B133" s="126">
        <v>5.05</v>
      </c>
      <c r="C133" s="77">
        <v>2.4340770800000001E-2</v>
      </c>
      <c r="D133" s="15">
        <v>5.1100000000000003</v>
      </c>
      <c r="E133" s="32">
        <f t="shared" si="66"/>
        <v>1.188118811881198E-2</v>
      </c>
      <c r="F133" s="18">
        <f>IF(ISNUMBER(D133), $B145 * E133, "")</f>
        <v>1188.1188118811981</v>
      </c>
      <c r="G133" s="31">
        <v>5.23</v>
      </c>
      <c r="H133" s="32">
        <f t="shared" si="67"/>
        <v>3.5643564356435765E-2</v>
      </c>
      <c r="I133" s="101">
        <f>IF(ISNUMBER(G133), $B145 * H133, "")</f>
        <v>3564.3564356435763</v>
      </c>
      <c r="J133" s="15">
        <v>5.47</v>
      </c>
      <c r="K133" s="32">
        <f t="shared" si="68"/>
        <v>8.3168316831683159E-2</v>
      </c>
      <c r="L133" s="18">
        <f>IF(ISNUMBER(J133), $B145 * K133, "")</f>
        <v>8316.8316831683151</v>
      </c>
      <c r="M133" s="31">
        <v>5.32</v>
      </c>
      <c r="N133" s="32">
        <f t="shared" si="69"/>
        <v>5.3465346534653561E-2</v>
      </c>
      <c r="O133" s="18">
        <f>IF(ISNUMBER(M133), $B145 * N133, "")</f>
        <v>5346.5346534653563</v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2.2900763399999999E-2</v>
      </c>
      <c r="D134" s="24">
        <v>13.8</v>
      </c>
      <c r="E134" s="25">
        <f t="shared" si="66"/>
        <v>2.9850746268656744E-2</v>
      </c>
      <c r="F134" s="104">
        <f>IF(ISNUMBER(D134), $B145 * E134, "")</f>
        <v>2985.0746268656744</v>
      </c>
      <c r="G134" s="102">
        <v>14</v>
      </c>
      <c r="H134" s="25">
        <f t="shared" si="67"/>
        <v>4.4776119402985044E-2</v>
      </c>
      <c r="I134" s="103">
        <f>IF(ISNUMBER(G134), $B145 * H134, "")</f>
        <v>4477.6119402985041</v>
      </c>
      <c r="J134" s="24">
        <v>14</v>
      </c>
      <c r="K134" s="25">
        <f t="shared" si="68"/>
        <v>4.4776119402985044E-2</v>
      </c>
      <c r="L134" s="104">
        <f>IF(ISNUMBER(J134), $B145 * K134, "")</f>
        <v>4477.6119402985041</v>
      </c>
      <c r="M134" s="102">
        <v>13.9</v>
      </c>
      <c r="N134" s="25">
        <f t="shared" si="69"/>
        <v>3.7313432835820892E-2</v>
      </c>
      <c r="O134" s="104">
        <f>IF(ISNUMBER(M134), $B145 * N134, "")</f>
        <v>3731.343283582089</v>
      </c>
      <c r="Q134" s="236"/>
      <c r="R134" s="237"/>
      <c r="S134" s="238"/>
    </row>
    <row r="135" spans="1:19">
      <c r="A135" s="123" t="s">
        <v>204</v>
      </c>
      <c r="B135" s="124">
        <v>15.8</v>
      </c>
      <c r="C135" s="76">
        <v>1.9354838700000002E-2</v>
      </c>
      <c r="D135" s="13">
        <v>17.899999999999999</v>
      </c>
      <c r="E135" s="14">
        <f>IF(ISNUMBER(D135), (D135 - $B135) / $B135, "")</f>
        <v>0.13291139240506314</v>
      </c>
      <c r="F135" s="16">
        <f>IF(ISNUMBER(D135), $B145 * E135, "")</f>
        <v>13291.139240506314</v>
      </c>
      <c r="G135" s="29">
        <v>17.2</v>
      </c>
      <c r="H135" s="14">
        <f>IF(ISNUMBER(G135), (G135 - $B135) / $B135, "")</f>
        <v>8.8607594936708764E-2</v>
      </c>
      <c r="I135" s="100">
        <f>IF(ISNUMBER(G135), $B145 * H135, "")</f>
        <v>8860.7594936708756</v>
      </c>
      <c r="J135" s="13">
        <v>17.2</v>
      </c>
      <c r="K135" s="14">
        <f>IF(ISNUMBER(J135), (J135 - $B135) / $B135, "")</f>
        <v>8.8607594936708764E-2</v>
      </c>
      <c r="L135" s="16">
        <f>IF(ISNUMBER(J135), $B145 * K135, "")</f>
        <v>8860.7594936708756</v>
      </c>
      <c r="M135" s="29">
        <v>17</v>
      </c>
      <c r="N135" s="14">
        <f>IF(ISNUMBER(M135), (M135 - $B135) / $B135, "")</f>
        <v>7.5949367088607542E-2</v>
      </c>
      <c r="O135" s="16">
        <f>IF(ISNUMBER(M135), $B145 * N135, "")</f>
        <v>7594.9367088607542</v>
      </c>
      <c r="Q135" s="239"/>
      <c r="R135" s="240"/>
      <c r="S135" s="241"/>
    </row>
    <row r="136" spans="1:19" ht="17.25" thickBot="1">
      <c r="A136" s="125" t="s">
        <v>72</v>
      </c>
      <c r="B136" s="126">
        <v>26</v>
      </c>
      <c r="C136" s="77">
        <v>1.16731518E-2</v>
      </c>
      <c r="D136" s="15">
        <v>27</v>
      </c>
      <c r="E136" s="32">
        <f t="shared" ref="E136:E139" si="70">IF(ISNUMBER(D136), (D136 - $B136) / $B136, "")</f>
        <v>3.8461538461538464E-2</v>
      </c>
      <c r="F136" s="18">
        <f>IF(ISNUMBER(D136), $B145 * E136, "")</f>
        <v>3846.1538461538462</v>
      </c>
      <c r="G136" s="31">
        <v>27</v>
      </c>
      <c r="H136" s="32">
        <f t="shared" ref="H136:H139" si="71">IF(ISNUMBER(G136), (G136 - $B136) / $B136, "")</f>
        <v>3.8461538461538464E-2</v>
      </c>
      <c r="I136" s="101">
        <f>IF(ISNUMBER(G136), $B145 * H136, "")</f>
        <v>3846.1538461538462</v>
      </c>
      <c r="J136" s="15">
        <v>27</v>
      </c>
      <c r="K136" s="32">
        <f t="shared" ref="K136:K139" si="72">IF(ISNUMBER(J136), (J136 - $B136) / $B136, "")</f>
        <v>3.8461538461538464E-2</v>
      </c>
      <c r="L136" s="18">
        <f>IF(ISNUMBER(J136), $B145 * K136, "")</f>
        <v>3846.1538461538462</v>
      </c>
      <c r="M136" s="31">
        <v>26.5</v>
      </c>
      <c r="N136" s="32">
        <f t="shared" ref="N136:N139" si="73">IF(ISNUMBER(M136), (M136 - $B136) / $B136, "")</f>
        <v>1.9230769230769232E-2</v>
      </c>
      <c r="O136" s="18">
        <f>IF(ISNUMBER(M136), $B145 * N136, "")</f>
        <v>1923.0769230769231</v>
      </c>
      <c r="Q136" s="242"/>
      <c r="R136" s="243"/>
      <c r="S136" s="244"/>
    </row>
    <row r="137" spans="1:19" ht="17.25" thickBot="1">
      <c r="A137" s="125" t="s">
        <v>190</v>
      </c>
      <c r="B137" s="126">
        <v>19.399999999999999</v>
      </c>
      <c r="C137" s="77">
        <v>1.04166667E-2</v>
      </c>
      <c r="D137" s="15">
        <v>20.100000000000001</v>
      </c>
      <c r="E137" s="32">
        <f t="shared" si="70"/>
        <v>3.6082474226804273E-2</v>
      </c>
      <c r="F137" s="18">
        <f>IF(ISNUMBER(D137), $B145 * E137, "")</f>
        <v>3608.2474226804275</v>
      </c>
      <c r="G137" s="31">
        <v>20.100000000000001</v>
      </c>
      <c r="H137" s="32">
        <f t="shared" si="71"/>
        <v>3.6082474226804273E-2</v>
      </c>
      <c r="I137" s="101">
        <f>IF(ISNUMBER(G137), $B145 * H137, "")</f>
        <v>3608.2474226804275</v>
      </c>
      <c r="J137" s="15">
        <v>20.2</v>
      </c>
      <c r="K137" s="32">
        <f t="shared" si="72"/>
        <v>4.1237113402061897E-2</v>
      </c>
      <c r="L137" s="18">
        <f>IF(ISNUMBER(J137), $B145 * K137, "")</f>
        <v>4123.7113402061896</v>
      </c>
      <c r="M137" s="31">
        <v>20</v>
      </c>
      <c r="N137" s="32">
        <f t="shared" si="73"/>
        <v>3.0927835051546466E-2</v>
      </c>
      <c r="O137" s="18">
        <f>IF(ISNUMBER(M137), $B145 * N137, "")</f>
        <v>3092.7835051546467</v>
      </c>
      <c r="Q137" s="227"/>
      <c r="R137" s="227"/>
      <c r="S137" s="227"/>
    </row>
    <row r="138" spans="1:19" ht="17.25" thickBot="1">
      <c r="A138" s="125" t="s">
        <v>65</v>
      </c>
      <c r="B138" s="126">
        <v>50</v>
      </c>
      <c r="C138" s="77">
        <v>1.01010101E-2</v>
      </c>
      <c r="D138" s="15">
        <v>50.7</v>
      </c>
      <c r="E138" s="32">
        <f t="shared" si="70"/>
        <v>1.4000000000000058E-2</v>
      </c>
      <c r="F138" s="18">
        <f>IF(ISNUMBER(D138), $B145 * E138, "")</f>
        <v>1400.0000000000057</v>
      </c>
      <c r="G138" s="31">
        <v>52.7</v>
      </c>
      <c r="H138" s="32">
        <f t="shared" si="71"/>
        <v>5.4000000000000055E-2</v>
      </c>
      <c r="I138" s="101">
        <f>IF(ISNUMBER(G138), $B145 * H138, "")</f>
        <v>5400.0000000000055</v>
      </c>
      <c r="J138" s="15">
        <v>51.8</v>
      </c>
      <c r="K138" s="32">
        <f t="shared" si="72"/>
        <v>3.5999999999999942E-2</v>
      </c>
      <c r="L138" s="18">
        <f>IF(ISNUMBER(J138), $B145 * K138, "")</f>
        <v>3599.9999999999941</v>
      </c>
      <c r="M138" s="31">
        <v>51.1</v>
      </c>
      <c r="N138" s="32">
        <f t="shared" si="73"/>
        <v>2.200000000000003E-2</v>
      </c>
      <c r="O138" s="18">
        <f>IF(ISNUMBER(M138), $B145 * N138, "")</f>
        <v>2200.0000000000032</v>
      </c>
      <c r="Q138" s="222"/>
      <c r="R138" s="222"/>
      <c r="S138" s="222"/>
    </row>
    <row r="139" spans="1:19" ht="17.25" thickBot="1">
      <c r="A139" s="127" t="s">
        <v>202</v>
      </c>
      <c r="B139" s="128">
        <v>92.7</v>
      </c>
      <c r="C139" s="78">
        <v>8.7051143000000004E-3</v>
      </c>
      <c r="D139" s="20">
        <v>93.5</v>
      </c>
      <c r="E139" s="21">
        <f t="shared" si="70"/>
        <v>8.6299892125134541E-3</v>
      </c>
      <c r="F139" s="22">
        <f>IF(ISNUMBER(D139), $B145 * E139, "")</f>
        <v>862.99892125134545</v>
      </c>
      <c r="G139" s="30">
        <v>93.9</v>
      </c>
      <c r="H139" s="21">
        <f t="shared" si="71"/>
        <v>1.2944983818770257E-2</v>
      </c>
      <c r="I139" s="105">
        <f>IF(ISNUMBER(G139), $B145 * H139, "")</f>
        <v>1294.4983818770256</v>
      </c>
      <c r="J139" s="20">
        <v>94.1</v>
      </c>
      <c r="K139" s="21">
        <f t="shared" si="72"/>
        <v>1.5102481121898504E-2</v>
      </c>
      <c r="L139" s="22">
        <f>IF(ISNUMBER(J139), $B145 * K139, "")</f>
        <v>1510.2481121898504</v>
      </c>
      <c r="M139" s="30">
        <v>93.3</v>
      </c>
      <c r="N139" s="21">
        <f t="shared" si="73"/>
        <v>6.472491909385052E-3</v>
      </c>
      <c r="O139" s="22">
        <f>IF(ISNUMBER(M139), $B145 * N139, "")</f>
        <v>647.24919093850519</v>
      </c>
      <c r="Q139" s="222"/>
      <c r="R139" s="222"/>
      <c r="S139" s="222"/>
    </row>
    <row r="140" spans="1:19" ht="17.25" thickBot="1">
      <c r="A140" s="125" t="s">
        <v>234</v>
      </c>
      <c r="B140" s="129">
        <v>85.7</v>
      </c>
      <c r="C140" s="80">
        <v>2.3391813000000002E-3</v>
      </c>
      <c r="D140" s="106">
        <v>87.6</v>
      </c>
      <c r="E140" s="107">
        <f>IF(ISNUMBER(D140), (D140 - $B140) / $B140, "")</f>
        <v>2.2170361726954392E-2</v>
      </c>
      <c r="F140" s="108">
        <f>IF(ISNUMBER(D140), $B145 * E140, "")</f>
        <v>2217.0361726954393</v>
      </c>
      <c r="G140" s="109">
        <v>88</v>
      </c>
      <c r="H140" s="107">
        <f>IF(ISNUMBER(G140), (G140 - $B140) / $B140, "")</f>
        <v>2.6837806301050142E-2</v>
      </c>
      <c r="I140" s="110">
        <f>IF(ISNUMBER(G140), $B145 * H140, "")</f>
        <v>2683.7806301050141</v>
      </c>
      <c r="J140" s="106">
        <v>88.2</v>
      </c>
      <c r="K140" s="107">
        <f>IF(ISNUMBER(J140), (J140 - $B140) / $B140, "")</f>
        <v>2.9171528588098017E-2</v>
      </c>
      <c r="L140" s="108">
        <f>IF(ISNUMBER(J140), $B145 * K140, "")</f>
        <v>2917.1528588098017</v>
      </c>
      <c r="M140" s="109">
        <v>87</v>
      </c>
      <c r="N140" s="107">
        <f>IF(ISNUMBER(M140), (M140 - $B140) / $B140, "")</f>
        <v>1.5169194865810936E-2</v>
      </c>
      <c r="O140" s="108">
        <f>IF(ISNUMBER(M140), $B145 * N140, "")</f>
        <v>1516.9194865810935</v>
      </c>
      <c r="Q140" s="227"/>
      <c r="R140" s="227"/>
      <c r="S140" s="227"/>
    </row>
    <row r="141" spans="1:19" ht="17.25" thickBot="1">
      <c r="A141" s="125" t="s">
        <v>240</v>
      </c>
      <c r="B141" s="126">
        <v>73.5</v>
      </c>
      <c r="C141" s="77">
        <v>0</v>
      </c>
      <c r="D141" s="15">
        <v>74.7</v>
      </c>
      <c r="E141" s="32">
        <f t="shared" ref="E141:E144" si="74">IF(ISNUMBER(D141), (D141 - $B141) / $B141, "")</f>
        <v>1.6326530612244938E-2</v>
      </c>
      <c r="F141" s="18">
        <f>IF(ISNUMBER(D141), $B145 * E141, "")</f>
        <v>1632.6530612244937</v>
      </c>
      <c r="G141" s="31">
        <v>75.5</v>
      </c>
      <c r="H141" s="32">
        <f t="shared" ref="H141:H144" si="75">IF(ISNUMBER(G141), (G141 - $B141) / $B141, "")</f>
        <v>2.7210884353741496E-2</v>
      </c>
      <c r="I141" s="101">
        <f>IF(ISNUMBER(G141), $B145 * H141, "")</f>
        <v>2721.0884353741494</v>
      </c>
      <c r="J141" s="15">
        <v>76</v>
      </c>
      <c r="K141" s="32">
        <f t="shared" ref="K141:K144" si="76">IF(ISNUMBER(J141), (J141 - $B141) / $B141, "")</f>
        <v>3.4013605442176874E-2</v>
      </c>
      <c r="L141" s="18">
        <f>IF(ISNUMBER(J141), $B145 * K141, "")</f>
        <v>3401.3605442176872</v>
      </c>
      <c r="M141" s="31">
        <v>74.599999999999994</v>
      </c>
      <c r="N141" s="32">
        <f t="shared" ref="N141:N144" si="77">IF(ISNUMBER(M141), (M141 - $B141) / $B141, "")</f>
        <v>1.4965986394557746E-2</v>
      </c>
      <c r="O141" s="18">
        <f>IF(ISNUMBER(M141), $B145 * N141, "")</f>
        <v>1496.5986394557747</v>
      </c>
      <c r="Q141" s="227"/>
      <c r="R141" s="227"/>
      <c r="S141" s="22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132" t="s">
        <v>270</v>
      </c>
      <c r="B145" s="260">
        <f>$B$37</f>
        <v>100000</v>
      </c>
      <c r="C145" s="261"/>
      <c r="D145" s="26" t="s">
        <v>271</v>
      </c>
      <c r="E145" s="27">
        <f>IF(COUNT(E125:E144), SUM(E125:E144) / COUNT(E125:E144), 0)</f>
        <v>2.1622765757216306E-2</v>
      </c>
      <c r="F145" s="28">
        <f>SUM(F125:F144)</f>
        <v>36758.70178726771</v>
      </c>
      <c r="G145" s="26" t="s">
        <v>271</v>
      </c>
      <c r="H145" s="27">
        <f>IF(COUNT(H125:H144), SUM(H125:H144) / COUNT(H125:H144), 0)</f>
        <v>2.7522690306619434E-2</v>
      </c>
      <c r="I145" s="28">
        <f>SUM(I125:I144)</f>
        <v>46788.573521253042</v>
      </c>
      <c r="J145" s="26" t="s">
        <v>271</v>
      </c>
      <c r="K145" s="27">
        <f>IF(COUNT(K125:K144), SUM(K125:K144) / COUNT(K125:K144), 0)</f>
        <v>3.4586336769027295E-2</v>
      </c>
      <c r="L145" s="28">
        <f>SUM(L125:L144)</f>
        <v>58796.772507346395</v>
      </c>
      <c r="M145" s="26" t="s">
        <v>271</v>
      </c>
      <c r="N145" s="27">
        <f>IF(COUNT(N125:N144), SUM(N125:N144) / COUNT(N125:N144), 0)</f>
        <v>1.9848881472898473E-2</v>
      </c>
      <c r="O145" s="28">
        <f>SUM(O125:O144)</f>
        <v>33743.098503927409</v>
      </c>
      <c r="Q145" s="255"/>
      <c r="R145" s="256"/>
      <c r="S145" s="257"/>
    </row>
    <row r="147" spans="1:19" ht="17.25" thickBot="1"/>
    <row r="148" spans="1:19" ht="17.25" thickBot="1">
      <c r="A148" s="201" t="s">
        <v>259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61" t="s">
        <v>267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55149000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2.1442459999999998E-3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2021-09-02(목) 오전 00:00</v>
      </c>
      <c r="C150" s="265"/>
      <c r="D150" s="224" t="str">
        <f>TEXT($G$1, "[$-ko-KR]yyyy-mm-dd(ddd) ") &amp; "오후 14:00"</f>
        <v>2021-09-02(목) 오후 14:00</v>
      </c>
      <c r="E150" s="225"/>
      <c r="F150" s="226"/>
      <c r="G150" s="224" t="str">
        <f>TEXT($G$1, "[$-ko-KR]yyyy-mm-dd(ddd) ") &amp; "오후 19:00"</f>
        <v>2021-09-02(목) 오후 19:00</v>
      </c>
      <c r="H150" s="225"/>
      <c r="I150" s="226"/>
      <c r="J150" s="224" t="str">
        <f>TEXT($G$1, "[$-ko-KR]yyyy-mm-dd(ddd) ") &amp; "오후 21:00"</f>
        <v>2021-09-02(목) 오후 21:00</v>
      </c>
      <c r="K150" s="225"/>
      <c r="L150" s="226"/>
      <c r="M150" s="224" t="str">
        <f>TEXT($G$1+1, "[$-ko-KR]yyyy-mm-dd(ddd) ") &amp; "오전 00:00"</f>
        <v>2021-09-03(금)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7"/>
      <c r="R151" s="227"/>
      <c r="S151" s="227"/>
    </row>
    <row r="152" spans="1:19" ht="17.25" thickBot="1">
      <c r="A152" s="123" t="s">
        <v>144</v>
      </c>
      <c r="B152" s="124">
        <v>121</v>
      </c>
      <c r="C152" s="76">
        <v>1.6806722699999999E-2</v>
      </c>
      <c r="D152" s="13">
        <v>122</v>
      </c>
      <c r="E152" s="14">
        <f>IF(ISNUMBER(D152), (D152 - $B152) / $B152, "")</f>
        <v>8.2644628099173556E-3</v>
      </c>
      <c r="F152" s="16">
        <f>IF(ISNUMBER(D152), $B172 * E152, "")</f>
        <v>826.44628099173553</v>
      </c>
      <c r="G152" s="29">
        <v>124</v>
      </c>
      <c r="H152" s="14">
        <f>IF(ISNUMBER(G152), (G152 - $B152) / $B152, "")</f>
        <v>2.4793388429752067E-2</v>
      </c>
      <c r="I152" s="100">
        <f>IF(ISNUMBER(G152), $B172 * H152, "")</f>
        <v>2479.3388429752067</v>
      </c>
      <c r="J152" s="13">
        <v>125</v>
      </c>
      <c r="K152" s="14">
        <f>IF(ISNUMBER(J152), (J152 - $B152) / $B152, "")</f>
        <v>3.3057851239669422E-2</v>
      </c>
      <c r="L152" s="16">
        <f>IF(ISNUMBER(J152), $B172 * K152, "")</f>
        <v>3305.7851239669421</v>
      </c>
      <c r="M152" s="29">
        <v>123</v>
      </c>
      <c r="N152" s="14">
        <f>IF(ISNUMBER(M152), (M152 - $B152) / $B152, "")</f>
        <v>1.6528925619834711E-2</v>
      </c>
      <c r="O152" s="16">
        <f>IF(ISNUMBER(M152), $B172 * N152, "")</f>
        <v>1652.8925619834711</v>
      </c>
      <c r="Q152" s="222"/>
      <c r="R152" s="222"/>
      <c r="S152" s="222"/>
    </row>
    <row r="153" spans="1:19" ht="17.25" thickBot="1">
      <c r="A153" s="125" t="s">
        <v>222</v>
      </c>
      <c r="B153" s="126">
        <v>191</v>
      </c>
      <c r="C153" s="77">
        <v>1.59574468E-2</v>
      </c>
      <c r="D153" s="15">
        <v>191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193</v>
      </c>
      <c r="H153" s="32">
        <f t="shared" ref="H153:H156" si="79">IF(ISNUMBER(G153), (G153 - $B153) / $B153, "")</f>
        <v>1.0471204188481676E-2</v>
      </c>
      <c r="I153" s="101">
        <f>IF(ISNUMBER(G153), $B172 * H153, "")</f>
        <v>1047.1204188481677</v>
      </c>
      <c r="J153" s="15">
        <v>191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189</v>
      </c>
      <c r="N153" s="32">
        <f t="shared" ref="N153:N156" si="81">IF(ISNUMBER(M153), (M153 - $B153) / $B153, "")</f>
        <v>-1.0471204188481676E-2</v>
      </c>
      <c r="O153" s="18">
        <f>IF(ISNUMBER(M153), $B172 * N153, "")</f>
        <v>-1047.1204188481677</v>
      </c>
      <c r="Q153" s="222"/>
      <c r="R153" s="222"/>
      <c r="S153" s="222"/>
    </row>
    <row r="154" spans="1:19" ht="17.25" thickBot="1">
      <c r="A154" s="125" t="s">
        <v>130</v>
      </c>
      <c r="B154" s="126">
        <v>136</v>
      </c>
      <c r="C154" s="77">
        <v>1.49253731E-2</v>
      </c>
      <c r="D154" s="15">
        <v>141</v>
      </c>
      <c r="E154" s="32">
        <f t="shared" si="78"/>
        <v>3.6764705882352942E-2</v>
      </c>
      <c r="F154" s="18">
        <f>IF(ISNUMBER(D154), $B172 * E154, "")</f>
        <v>3676.4705882352941</v>
      </c>
      <c r="G154" s="31">
        <v>141</v>
      </c>
      <c r="H154" s="32">
        <f t="shared" si="79"/>
        <v>3.6764705882352942E-2</v>
      </c>
      <c r="I154" s="101">
        <f>IF(ISNUMBER(G154), $B172 * H154, "")</f>
        <v>3676.4705882352941</v>
      </c>
      <c r="J154" s="15">
        <v>142</v>
      </c>
      <c r="K154" s="32">
        <f t="shared" si="80"/>
        <v>4.4117647058823532E-2</v>
      </c>
      <c r="L154" s="18">
        <f>IF(ISNUMBER(J154), $B172 * K154, "")</f>
        <v>4411.7647058823532</v>
      </c>
      <c r="M154" s="31">
        <v>140</v>
      </c>
      <c r="N154" s="32">
        <f t="shared" si="81"/>
        <v>2.9411764705882353E-2</v>
      </c>
      <c r="O154" s="18">
        <f>IF(ISNUMBER(M154), $B172 * N154, "")</f>
        <v>2941.1764705882351</v>
      </c>
      <c r="Q154" s="227"/>
      <c r="R154" s="227"/>
      <c r="S154" s="227"/>
    </row>
    <row r="155" spans="1:19" ht="17.25" thickBot="1">
      <c r="A155" s="125" t="s">
        <v>54</v>
      </c>
      <c r="B155" s="126">
        <v>300</v>
      </c>
      <c r="C155" s="77">
        <v>1.3513513499999999E-2</v>
      </c>
      <c r="D155" s="15">
        <v>303</v>
      </c>
      <c r="E155" s="32">
        <f t="shared" si="78"/>
        <v>0.01</v>
      </c>
      <c r="F155" s="18">
        <f>IF(ISNUMBER(D155), $B172 * E155, "")</f>
        <v>1000</v>
      </c>
      <c r="G155" s="31">
        <v>312</v>
      </c>
      <c r="H155" s="32">
        <f t="shared" si="79"/>
        <v>0.04</v>
      </c>
      <c r="I155" s="101">
        <f>IF(ISNUMBER(G155), $B172 * H155, "")</f>
        <v>4000</v>
      </c>
      <c r="J155" s="15">
        <v>313</v>
      </c>
      <c r="K155" s="32">
        <f t="shared" si="80"/>
        <v>4.3333333333333335E-2</v>
      </c>
      <c r="L155" s="18">
        <f>IF(ISNUMBER(J155), $B172 * K155, "")</f>
        <v>4333.333333333333</v>
      </c>
      <c r="M155" s="31">
        <v>310</v>
      </c>
      <c r="N155" s="32">
        <f t="shared" si="81"/>
        <v>3.3333333333333333E-2</v>
      </c>
      <c r="O155" s="18">
        <f>IF(ISNUMBER(M155), $B172 * N155, "")</f>
        <v>3333.3333333333335</v>
      </c>
      <c r="Q155" s="227"/>
      <c r="R155" s="227"/>
      <c r="S155" s="227"/>
    </row>
    <row r="156" spans="1:19" ht="17.25" thickBot="1">
      <c r="A156" s="127" t="s">
        <v>57</v>
      </c>
      <c r="B156" s="128">
        <v>229</v>
      </c>
      <c r="C156" s="78">
        <v>1.32743363E-2</v>
      </c>
      <c r="D156" s="20">
        <v>232</v>
      </c>
      <c r="E156" s="21">
        <f t="shared" si="78"/>
        <v>1.3100436681222707E-2</v>
      </c>
      <c r="F156" s="22">
        <f>IF(ISNUMBER(D156), $B172 * E156, "")</f>
        <v>1310.0436681222707</v>
      </c>
      <c r="G156" s="30">
        <v>234</v>
      </c>
      <c r="H156" s="21">
        <f t="shared" si="79"/>
        <v>2.1834061135371178E-2</v>
      </c>
      <c r="I156" s="105">
        <f>IF(ISNUMBER(G156), $B172 * H156, "")</f>
        <v>2183.406113537118</v>
      </c>
      <c r="J156" s="20">
        <v>236</v>
      </c>
      <c r="K156" s="21">
        <f t="shared" si="80"/>
        <v>3.0567685589519649E-2</v>
      </c>
      <c r="L156" s="22">
        <f>IF(ISNUMBER(J156), $B172 * K156, "")</f>
        <v>3056.7685589519651</v>
      </c>
      <c r="M156" s="30">
        <v>232</v>
      </c>
      <c r="N156" s="21">
        <f t="shared" si="81"/>
        <v>1.3100436681222707E-2</v>
      </c>
      <c r="O156" s="22">
        <f>IF(ISNUMBER(M156), $B172 * N156, "")</f>
        <v>1310.0436681222707</v>
      </c>
      <c r="Q156" s="227"/>
      <c r="R156" s="227"/>
      <c r="S156" s="227"/>
    </row>
    <row r="157" spans="1:19" ht="17.25" thickBot="1">
      <c r="A157" s="125" t="s">
        <v>118</v>
      </c>
      <c r="B157" s="129">
        <v>182</v>
      </c>
      <c r="C157" s="80">
        <v>1.11111111E-2</v>
      </c>
      <c r="D157" s="106">
        <v>187</v>
      </c>
      <c r="E157" s="107">
        <f>IF(ISNUMBER(D157), (D157 - $B157) / $B157, "")</f>
        <v>2.7472527472527472E-2</v>
      </c>
      <c r="F157" s="108">
        <f>IF(ISNUMBER(D157), $B172 * E157, "")</f>
        <v>2747.2527472527472</v>
      </c>
      <c r="G157" s="109">
        <v>189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191</v>
      </c>
      <c r="K157" s="107">
        <f>IF(ISNUMBER(J157), (J157 - $B157) / $B157, "")</f>
        <v>4.9450549450549448E-2</v>
      </c>
      <c r="L157" s="108">
        <f>IF(ISNUMBER(J157), $B172 * K157, "")</f>
        <v>4945.0549450549452</v>
      </c>
      <c r="M157" s="109">
        <v>188</v>
      </c>
      <c r="N157" s="107">
        <f>IF(ISNUMBER(M157), (M157 - $B157) / $B157, "")</f>
        <v>3.2967032967032968E-2</v>
      </c>
      <c r="O157" s="108">
        <f>IF(ISNUMBER(M157), $B172 * N157, "")</f>
        <v>3296.7032967032969</v>
      </c>
      <c r="Q157" s="227"/>
      <c r="R157" s="227"/>
      <c r="S157" s="227"/>
    </row>
    <row r="158" spans="1:19" ht="17.25" thickBot="1">
      <c r="A158" s="125" t="s">
        <v>192</v>
      </c>
      <c r="B158" s="126">
        <v>284</v>
      </c>
      <c r="C158" s="77">
        <v>1.06761566E-2</v>
      </c>
      <c r="D158" s="15">
        <v>293</v>
      </c>
      <c r="E158" s="32">
        <f t="shared" ref="E158:E161" si="82">IF(ISNUMBER(D158), (D158 - $B158) / $B158, "")</f>
        <v>3.1690140845070422E-2</v>
      </c>
      <c r="F158" s="18">
        <f>IF(ISNUMBER(D158), $B172 * E158, "")</f>
        <v>3169.0140845070423</v>
      </c>
      <c r="G158" s="31">
        <v>295</v>
      </c>
      <c r="H158" s="32">
        <f t="shared" ref="H158:H161" si="83">IF(ISNUMBER(G158), (G158 - $B158) / $B158, "")</f>
        <v>3.873239436619718E-2</v>
      </c>
      <c r="I158" s="101">
        <f>IF(ISNUMBER(G158), $B172 * H158, "")</f>
        <v>3873.2394366197182</v>
      </c>
      <c r="J158" s="15">
        <v>296</v>
      </c>
      <c r="K158" s="32">
        <f t="shared" ref="K158:K161" si="84">IF(ISNUMBER(J158), (J158 - $B158) / $B158, "")</f>
        <v>4.2253521126760563E-2</v>
      </c>
      <c r="L158" s="18">
        <f>IF(ISNUMBER(J158), $B172 * K158, "")</f>
        <v>4225.3521126760561</v>
      </c>
      <c r="M158" s="31">
        <v>293</v>
      </c>
      <c r="N158" s="32">
        <f t="shared" ref="N158:N161" si="85">IF(ISNUMBER(M158), (M158 - $B158) / $B158, "")</f>
        <v>3.1690140845070422E-2</v>
      </c>
      <c r="O158" s="18">
        <f>IF(ISNUMBER(M158), $B172 * N158, "")</f>
        <v>3169.0140845070423</v>
      </c>
      <c r="Q158" s="227"/>
      <c r="R158" s="227"/>
      <c r="S158" s="227"/>
    </row>
    <row r="159" spans="1:19" ht="17.25" thickBot="1">
      <c r="A159" s="125" t="s">
        <v>206</v>
      </c>
      <c r="B159" s="126">
        <v>424</v>
      </c>
      <c r="C159" s="77">
        <v>9.5238094999999991E-3</v>
      </c>
      <c r="D159" s="15">
        <v>430</v>
      </c>
      <c r="E159" s="32">
        <f t="shared" si="82"/>
        <v>1.4150943396226415E-2</v>
      </c>
      <c r="F159" s="18">
        <f>IF(ISNUMBER(D159), $B172 * E159, "")</f>
        <v>1415.0943396226417</v>
      </c>
      <c r="G159" s="31">
        <v>436</v>
      </c>
      <c r="H159" s="32">
        <f t="shared" si="83"/>
        <v>2.8301886792452831E-2</v>
      </c>
      <c r="I159" s="101">
        <f>IF(ISNUMBER(G159), $B172 * H159, "")</f>
        <v>2830.1886792452833</v>
      </c>
      <c r="J159" s="15">
        <v>438</v>
      </c>
      <c r="K159" s="32">
        <f t="shared" si="84"/>
        <v>3.3018867924528301E-2</v>
      </c>
      <c r="L159" s="18">
        <f>IF(ISNUMBER(J159), $B172 * K159, "")</f>
        <v>3301.8867924528299</v>
      </c>
      <c r="M159" s="31">
        <v>439</v>
      </c>
      <c r="N159" s="32">
        <f t="shared" si="85"/>
        <v>3.5377358490566037E-2</v>
      </c>
      <c r="O159" s="18">
        <f>IF(ISNUMBER(M159), $B172 * N159, "")</f>
        <v>3537.7358490566035</v>
      </c>
      <c r="Q159" s="227"/>
      <c r="R159" s="227"/>
      <c r="S159" s="227"/>
    </row>
    <row r="160" spans="1:19" ht="17.25" thickBot="1">
      <c r="A160" s="125" t="s">
        <v>162</v>
      </c>
      <c r="B160" s="126">
        <v>114</v>
      </c>
      <c r="C160" s="77">
        <v>8.8495575000000007E-3</v>
      </c>
      <c r="D160" s="15">
        <v>116</v>
      </c>
      <c r="E160" s="32">
        <f t="shared" si="82"/>
        <v>1.7543859649122806E-2</v>
      </c>
      <c r="F160" s="18">
        <f>IF(ISNUMBER(D160), $B172 * E160, "")</f>
        <v>1754.3859649122805</v>
      </c>
      <c r="G160" s="31">
        <v>117</v>
      </c>
      <c r="H160" s="32">
        <f t="shared" si="83"/>
        <v>2.6315789473684209E-2</v>
      </c>
      <c r="I160" s="101">
        <f>IF(ISNUMBER(G160), $B172 * H160, "")</f>
        <v>2631.5789473684208</v>
      </c>
      <c r="J160" s="15">
        <v>120</v>
      </c>
      <c r="K160" s="32">
        <f t="shared" si="84"/>
        <v>5.2631578947368418E-2</v>
      </c>
      <c r="L160" s="18">
        <f>IF(ISNUMBER(J160), $B172 * K160, "")</f>
        <v>5263.1578947368416</v>
      </c>
      <c r="M160" s="31">
        <v>118</v>
      </c>
      <c r="N160" s="32">
        <f t="shared" si="85"/>
        <v>3.5087719298245612E-2</v>
      </c>
      <c r="O160" s="18">
        <f>IF(ISNUMBER(M160), $B172 * N160, "")</f>
        <v>3508.7719298245611</v>
      </c>
      <c r="Q160" s="33"/>
      <c r="R160" s="33"/>
    </row>
    <row r="161" spans="1:19" ht="17.25" thickBot="1">
      <c r="A161" s="130" t="s">
        <v>194</v>
      </c>
      <c r="B161" s="131">
        <v>147</v>
      </c>
      <c r="C161" s="79">
        <v>6.8493151000000004E-3</v>
      </c>
      <c r="D161" s="24">
        <v>150</v>
      </c>
      <c r="E161" s="25">
        <f t="shared" si="82"/>
        <v>2.0408163265306121E-2</v>
      </c>
      <c r="F161" s="104">
        <f>IF(ISNUMBER(D161), $B172 * E161, "")</f>
        <v>2040.8163265306121</v>
      </c>
      <c r="G161" s="102">
        <v>150</v>
      </c>
      <c r="H161" s="25">
        <f t="shared" si="83"/>
        <v>2.0408163265306121E-2</v>
      </c>
      <c r="I161" s="103">
        <f>IF(ISNUMBER(G161), $B172 * H161, "")</f>
        <v>2040.8163265306121</v>
      </c>
      <c r="J161" s="24">
        <v>150</v>
      </c>
      <c r="K161" s="25">
        <f t="shared" si="84"/>
        <v>2.0408163265306121E-2</v>
      </c>
      <c r="L161" s="104">
        <f>IF(ISNUMBER(J161), $B172 * K161, "")</f>
        <v>2040.8163265306121</v>
      </c>
      <c r="M161" s="102">
        <v>148</v>
      </c>
      <c r="N161" s="25">
        <f t="shared" si="85"/>
        <v>6.8027210884353739E-3</v>
      </c>
      <c r="O161" s="104">
        <f>IF(ISNUMBER(M161), $B172 * N161, "")</f>
        <v>680.27210884353735</v>
      </c>
      <c r="Q161" s="236"/>
      <c r="R161" s="237"/>
      <c r="S161" s="238"/>
    </row>
    <row r="162" spans="1:19">
      <c r="A162" s="123" t="s">
        <v>266</v>
      </c>
      <c r="B162" s="124">
        <v>328</v>
      </c>
      <c r="C162" s="76">
        <v>6.1349693000000002E-3</v>
      </c>
      <c r="D162" s="13">
        <v>346</v>
      </c>
      <c r="E162" s="14">
        <f>IF(ISNUMBER(D162), (D162 - $B162) / $B162, "")</f>
        <v>5.4878048780487805E-2</v>
      </c>
      <c r="F162" s="16">
        <f>IF(ISNUMBER(D162), $B172 * E162, "")</f>
        <v>5487.8048780487807</v>
      </c>
      <c r="G162" s="29">
        <v>349</v>
      </c>
      <c r="H162" s="14">
        <f>IF(ISNUMBER(G162), (G162 - $B162) / $B162, "")</f>
        <v>6.402439024390244E-2</v>
      </c>
      <c r="I162" s="100">
        <f>IF(ISNUMBER(G162), $B172 * H162, "")</f>
        <v>6402.4390243902444</v>
      </c>
      <c r="J162" s="13">
        <v>354</v>
      </c>
      <c r="K162" s="14">
        <f>IF(ISNUMBER(J162), (J162 - $B162) / $B162, "")</f>
        <v>7.926829268292683E-2</v>
      </c>
      <c r="L162" s="16">
        <f>IF(ISNUMBER(J162), $B172 * K162, "")</f>
        <v>7926.8292682926831</v>
      </c>
      <c r="M162" s="29">
        <v>345</v>
      </c>
      <c r="N162" s="14">
        <f>IF(ISNUMBER(M162), (M162 - $B162) / $B162, "")</f>
        <v>5.1829268292682924E-2</v>
      </c>
      <c r="O162" s="16">
        <f>IF(ISNUMBER(M162), $B172 * N162, "")</f>
        <v>5182.9268292682927</v>
      </c>
      <c r="Q162" s="239"/>
      <c r="R162" s="240"/>
      <c r="S162" s="241"/>
    </row>
    <row r="163" spans="1:19" ht="17.25" thickBot="1">
      <c r="A163" s="125" t="s">
        <v>174</v>
      </c>
      <c r="B163" s="126">
        <v>384</v>
      </c>
      <c r="C163" s="77">
        <v>5.2356021000000003E-3</v>
      </c>
      <c r="D163" s="15">
        <v>393</v>
      </c>
      <c r="E163" s="32">
        <f t="shared" ref="E163:E166" si="86">IF(ISNUMBER(D163), (D163 - $B163) / $B163, "")</f>
        <v>2.34375E-2</v>
      </c>
      <c r="F163" s="18">
        <f>IF(ISNUMBER(D163), $B172 * E163, "")</f>
        <v>2343.75</v>
      </c>
      <c r="G163" s="31">
        <v>401</v>
      </c>
      <c r="H163" s="32">
        <f t="shared" ref="H163:H166" si="87">IF(ISNUMBER(G163), (G163 - $B163) / $B163, "")</f>
        <v>4.4270833333333336E-2</v>
      </c>
      <c r="I163" s="101">
        <f>IF(ISNUMBER(G163), $B172 * H163, "")</f>
        <v>4427.0833333333339</v>
      </c>
      <c r="J163" s="15">
        <v>404</v>
      </c>
      <c r="K163" s="32">
        <f t="shared" ref="K163:K166" si="88">IF(ISNUMBER(J163), (J163 - $B163) / $B163, "")</f>
        <v>5.2083333333333336E-2</v>
      </c>
      <c r="L163" s="18">
        <f>IF(ISNUMBER(J163), $B172 * K163, "")</f>
        <v>5208.3333333333339</v>
      </c>
      <c r="M163" s="31">
        <v>399</v>
      </c>
      <c r="N163" s="32">
        <f t="shared" ref="N163:N166" si="89">IF(ISNUMBER(M163), (M163 - $B163) / $B163, "")</f>
        <v>3.90625E-2</v>
      </c>
      <c r="O163" s="18">
        <f>IF(ISNUMBER(M163), $B172 * N163, "")</f>
        <v>3906.25</v>
      </c>
      <c r="Q163" s="242"/>
      <c r="R163" s="243"/>
      <c r="S163" s="244"/>
    </row>
    <row r="164" spans="1:19" ht="17.25" thickBot="1">
      <c r="A164" s="125" t="s">
        <v>220</v>
      </c>
      <c r="B164" s="126">
        <v>226</v>
      </c>
      <c r="C164" s="77">
        <v>4.4444443999999998E-3</v>
      </c>
      <c r="D164" s="15">
        <v>237</v>
      </c>
      <c r="E164" s="32">
        <f t="shared" si="86"/>
        <v>4.8672566371681415E-2</v>
      </c>
      <c r="F164" s="18">
        <f>IF(ISNUMBER(D164), $B172 * E164, "")</f>
        <v>4867.2566371681414</v>
      </c>
      <c r="G164" s="31">
        <v>237</v>
      </c>
      <c r="H164" s="32">
        <f t="shared" si="87"/>
        <v>4.8672566371681415E-2</v>
      </c>
      <c r="I164" s="101">
        <f>IF(ISNUMBER(G164), $B172 * H164, "")</f>
        <v>4867.2566371681414</v>
      </c>
      <c r="J164" s="15">
        <v>236</v>
      </c>
      <c r="K164" s="32">
        <f t="shared" si="88"/>
        <v>4.4247787610619468E-2</v>
      </c>
      <c r="L164" s="18">
        <f>IF(ISNUMBER(J164), $B172 * K164, "")</f>
        <v>4424.7787610619471</v>
      </c>
      <c r="M164" s="31">
        <v>234</v>
      </c>
      <c r="N164" s="32">
        <f t="shared" si="89"/>
        <v>3.5398230088495575E-2</v>
      </c>
      <c r="O164" s="18">
        <f>IF(ISNUMBER(M164), $B172 * N164, "")</f>
        <v>3539.8230088495575</v>
      </c>
      <c r="Q164" s="227"/>
      <c r="R164" s="227"/>
      <c r="S164" s="227"/>
    </row>
    <row r="165" spans="1:19" ht="17.25" thickBot="1">
      <c r="A165" s="125" t="s">
        <v>124</v>
      </c>
      <c r="B165" s="126">
        <v>399</v>
      </c>
      <c r="C165" s="77">
        <v>2.5125628000000001E-3</v>
      </c>
      <c r="D165" s="15">
        <v>407</v>
      </c>
      <c r="E165" s="32">
        <f t="shared" si="86"/>
        <v>2.0050125313283207E-2</v>
      </c>
      <c r="F165" s="18">
        <f>IF(ISNUMBER(D165), $B172 * E165, "")</f>
        <v>2005.0125313283206</v>
      </c>
      <c r="G165" s="31">
        <v>415</v>
      </c>
      <c r="H165" s="32">
        <f t="shared" si="87"/>
        <v>4.0100250626566414E-2</v>
      </c>
      <c r="I165" s="101">
        <f>IF(ISNUMBER(G165), $B172 * H165, "")</f>
        <v>4010.0250626566412</v>
      </c>
      <c r="J165" s="15">
        <v>416</v>
      </c>
      <c r="K165" s="32">
        <f t="shared" si="88"/>
        <v>4.2606516290726815E-2</v>
      </c>
      <c r="L165" s="18">
        <f>IF(ISNUMBER(J165), $B172 * K165, "")</f>
        <v>4260.6516290726813</v>
      </c>
      <c r="M165" s="31">
        <v>410</v>
      </c>
      <c r="N165" s="32">
        <f t="shared" si="89"/>
        <v>2.7568922305764409E-2</v>
      </c>
      <c r="O165" s="18">
        <f>IF(ISNUMBER(M165), $B172 * N165, "")</f>
        <v>2756.8922305764409</v>
      </c>
      <c r="Q165" s="222"/>
      <c r="R165" s="222"/>
      <c r="S165" s="222"/>
    </row>
    <row r="166" spans="1:19" ht="17.25" thickBot="1">
      <c r="A166" s="127" t="s">
        <v>200</v>
      </c>
      <c r="B166" s="128">
        <v>162</v>
      </c>
      <c r="C166" s="78">
        <v>0</v>
      </c>
      <c r="D166" s="20">
        <v>164</v>
      </c>
      <c r="E166" s="21">
        <f t="shared" si="86"/>
        <v>1.2345679012345678E-2</v>
      </c>
      <c r="F166" s="22">
        <f>IF(ISNUMBER(D166), $B172 * E166, "")</f>
        <v>1234.5679012345679</v>
      </c>
      <c r="G166" s="30">
        <v>171</v>
      </c>
      <c r="H166" s="21">
        <f t="shared" si="87"/>
        <v>5.5555555555555552E-2</v>
      </c>
      <c r="I166" s="105">
        <f>IF(ISNUMBER(G166), $B172 * H166, "")</f>
        <v>5555.5555555555557</v>
      </c>
      <c r="J166" s="20">
        <v>172</v>
      </c>
      <c r="K166" s="21">
        <f t="shared" si="88"/>
        <v>6.1728395061728392E-2</v>
      </c>
      <c r="L166" s="22">
        <f>IF(ISNUMBER(J166), $B172 * K166, "")</f>
        <v>6172.8395061728388</v>
      </c>
      <c r="M166" s="30">
        <v>172</v>
      </c>
      <c r="N166" s="21">
        <f t="shared" si="89"/>
        <v>6.1728395061728392E-2</v>
      </c>
      <c r="O166" s="22">
        <f>IF(ISNUMBER(M166), $B172 * N166, "")</f>
        <v>6172.8395061728388</v>
      </c>
      <c r="Q166" s="222"/>
      <c r="R166" s="222"/>
      <c r="S166" s="222"/>
    </row>
    <row r="167" spans="1:19" ht="17.25" thickBot="1">
      <c r="A167" s="125" t="s">
        <v>232</v>
      </c>
      <c r="B167" s="129">
        <v>650</v>
      </c>
      <c r="C167" s="80">
        <v>-1.5360982999999999E-3</v>
      </c>
      <c r="D167" s="106">
        <v>656</v>
      </c>
      <c r="E167" s="107">
        <f>IF(ISNUMBER(D167), (D167 - $B167) / $B167, "")</f>
        <v>9.2307692307692316E-3</v>
      </c>
      <c r="F167" s="108">
        <f>IF(ISNUMBER(D167), $B172 * E167, "")</f>
        <v>923.07692307692321</v>
      </c>
      <c r="G167" s="109">
        <v>668</v>
      </c>
      <c r="H167" s="107">
        <f>IF(ISNUMBER(G167), (G167 - $B167) / $B167, "")</f>
        <v>2.7692307692307693E-2</v>
      </c>
      <c r="I167" s="110">
        <f>IF(ISNUMBER(G167), $B172 * H167, "")</f>
        <v>2769.2307692307695</v>
      </c>
      <c r="J167" s="106">
        <v>667</v>
      </c>
      <c r="K167" s="107">
        <f>IF(ISNUMBER(J167), (J167 - $B167) / $B167, "")</f>
        <v>2.6153846153846153E-2</v>
      </c>
      <c r="L167" s="108">
        <f>IF(ISNUMBER(J167), $B172 * K167, "")</f>
        <v>2615.3846153846152</v>
      </c>
      <c r="M167" s="109">
        <v>663</v>
      </c>
      <c r="N167" s="107">
        <f>IF(ISNUMBER(M167), (M167 - $B167) / $B167, "")</f>
        <v>0.02</v>
      </c>
      <c r="O167" s="108">
        <f>IF(ISNUMBER(M167), $B172 * N167, "")</f>
        <v>2000</v>
      </c>
      <c r="Q167" s="227"/>
      <c r="R167" s="227"/>
      <c r="S167" s="227"/>
    </row>
    <row r="168" spans="1:19" ht="17.25" thickBot="1">
      <c r="A168" s="125" t="s">
        <v>230</v>
      </c>
      <c r="B168" s="126">
        <v>399</v>
      </c>
      <c r="C168" s="77">
        <v>-2.5000000000000001E-3</v>
      </c>
      <c r="D168" s="15">
        <v>402</v>
      </c>
      <c r="E168" s="32">
        <f t="shared" ref="E168:E171" si="90">IF(ISNUMBER(D168), (D168 - $B168) / $B168, "")</f>
        <v>7.5187969924812026E-3</v>
      </c>
      <c r="F168" s="18">
        <f>IF(ISNUMBER(D168), $B172 * E168, "")</f>
        <v>751.87969924812023</v>
      </c>
      <c r="G168" s="31">
        <v>419</v>
      </c>
      <c r="H168" s="32">
        <f t="shared" ref="H168:H171" si="91">IF(ISNUMBER(G168), (G168 - $B168) / $B168, "")</f>
        <v>5.0125313283208017E-2</v>
      </c>
      <c r="I168" s="101">
        <f>IF(ISNUMBER(G168), $B172 * H168, "")</f>
        <v>5012.5313283208015</v>
      </c>
      <c r="J168" s="15">
        <v>419</v>
      </c>
      <c r="K168" s="32">
        <f t="shared" ref="K168:K171" si="92">IF(ISNUMBER(J168), (J168 - $B168) / $B168, "")</f>
        <v>5.0125313283208017E-2</v>
      </c>
      <c r="L168" s="18">
        <f>IF(ISNUMBER(J168), $B172 * K168, "")</f>
        <v>5012.5313283208015</v>
      </c>
      <c r="M168" s="31">
        <v>417</v>
      </c>
      <c r="N168" s="32">
        <f t="shared" ref="N168:N171" si="93">IF(ISNUMBER(M168), (M168 - $B168) / $B168, "")</f>
        <v>4.5112781954887216E-2</v>
      </c>
      <c r="O168" s="18">
        <f>IF(ISNUMBER(M168), $B172 * N168, "")</f>
        <v>4511.2781954887214</v>
      </c>
      <c r="Q168" s="227"/>
      <c r="R168" s="227"/>
      <c r="S168" s="227"/>
    </row>
    <row r="169" spans="1:19" ht="17.25" thickBot="1">
      <c r="A169" s="125" t="s">
        <v>138</v>
      </c>
      <c r="B169" s="126">
        <v>387</v>
      </c>
      <c r="C169" s="77">
        <v>-2.5773196E-3</v>
      </c>
      <c r="D169" s="15">
        <v>393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403</v>
      </c>
      <c r="H169" s="32">
        <f t="shared" si="91"/>
        <v>4.1343669250645997E-2</v>
      </c>
      <c r="I169" s="101">
        <f>IF(ISNUMBER(G169), $B172 * H169, "")</f>
        <v>4134.3669250645999</v>
      </c>
      <c r="J169" s="15">
        <v>406</v>
      </c>
      <c r="K169" s="32">
        <f t="shared" si="92"/>
        <v>4.909560723514212E-2</v>
      </c>
      <c r="L169" s="18">
        <f>IF(ISNUMBER(J169), $B172 * K169, "")</f>
        <v>4909.5607235142124</v>
      </c>
      <c r="M169" s="31">
        <v>400</v>
      </c>
      <c r="N169" s="32">
        <f t="shared" si="93"/>
        <v>3.3591731266149873E-2</v>
      </c>
      <c r="O169" s="18">
        <f>IF(ISNUMBER(M169), $B172 * N169, "")</f>
        <v>3359.1731266149873</v>
      </c>
      <c r="Q169" s="227"/>
      <c r="R169" s="227"/>
      <c r="S169" s="227"/>
    </row>
    <row r="170" spans="1:19">
      <c r="A170" s="125" t="s">
        <v>228</v>
      </c>
      <c r="B170" s="126">
        <v>419</v>
      </c>
      <c r="C170" s="77">
        <v>-4.7505938000000003E-3</v>
      </c>
      <c r="D170" s="15">
        <v>430</v>
      </c>
      <c r="E170" s="32">
        <f t="shared" si="90"/>
        <v>2.6252983293556086E-2</v>
      </c>
      <c r="F170" s="18">
        <f>IF(ISNUMBER(D170), $B172 * E170, "")</f>
        <v>2625.2983293556085</v>
      </c>
      <c r="G170" s="31">
        <v>435</v>
      </c>
      <c r="H170" s="32">
        <f t="shared" si="91"/>
        <v>3.8186157517899763E-2</v>
      </c>
      <c r="I170" s="101">
        <f>IF(ISNUMBER(G170), $B172 * H170, "")</f>
        <v>3818.6157517899765</v>
      </c>
      <c r="J170" s="15">
        <v>436</v>
      </c>
      <c r="K170" s="32">
        <f t="shared" si="92"/>
        <v>4.0572792362768499E-2</v>
      </c>
      <c r="L170" s="18">
        <f>IF(ISNUMBER(J170), $B172 * K170, "")</f>
        <v>4057.27923627685</v>
      </c>
      <c r="M170" s="31">
        <v>431</v>
      </c>
      <c r="N170" s="32">
        <f t="shared" si="93"/>
        <v>2.8639618138424822E-2</v>
      </c>
      <c r="O170" s="18">
        <f>IF(ISNUMBER(M170), $B172 * N170, "")</f>
        <v>2863.9618138424821</v>
      </c>
      <c r="Q170" s="249"/>
      <c r="R170" s="250"/>
      <c r="S170" s="251"/>
    </row>
    <row r="171" spans="1:19" ht="17.25" thickBot="1">
      <c r="A171" s="130" t="s">
        <v>254</v>
      </c>
      <c r="B171" s="131">
        <v>341</v>
      </c>
      <c r="C171" s="79">
        <v>-5.8309038000000004E-3</v>
      </c>
      <c r="D171" s="24">
        <v>346</v>
      </c>
      <c r="E171" s="25">
        <f t="shared" si="90"/>
        <v>1.466275659824047E-2</v>
      </c>
      <c r="F171" s="104">
        <f>IF(ISNUMBER(D171), $B172 * E171, "")</f>
        <v>1466.2756598240469</v>
      </c>
      <c r="G171" s="102">
        <v>352</v>
      </c>
      <c r="H171" s="25">
        <f t="shared" si="91"/>
        <v>3.2258064516129031E-2</v>
      </c>
      <c r="I171" s="103">
        <f>IF(ISNUMBER(G171), $B172 * H171, "")</f>
        <v>3225.8064516129029</v>
      </c>
      <c r="J171" s="24">
        <v>353</v>
      </c>
      <c r="K171" s="25">
        <f t="shared" si="92"/>
        <v>3.519061583577713E-2</v>
      </c>
      <c r="L171" s="104">
        <f>IF(ISNUMBER(J171), $B172 * K171, "")</f>
        <v>3519.061583577713</v>
      </c>
      <c r="M171" s="102">
        <v>346</v>
      </c>
      <c r="N171" s="25">
        <f t="shared" si="93"/>
        <v>1.466275659824047E-2</v>
      </c>
      <c r="O171" s="104">
        <f>IF(ISNUMBER(M171), $B172 * N171, "")</f>
        <v>1466.2756598240469</v>
      </c>
      <c r="Q171" s="252"/>
      <c r="R171" s="253"/>
      <c r="S171" s="254"/>
    </row>
    <row r="172" spans="1:19" ht="17.25" thickBot="1">
      <c r="A172" s="132" t="s">
        <v>270</v>
      </c>
      <c r="B172" s="260">
        <f>$B$37</f>
        <v>100000</v>
      </c>
      <c r="C172" s="261"/>
      <c r="D172" s="26" t="s">
        <v>271</v>
      </c>
      <c r="E172" s="27">
        <f>IF(COUNT(E152:E171), SUM(E152:E171) / COUNT(E152:E171), 0)</f>
        <v>2.0597417078179182E-2</v>
      </c>
      <c r="F172" s="28">
        <f>SUM(F152:F171)</f>
        <v>41194.834156358353</v>
      </c>
      <c r="G172" s="26" t="s">
        <v>271</v>
      </c>
      <c r="H172" s="27">
        <f>IF(COUNT(H152:H171), SUM(H152:H171) / COUNT(H152:H171), 0)</f>
        <v>3.6415612019318318E-2</v>
      </c>
      <c r="I172" s="28">
        <f>SUM(I152:I171)</f>
        <v>72831.224038636632</v>
      </c>
      <c r="J172" s="26" t="s">
        <v>271</v>
      </c>
      <c r="K172" s="27">
        <f>IF(COUNT(K152:K171), SUM(K152:K171) / COUNT(K152:K171), 0)</f>
        <v>4.1495584889296777E-2</v>
      </c>
      <c r="L172" s="28">
        <f>SUM(L152:L171)</f>
        <v>82991.169778593568</v>
      </c>
      <c r="M172" s="26" t="s">
        <v>271</v>
      </c>
      <c r="N172" s="27">
        <f>IF(COUNT(N152:N171), SUM(N152:N171) / COUNT(N152:N171), 0)</f>
        <v>2.9071121627375778E-2</v>
      </c>
      <c r="O172" s="28">
        <f>SUM(O152:O171)</f>
        <v>58142.243254751556</v>
      </c>
      <c r="Q172" s="255"/>
      <c r="R172" s="256"/>
      <c r="S172" s="257"/>
    </row>
    <row r="174" spans="1:19" ht="17.25" thickBot="1"/>
    <row r="175" spans="1:19" ht="17.25" thickBot="1">
      <c r="A175" s="201" t="s">
        <v>255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61" t="s">
        <v>267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55149000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2.1442459999999998E-3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2021-09-02(목) 오전 00:00</v>
      </c>
      <c r="C177" s="265"/>
      <c r="D177" s="224" t="str">
        <f>TEXT($G$1, "[$-ko-KR]yyyy-mm-dd(ddd) ") &amp; "오후 14:00"</f>
        <v>2021-09-02(목) 오후 14:00</v>
      </c>
      <c r="E177" s="225"/>
      <c r="F177" s="226"/>
      <c r="G177" s="224" t="str">
        <f>TEXT($G$1, "[$-ko-KR]yyyy-mm-dd(ddd) ") &amp; "오후 19:00"</f>
        <v>2021-09-02(목) 오후 19:00</v>
      </c>
      <c r="H177" s="225"/>
      <c r="I177" s="226"/>
      <c r="J177" s="224" t="str">
        <f>TEXT($G$1, "[$-ko-KR]yyyy-mm-dd(ddd) ") &amp; "오후 21:00"</f>
        <v>2021-09-02(목) 오후 21:00</v>
      </c>
      <c r="K177" s="225"/>
      <c r="L177" s="226"/>
      <c r="M177" s="224" t="str">
        <f>TEXT($G$1+1, "[$-ko-KR]yyyy-mm-dd(ddd) ") &amp; "오전 00:00"</f>
        <v>2021-09-03(금)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7"/>
      <c r="R178" s="227"/>
      <c r="S178" s="227"/>
    </row>
    <row r="179" spans="1:19" ht="17.25" thickBot="1">
      <c r="A179" s="123" t="s">
        <v>138</v>
      </c>
      <c r="B179" s="124">
        <v>387</v>
      </c>
      <c r="C179" s="76">
        <v>-2.5773196E-3</v>
      </c>
      <c r="D179" s="13">
        <v>393</v>
      </c>
      <c r="E179" s="14">
        <f>IF(ISNUMBER(D179), (D179 - $B179) / $B179, "")</f>
        <v>1.5503875968992248E-2</v>
      </c>
      <c r="F179" s="16">
        <f>IF(ISNUMBER(D179), $B199 * E179, "")</f>
        <v>1550.3875968992247</v>
      </c>
      <c r="G179" s="29">
        <v>403</v>
      </c>
      <c r="H179" s="14">
        <f>IF(ISNUMBER(G179), (G179 - $B179) / $B179, "")</f>
        <v>4.1343669250645997E-2</v>
      </c>
      <c r="I179" s="100">
        <f>IF(ISNUMBER(G179), $B199 * H179, "")</f>
        <v>4134.3669250645999</v>
      </c>
      <c r="J179" s="13">
        <v>406</v>
      </c>
      <c r="K179" s="14">
        <f>IF(ISNUMBER(J179), (J179 - $B179) / $B179, "")</f>
        <v>4.909560723514212E-2</v>
      </c>
      <c r="L179" s="16">
        <f>IF(ISNUMBER(J179), $B199 * K179, "")</f>
        <v>4909.5607235142124</v>
      </c>
      <c r="M179" s="29">
        <v>400</v>
      </c>
      <c r="N179" s="14">
        <f>IF(ISNUMBER(M179), (M179 - $B179) / $B179, "")</f>
        <v>3.3591731266149873E-2</v>
      </c>
      <c r="O179" s="16">
        <f>IF(ISNUMBER(M179), $B199 * N179, "")</f>
        <v>3359.1731266149873</v>
      </c>
      <c r="Q179" s="222"/>
      <c r="R179" s="222"/>
      <c r="S179" s="222"/>
    </row>
    <row r="180" spans="1:19" ht="17.25" thickBot="1">
      <c r="A180" s="125" t="s">
        <v>74</v>
      </c>
      <c r="B180" s="126">
        <v>26760</v>
      </c>
      <c r="C180" s="77">
        <v>-2.6090198E-3</v>
      </c>
      <c r="D180" s="15">
        <v>28500</v>
      </c>
      <c r="E180" s="32">
        <f t="shared" ref="E180:E183" si="94">IF(ISNUMBER(D180), (D180 - $B180) / $B180, "")</f>
        <v>6.5022421524663671E-2</v>
      </c>
      <c r="F180" s="18">
        <f>IF(ISNUMBER(D180), $B199 * E180, "")</f>
        <v>6502.2421524663669</v>
      </c>
      <c r="G180" s="31">
        <v>28350</v>
      </c>
      <c r="H180" s="32">
        <f t="shared" ref="H180:H183" si="95">IF(ISNUMBER(G180), (G180 - $B180) / $B180, "")</f>
        <v>5.9417040358744393E-2</v>
      </c>
      <c r="I180" s="101">
        <f>IF(ISNUMBER(G180), $B199 * H180, "")</f>
        <v>5941.7040358744389</v>
      </c>
      <c r="J180" s="15">
        <v>28160</v>
      </c>
      <c r="K180" s="32">
        <f t="shared" ref="K180:K183" si="96">IF(ISNUMBER(J180), (J180 - $B180) / $B180, "")</f>
        <v>5.2316890881913304E-2</v>
      </c>
      <c r="L180" s="18">
        <f>IF(ISNUMBER(J180), $B199 * K180, "")</f>
        <v>5231.6890881913305</v>
      </c>
      <c r="M180" s="31">
        <v>27630</v>
      </c>
      <c r="N180" s="32">
        <f t="shared" ref="N180:N183" si="97">IF(ISNUMBER(M180), (M180 - $B180) / $B180, "")</f>
        <v>3.2511210762331835E-2</v>
      </c>
      <c r="O180" s="18">
        <f>IF(ISNUMBER(M180), $B199 * N180, "")</f>
        <v>3251.1210762331834</v>
      </c>
      <c r="Q180" s="222"/>
      <c r="R180" s="222"/>
      <c r="S180" s="222"/>
    </row>
    <row r="181" spans="1:19" ht="17.25" thickBot="1">
      <c r="A181" s="125" t="s">
        <v>160</v>
      </c>
      <c r="B181" s="126">
        <v>1725</v>
      </c>
      <c r="C181" s="77">
        <v>-2.8901733999999999E-3</v>
      </c>
      <c r="D181" s="15">
        <v>1745</v>
      </c>
      <c r="E181" s="32">
        <f t="shared" si="94"/>
        <v>1.1594202898550725E-2</v>
      </c>
      <c r="F181" s="18">
        <f>IF(ISNUMBER(D181), $B199 * E181, "")</f>
        <v>1159.4202898550725</v>
      </c>
      <c r="G181" s="31">
        <v>1745</v>
      </c>
      <c r="H181" s="32">
        <f t="shared" si="95"/>
        <v>1.1594202898550725E-2</v>
      </c>
      <c r="I181" s="101">
        <f>IF(ISNUMBER(G181), $B199 * H181, "")</f>
        <v>1159.4202898550725</v>
      </c>
      <c r="J181" s="15">
        <v>1775</v>
      </c>
      <c r="K181" s="32">
        <f t="shared" si="96"/>
        <v>2.8985507246376812E-2</v>
      </c>
      <c r="L181" s="18">
        <f>IF(ISNUMBER(J181), $B199 * K181, "")</f>
        <v>2898.550724637681</v>
      </c>
      <c r="M181" s="31">
        <v>1740</v>
      </c>
      <c r="N181" s="32">
        <f t="shared" si="97"/>
        <v>8.6956521739130436E-3</v>
      </c>
      <c r="O181" s="18">
        <f>IF(ISNUMBER(M181), $B199 * N181, "")</f>
        <v>869.56521739130437</v>
      </c>
      <c r="Q181" s="227"/>
      <c r="R181" s="227"/>
      <c r="S181" s="227"/>
    </row>
    <row r="182" spans="1:19" ht="17.25" thickBot="1">
      <c r="A182" s="125" t="s">
        <v>248</v>
      </c>
      <c r="B182" s="126">
        <v>2720</v>
      </c>
      <c r="C182" s="77">
        <v>-3.6630037E-3</v>
      </c>
      <c r="D182" s="15">
        <v>2855</v>
      </c>
      <c r="E182" s="32">
        <f t="shared" si="94"/>
        <v>4.9632352941176468E-2</v>
      </c>
      <c r="F182" s="18">
        <f>IF(ISNUMBER(D182), $B199 * E182, "")</f>
        <v>4963.2352941176468</v>
      </c>
      <c r="G182" s="31">
        <v>2845</v>
      </c>
      <c r="H182" s="32">
        <f t="shared" si="95"/>
        <v>4.595588235294118E-2</v>
      </c>
      <c r="I182" s="101">
        <f>IF(ISNUMBER(G182), $B199 * H182, "")</f>
        <v>4595.588235294118</v>
      </c>
      <c r="J182" s="15">
        <v>2850</v>
      </c>
      <c r="K182" s="32">
        <f t="shared" si="96"/>
        <v>4.779411764705882E-2</v>
      </c>
      <c r="L182" s="18">
        <f>IF(ISNUMBER(J182), $B199 * K182, "")</f>
        <v>4779.411764705882</v>
      </c>
      <c r="M182" s="31">
        <v>2810</v>
      </c>
      <c r="N182" s="32">
        <f t="shared" si="97"/>
        <v>3.3088235294117647E-2</v>
      </c>
      <c r="O182" s="18">
        <f>IF(ISNUMBER(M182), $B199 * N182, "")</f>
        <v>3308.8235294117649</v>
      </c>
      <c r="Q182" s="227"/>
      <c r="R182" s="227"/>
      <c r="S182" s="227"/>
    </row>
    <row r="183" spans="1:19" ht="17.25" thickBot="1">
      <c r="A183" s="127" t="s">
        <v>224</v>
      </c>
      <c r="B183" s="128">
        <v>5265</v>
      </c>
      <c r="C183" s="78">
        <v>-3.7842952000000001E-3</v>
      </c>
      <c r="D183" s="20">
        <v>5325</v>
      </c>
      <c r="E183" s="21">
        <f t="shared" si="94"/>
        <v>1.1396011396011397E-2</v>
      </c>
      <c r="F183" s="22">
        <f>IF(ISNUMBER(D183), $B199 * E183, "")</f>
        <v>1139.6011396011397</v>
      </c>
      <c r="G183" s="30">
        <v>5335</v>
      </c>
      <c r="H183" s="21">
        <f t="shared" si="95"/>
        <v>1.3295346628679962E-2</v>
      </c>
      <c r="I183" s="105">
        <f>IF(ISNUMBER(G183), $B199 * H183, "")</f>
        <v>1329.5346628679961</v>
      </c>
      <c r="J183" s="20">
        <v>5330</v>
      </c>
      <c r="K183" s="21">
        <f t="shared" si="96"/>
        <v>1.2345679012345678E-2</v>
      </c>
      <c r="L183" s="22">
        <f>IF(ISNUMBER(J183), $B199 * K183, "")</f>
        <v>1234.5679012345679</v>
      </c>
      <c r="M183" s="30">
        <v>5280</v>
      </c>
      <c r="N183" s="21">
        <f t="shared" si="97"/>
        <v>2.8490028490028491E-3</v>
      </c>
      <c r="O183" s="22">
        <f>IF(ISNUMBER(M183), $B199 * N183, "")</f>
        <v>284.90028490028493</v>
      </c>
      <c r="Q183" s="227"/>
      <c r="R183" s="227"/>
      <c r="S183" s="227"/>
    </row>
    <row r="184" spans="1:19" ht="17.25" thickBot="1">
      <c r="A184" s="125" t="s">
        <v>182</v>
      </c>
      <c r="B184" s="129">
        <v>74150</v>
      </c>
      <c r="C184" s="80">
        <v>-4.2970324000000002E-3</v>
      </c>
      <c r="D184" s="106">
        <v>75500</v>
      </c>
      <c r="E184" s="107">
        <f>IF(ISNUMBER(D184), (D184 - $B184) / $B184, "")</f>
        <v>1.8206338503034391E-2</v>
      </c>
      <c r="F184" s="108">
        <f>IF(ISNUMBER(D184), $B199 * E184, "")</f>
        <v>1820.6338503034392</v>
      </c>
      <c r="G184" s="109">
        <v>75950</v>
      </c>
      <c r="H184" s="107">
        <f>IF(ISNUMBER(G184), (G184 - $B184) / $B184, "")</f>
        <v>2.4275118004045852E-2</v>
      </c>
      <c r="I184" s="110">
        <f>IF(ISNUMBER(G184), $B199 * H184, "")</f>
        <v>2427.5118004045853</v>
      </c>
      <c r="J184" s="106">
        <v>76140</v>
      </c>
      <c r="K184" s="107">
        <f>IF(ISNUMBER(J184), (J184 - $B184) / $B184, "")</f>
        <v>2.6837491571139582E-2</v>
      </c>
      <c r="L184" s="108">
        <f>IF(ISNUMBER(J184), $B199 * K184, "")</f>
        <v>2683.7491571139581</v>
      </c>
      <c r="M184" s="109">
        <v>77000</v>
      </c>
      <c r="N184" s="107">
        <f>IF(ISNUMBER(M184), (M184 - $B184) / $B184, "")</f>
        <v>3.8435603506405937E-2</v>
      </c>
      <c r="O184" s="108">
        <f>IF(ISNUMBER(M184), $B199 * N184, "")</f>
        <v>3843.5603506405937</v>
      </c>
      <c r="Q184" s="227"/>
      <c r="R184" s="227"/>
      <c r="S184" s="227"/>
    </row>
    <row r="185" spans="1:19" ht="17.25" thickBot="1">
      <c r="A185" s="125" t="s">
        <v>196</v>
      </c>
      <c r="B185" s="126">
        <v>4625</v>
      </c>
      <c r="C185" s="77">
        <v>-4.3057051000000004E-3</v>
      </c>
      <c r="D185" s="15">
        <v>4900</v>
      </c>
      <c r="E185" s="32">
        <f t="shared" ref="E185:E188" si="98">IF(ISNUMBER(D185), (D185 - $B185) / $B185, "")</f>
        <v>5.9459459459459463E-2</v>
      </c>
      <c r="F185" s="18">
        <f>IF(ISNUMBER(D185), $B199 * E185, "")</f>
        <v>5945.9459459459458</v>
      </c>
      <c r="G185" s="31">
        <v>4845</v>
      </c>
      <c r="H185" s="32">
        <f t="shared" ref="H185:H188" si="99">IF(ISNUMBER(G185), (G185 - $B185) / $B185, "")</f>
        <v>4.7567567567567567E-2</v>
      </c>
      <c r="I185" s="101">
        <f>IF(ISNUMBER(G185), $B199 * H185, "")</f>
        <v>4756.7567567567567</v>
      </c>
      <c r="J185" s="15">
        <v>4850</v>
      </c>
      <c r="K185" s="32">
        <f t="shared" ref="K185:K188" si="100">IF(ISNUMBER(J185), (J185 - $B185) / $B185, "")</f>
        <v>4.8648648648648651E-2</v>
      </c>
      <c r="L185" s="18">
        <f>IF(ISNUMBER(J185), $B199 * K185, "")</f>
        <v>4864.864864864865</v>
      </c>
      <c r="M185" s="31">
        <v>4815</v>
      </c>
      <c r="N185" s="32">
        <f t="shared" ref="N185:N188" si="101">IF(ISNUMBER(M185), (M185 - $B185) / $B185, "")</f>
        <v>4.1081081081081078E-2</v>
      </c>
      <c r="O185" s="18">
        <f>IF(ISNUMBER(M185), $B199 * N185, "")</f>
        <v>4108.1081081081074</v>
      </c>
      <c r="Q185" s="227"/>
      <c r="R185" s="227"/>
      <c r="S185" s="227"/>
    </row>
    <row r="186" spans="1:19" ht="17.25" thickBot="1">
      <c r="A186" s="125" t="s">
        <v>228</v>
      </c>
      <c r="B186" s="126">
        <v>419</v>
      </c>
      <c r="C186" s="77">
        <v>-4.7505938000000003E-3</v>
      </c>
      <c r="D186" s="15">
        <v>430</v>
      </c>
      <c r="E186" s="32">
        <f t="shared" si="98"/>
        <v>2.6252983293556086E-2</v>
      </c>
      <c r="F186" s="18">
        <f>IF(ISNUMBER(D186), $B199 * E186, "")</f>
        <v>2625.2983293556085</v>
      </c>
      <c r="G186" s="31">
        <v>435</v>
      </c>
      <c r="H186" s="32">
        <f t="shared" si="99"/>
        <v>3.8186157517899763E-2</v>
      </c>
      <c r="I186" s="101">
        <f>IF(ISNUMBER(G186), $B199 * H186, "")</f>
        <v>3818.6157517899765</v>
      </c>
      <c r="J186" s="15">
        <v>436</v>
      </c>
      <c r="K186" s="32">
        <f t="shared" si="100"/>
        <v>4.0572792362768499E-2</v>
      </c>
      <c r="L186" s="18">
        <f>IF(ISNUMBER(J186), $B199 * K186, "")</f>
        <v>4057.27923627685</v>
      </c>
      <c r="M186" s="31">
        <v>431</v>
      </c>
      <c r="N186" s="32">
        <f t="shared" si="101"/>
        <v>2.8639618138424822E-2</v>
      </c>
      <c r="O186" s="18">
        <f>IF(ISNUMBER(M186), $B199 * N186, "")</f>
        <v>2863.9618138424821</v>
      </c>
      <c r="Q186" s="227"/>
      <c r="R186" s="227"/>
      <c r="S186" s="227"/>
    </row>
    <row r="187" spans="1:19" ht="17.25" thickBot="1">
      <c r="A187" s="125" t="s">
        <v>254</v>
      </c>
      <c r="B187" s="126">
        <v>341</v>
      </c>
      <c r="C187" s="77">
        <v>-5.8309038000000004E-3</v>
      </c>
      <c r="D187" s="15">
        <v>346</v>
      </c>
      <c r="E187" s="32">
        <f t="shared" si="98"/>
        <v>1.466275659824047E-2</v>
      </c>
      <c r="F187" s="18">
        <f>IF(ISNUMBER(D187), $B199 * E187, "")</f>
        <v>1466.2756598240469</v>
      </c>
      <c r="G187" s="31">
        <v>352</v>
      </c>
      <c r="H187" s="32">
        <f t="shared" si="99"/>
        <v>3.2258064516129031E-2</v>
      </c>
      <c r="I187" s="101">
        <f>IF(ISNUMBER(G187), $B199 * H187, "")</f>
        <v>3225.8064516129029</v>
      </c>
      <c r="J187" s="15">
        <v>353</v>
      </c>
      <c r="K187" s="32">
        <f t="shared" si="100"/>
        <v>3.519061583577713E-2</v>
      </c>
      <c r="L187" s="18">
        <f>IF(ISNUMBER(J187), $B199 * K187, "")</f>
        <v>3519.061583577713</v>
      </c>
      <c r="M187" s="31">
        <v>346</v>
      </c>
      <c r="N187" s="32">
        <f t="shared" si="101"/>
        <v>1.466275659824047E-2</v>
      </c>
      <c r="O187" s="18">
        <f>IF(ISNUMBER(M187), $B199 * N187, "")</f>
        <v>1466.2756598240469</v>
      </c>
      <c r="Q187" s="33"/>
      <c r="R187" s="33"/>
    </row>
    <row r="188" spans="1:19" ht="17.25" thickBot="1">
      <c r="A188" s="130" t="s">
        <v>226</v>
      </c>
      <c r="B188" s="131">
        <v>2050</v>
      </c>
      <c r="C188" s="79">
        <v>-7.2639224999999997E-3</v>
      </c>
      <c r="D188" s="24">
        <v>2100</v>
      </c>
      <c r="E188" s="25">
        <f t="shared" si="98"/>
        <v>2.4390243902439025E-2</v>
      </c>
      <c r="F188" s="104">
        <f>IF(ISNUMBER(D188), $B199 * E188, "")</f>
        <v>2439.0243902439024</v>
      </c>
      <c r="G188" s="102">
        <v>2100</v>
      </c>
      <c r="H188" s="25">
        <f t="shared" si="99"/>
        <v>2.4390243902439025E-2</v>
      </c>
      <c r="I188" s="103">
        <f>IF(ISNUMBER(G188), $B199 * H188, "")</f>
        <v>2439.0243902439024</v>
      </c>
      <c r="J188" s="24">
        <v>2125</v>
      </c>
      <c r="K188" s="25">
        <f t="shared" si="100"/>
        <v>3.6585365853658534E-2</v>
      </c>
      <c r="L188" s="104">
        <f>IF(ISNUMBER(J188), $B199 * K188, "")</f>
        <v>3658.5365853658536</v>
      </c>
      <c r="M188" s="102">
        <v>2100</v>
      </c>
      <c r="N188" s="25">
        <f t="shared" si="101"/>
        <v>2.4390243902439025E-2</v>
      </c>
      <c r="O188" s="104">
        <f>IF(ISNUMBER(M188), $B199 * N188, "")</f>
        <v>2439.0243902439024</v>
      </c>
      <c r="Q188" s="236"/>
      <c r="R188" s="237"/>
      <c r="S188" s="238"/>
    </row>
    <row r="189" spans="1:19">
      <c r="A189" s="123" t="s">
        <v>176</v>
      </c>
      <c r="B189" s="124">
        <v>1795</v>
      </c>
      <c r="C189" s="76">
        <v>-8.2872928000000002E-3</v>
      </c>
      <c r="D189" s="13">
        <v>1690</v>
      </c>
      <c r="E189" s="14">
        <f>IF(ISNUMBER(D189), (D189 - $B189) / $B189, "")</f>
        <v>-5.8495821727019497E-2</v>
      </c>
      <c r="F189" s="16">
        <f>IF(ISNUMBER(D189), $B199 * E189, "")</f>
        <v>-5849.5821727019493</v>
      </c>
      <c r="G189" s="29">
        <v>1675</v>
      </c>
      <c r="H189" s="14">
        <f>IF(ISNUMBER(G189), (G189 - $B189) / $B189, "")</f>
        <v>-6.6852367688022288E-2</v>
      </c>
      <c r="I189" s="100">
        <f>IF(ISNUMBER(G189), $B199 * H189, "")</f>
        <v>-6685.2367688022287</v>
      </c>
      <c r="J189" s="13">
        <v>1700</v>
      </c>
      <c r="K189" s="14">
        <f>IF(ISNUMBER(J189), (J189 - $B189) / $B189, "")</f>
        <v>-5.2924791086350974E-2</v>
      </c>
      <c r="L189" s="16">
        <f>IF(ISNUMBER(J189), $B199 * K189, "")</f>
        <v>-5292.479108635097</v>
      </c>
      <c r="M189" s="29">
        <v>1685</v>
      </c>
      <c r="N189" s="14">
        <f>IF(ISNUMBER(M189), (M189 - $B189) / $B189, "")</f>
        <v>-6.1281337047353758E-2</v>
      </c>
      <c r="O189" s="16">
        <f>IF(ISNUMBER(M189), $B199 * N189, "")</f>
        <v>-6128.1337047353754</v>
      </c>
      <c r="Q189" s="239"/>
      <c r="R189" s="240"/>
      <c r="S189" s="241"/>
    </row>
    <row r="190" spans="1:19" ht="17.25" thickBot="1">
      <c r="A190" s="125" t="s">
        <v>252</v>
      </c>
      <c r="B190" s="126">
        <v>1185</v>
      </c>
      <c r="C190" s="77">
        <v>-8.3682007999999995E-3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843.8818565400843</v>
      </c>
      <c r="G190" s="31">
        <v>1210</v>
      </c>
      <c r="H190" s="32">
        <f t="shared" ref="H190:H193" si="103">IF(ISNUMBER(G190), (G190 - $B190) / $B190, "")</f>
        <v>2.1097046413502109E-2</v>
      </c>
      <c r="I190" s="101">
        <f>IF(ISNUMBER(G190), $B199 * H190, "")</f>
        <v>2109.7046413502107</v>
      </c>
      <c r="J190" s="15">
        <v>1215</v>
      </c>
      <c r="K190" s="32">
        <f t="shared" ref="K190:K193" si="104">IF(ISNUMBER(J190), (J190 - $B190) / $B190, "")</f>
        <v>2.5316455696202531E-2</v>
      </c>
      <c r="L190" s="18">
        <f>IF(ISNUMBER(J190), $B199 * K190, "")</f>
        <v>2531.6455696202529</v>
      </c>
      <c r="M190" s="31">
        <v>1210</v>
      </c>
      <c r="N190" s="32">
        <f t="shared" ref="N190:N193" si="105">IF(ISNUMBER(M190), (M190 - $B190) / $B190, "")</f>
        <v>2.1097046413502109E-2</v>
      </c>
      <c r="O190" s="18">
        <f>IF(ISNUMBER(M190), $B199 * N190, "")</f>
        <v>2109.7046413502107</v>
      </c>
      <c r="Q190" s="242"/>
      <c r="R190" s="243"/>
      <c r="S190" s="244"/>
    </row>
    <row r="191" spans="1:19" ht="17.25" thickBot="1">
      <c r="A191" s="125" t="s">
        <v>92</v>
      </c>
      <c r="B191" s="126">
        <v>88320</v>
      </c>
      <c r="C191" s="77">
        <v>-8.6429452999999996E-3</v>
      </c>
      <c r="D191" s="15">
        <v>89280</v>
      </c>
      <c r="E191" s="32">
        <f t="shared" si="102"/>
        <v>1.0869565217391304E-2</v>
      </c>
      <c r="F191" s="18">
        <f>IF(ISNUMBER(D191), $B199 * E191, "")</f>
        <v>1086.9565217391305</v>
      </c>
      <c r="G191" s="31">
        <v>91320</v>
      </c>
      <c r="H191" s="32">
        <f t="shared" si="103"/>
        <v>3.3967391304347824E-2</v>
      </c>
      <c r="I191" s="101">
        <f>IF(ISNUMBER(G191), $B199 * H191, "")</f>
        <v>3396.7391304347825</v>
      </c>
      <c r="J191" s="15">
        <v>91130</v>
      </c>
      <c r="K191" s="32">
        <f t="shared" si="104"/>
        <v>3.18161231884058E-2</v>
      </c>
      <c r="L191" s="18">
        <f>IF(ISNUMBER(J191), $B199 * K191, "")</f>
        <v>3181.61231884058</v>
      </c>
      <c r="M191" s="31">
        <v>90070</v>
      </c>
      <c r="N191" s="32">
        <f t="shared" si="105"/>
        <v>1.98143115942029E-2</v>
      </c>
      <c r="O191" s="18">
        <f>IF(ISNUMBER(M191), $B199 * N191, "")</f>
        <v>1981.43115942029</v>
      </c>
      <c r="Q191" s="227"/>
      <c r="R191" s="227"/>
      <c r="S191" s="227"/>
    </row>
    <row r="192" spans="1:19" ht="17.25" thickBot="1">
      <c r="A192" s="125" t="s">
        <v>184</v>
      </c>
      <c r="B192" s="126">
        <v>1305</v>
      </c>
      <c r="C192" s="77">
        <v>-1.13636364E-2</v>
      </c>
      <c r="D192" s="15">
        <v>1315</v>
      </c>
      <c r="E192" s="32">
        <f t="shared" si="102"/>
        <v>7.6628352490421452E-3</v>
      </c>
      <c r="F192" s="18">
        <f>IF(ISNUMBER(D192), $B199 * E192, "")</f>
        <v>766.28352490421457</v>
      </c>
      <c r="G192" s="31">
        <v>1320</v>
      </c>
      <c r="H192" s="32">
        <f t="shared" si="103"/>
        <v>1.1494252873563218E-2</v>
      </c>
      <c r="I192" s="101">
        <f>IF(ISNUMBER(G192), $B199 * H192, "")</f>
        <v>1149.4252873563219</v>
      </c>
      <c r="J192" s="15">
        <v>1330</v>
      </c>
      <c r="K192" s="32">
        <f t="shared" si="104"/>
        <v>1.9157088122605363E-2</v>
      </c>
      <c r="L192" s="18">
        <f>IF(ISNUMBER(J192), $B199 * K192, "")</f>
        <v>1915.7088122605362</v>
      </c>
      <c r="M192" s="31">
        <v>1320</v>
      </c>
      <c r="N192" s="32">
        <f t="shared" si="105"/>
        <v>1.1494252873563218E-2</v>
      </c>
      <c r="O192" s="18">
        <f>IF(ISNUMBER(M192), $B199 * N192, "")</f>
        <v>1149.4252873563219</v>
      </c>
      <c r="Q192" s="222"/>
      <c r="R192" s="222"/>
      <c r="S192" s="222"/>
    </row>
    <row r="193" spans="1:19" ht="17.25" thickBot="1">
      <c r="A193" s="127" t="s">
        <v>88</v>
      </c>
      <c r="B193" s="128">
        <v>237600</v>
      </c>
      <c r="C193" s="78">
        <v>-1.2879102599999999E-2</v>
      </c>
      <c r="D193" s="20">
        <v>241700</v>
      </c>
      <c r="E193" s="21">
        <f t="shared" si="102"/>
        <v>1.7255892255892257E-2</v>
      </c>
      <c r="F193" s="22">
        <f>IF(ISNUMBER(D193), $B199 * E193, "")</f>
        <v>1725.5892255892256</v>
      </c>
      <c r="G193" s="30">
        <v>251550</v>
      </c>
      <c r="H193" s="21">
        <f t="shared" si="103"/>
        <v>5.8712121212121215E-2</v>
      </c>
      <c r="I193" s="105">
        <f>IF(ISNUMBER(G193), $B199 * H193, "")</f>
        <v>5871.2121212121219</v>
      </c>
      <c r="J193" s="20">
        <v>251650</v>
      </c>
      <c r="K193" s="21">
        <f t="shared" si="104"/>
        <v>5.9132996632996634E-2</v>
      </c>
      <c r="L193" s="22">
        <f>IF(ISNUMBER(J193), $B199 * K193, "")</f>
        <v>5913.2996632996637</v>
      </c>
      <c r="M193" s="30">
        <v>252950</v>
      </c>
      <c r="N193" s="21">
        <f t="shared" si="105"/>
        <v>6.4604377104377109E-2</v>
      </c>
      <c r="O193" s="22">
        <f>IF(ISNUMBER(M193), $B199 * N193, "")</f>
        <v>6460.4377104377108</v>
      </c>
      <c r="Q193" s="222"/>
      <c r="R193" s="222"/>
      <c r="S193" s="222"/>
    </row>
    <row r="194" spans="1:19" ht="17.25" thickBot="1">
      <c r="A194" s="125" t="s">
        <v>106</v>
      </c>
      <c r="B194" s="129">
        <v>207500</v>
      </c>
      <c r="C194" s="80">
        <v>-1.42517815E-2</v>
      </c>
      <c r="D194" s="106">
        <v>215300</v>
      </c>
      <c r="E194" s="107">
        <f>IF(ISNUMBER(D194), (D194 - $B194) / $B194, "")</f>
        <v>3.7590361445783135E-2</v>
      </c>
      <c r="F194" s="108">
        <f>IF(ISNUMBER(D194), $B199 * E194, "")</f>
        <v>3759.0361445783137</v>
      </c>
      <c r="G194" s="109">
        <v>228700</v>
      </c>
      <c r="H194" s="107">
        <f>IF(ISNUMBER(G194), (G194 - $B194) / $B194, "")</f>
        <v>0.10216867469879518</v>
      </c>
      <c r="I194" s="110">
        <f>IF(ISNUMBER(G194), $B199 * H194, "")</f>
        <v>10216.867469879517</v>
      </c>
      <c r="J194" s="106">
        <v>225300</v>
      </c>
      <c r="K194" s="107">
        <f>IF(ISNUMBER(J194), (J194 - $B194) / $B194, "")</f>
        <v>8.5783132530120487E-2</v>
      </c>
      <c r="L194" s="108">
        <f>IF(ISNUMBER(J194), $B199 * K194, "")</f>
        <v>8578.3132530120492</v>
      </c>
      <c r="M194" s="109">
        <v>229400</v>
      </c>
      <c r="N194" s="107">
        <f>IF(ISNUMBER(M194), (M194 - $B194) / $B194, "")</f>
        <v>0.10554216867469879</v>
      </c>
      <c r="O194" s="108">
        <f>IF(ISNUMBER(M194), $B199 * N194, "")</f>
        <v>10554.216867469879</v>
      </c>
      <c r="Q194" s="227"/>
      <c r="R194" s="227"/>
      <c r="S194" s="227"/>
    </row>
    <row r="195" spans="1:19" ht="17.25" thickBot="1">
      <c r="A195" s="125" t="s">
        <v>214</v>
      </c>
      <c r="B195" s="126">
        <v>1445</v>
      </c>
      <c r="C195" s="77">
        <v>-1.70068027E-2</v>
      </c>
      <c r="D195" s="15">
        <v>1440</v>
      </c>
      <c r="E195" s="32">
        <f t="shared" ref="E195:E198" si="106">IF(ISNUMBER(D195), (D195 - $B195) / $B195, "")</f>
        <v>-3.4602076124567475E-3</v>
      </c>
      <c r="F195" s="18">
        <f>IF(ISNUMBER(D195), $B199 * E195, "")</f>
        <v>-346.02076124567475</v>
      </c>
      <c r="G195" s="31">
        <v>1430</v>
      </c>
      <c r="H195" s="32">
        <f t="shared" ref="H195:H198" si="107">IF(ISNUMBER(G195), (G195 - $B195) / $B195, "")</f>
        <v>-1.0380622837370242E-2</v>
      </c>
      <c r="I195" s="101">
        <f>IF(ISNUMBER(G195), $B199 * H195, "")</f>
        <v>-1038.0622837370242</v>
      </c>
      <c r="J195" s="15">
        <v>1420</v>
      </c>
      <c r="K195" s="32">
        <f t="shared" ref="K195:K198" si="108">IF(ISNUMBER(J195), (J195 - $B195) / $B195, "")</f>
        <v>-1.7301038062283738E-2</v>
      </c>
      <c r="L195" s="18">
        <f>IF(ISNUMBER(J195), $B199 * K195, "")</f>
        <v>-1730.1038062283737</v>
      </c>
      <c r="M195" s="31">
        <v>1420</v>
      </c>
      <c r="N195" s="32">
        <f t="shared" ref="N195:N198" si="109">IF(ISNUMBER(M195), (M195 - $B195) / $B195, "")</f>
        <v>-1.7301038062283738E-2</v>
      </c>
      <c r="O195" s="18">
        <f>IF(ISNUMBER(M195), $B199 * N195, "")</f>
        <v>-1730.1038062283737</v>
      </c>
      <c r="Q195" s="227"/>
      <c r="R195" s="227"/>
      <c r="S195" s="227"/>
    </row>
    <row r="196" spans="1:19" ht="17.25" thickBot="1">
      <c r="A196" s="125" t="s">
        <v>154</v>
      </c>
      <c r="B196" s="126">
        <v>83050</v>
      </c>
      <c r="C196" s="77">
        <v>-1.9711992399999999E-2</v>
      </c>
      <c r="D196" s="15">
        <v>84490</v>
      </c>
      <c r="E196" s="32">
        <f t="shared" si="106"/>
        <v>1.7338952438290187E-2</v>
      </c>
      <c r="F196" s="18">
        <f>IF(ISNUMBER(D196), $B199 * E196, "")</f>
        <v>1733.8952438290187</v>
      </c>
      <c r="G196" s="31">
        <v>84870</v>
      </c>
      <c r="H196" s="32">
        <f t="shared" si="107"/>
        <v>2.1914509331727876E-2</v>
      </c>
      <c r="I196" s="101">
        <f>IF(ISNUMBER(G196), $B199 * H196, "")</f>
        <v>2191.4509331727877</v>
      </c>
      <c r="J196" s="15">
        <v>85810</v>
      </c>
      <c r="K196" s="32">
        <f t="shared" si="108"/>
        <v>3.3232992173389528E-2</v>
      </c>
      <c r="L196" s="18">
        <f>IF(ISNUMBER(J196), $B199 * K196, "")</f>
        <v>3323.299217338953</v>
      </c>
      <c r="M196" s="31">
        <v>84510</v>
      </c>
      <c r="N196" s="32">
        <f t="shared" si="109"/>
        <v>1.757977122215533E-2</v>
      </c>
      <c r="O196" s="18">
        <f>IF(ISNUMBER(M196), $B199 * N196, "")</f>
        <v>1757.977122215533</v>
      </c>
      <c r="Q196" s="227"/>
      <c r="R196" s="227"/>
      <c r="S196" s="227"/>
    </row>
    <row r="197" spans="1:19">
      <c r="A197" s="125" t="s">
        <v>134</v>
      </c>
      <c r="B197" s="126">
        <v>34920</v>
      </c>
      <c r="C197" s="77">
        <v>-4.8501362399999998E-2</v>
      </c>
      <c r="D197" s="15">
        <v>37320</v>
      </c>
      <c r="E197" s="32">
        <f t="shared" si="106"/>
        <v>6.8728522336769765E-2</v>
      </c>
      <c r="F197" s="18">
        <f>IF(ISNUMBER(D197), $B199 * E197, "")</f>
        <v>6872.8522336769765</v>
      </c>
      <c r="G197" s="31">
        <v>37450</v>
      </c>
      <c r="H197" s="32">
        <f t="shared" si="107"/>
        <v>7.2451317296678128E-2</v>
      </c>
      <c r="I197" s="101">
        <f>IF(ISNUMBER(G197), $B199 * H197, "")</f>
        <v>7245.1317296678126</v>
      </c>
      <c r="J197" s="15">
        <v>37680</v>
      </c>
      <c r="K197" s="32">
        <f t="shared" si="108"/>
        <v>7.903780068728522E-2</v>
      </c>
      <c r="L197" s="18">
        <f>IF(ISNUMBER(J197), $B199 * K197, "")</f>
        <v>7903.7800687285217</v>
      </c>
      <c r="M197" s="31">
        <v>36910</v>
      </c>
      <c r="N197" s="32">
        <f t="shared" si="109"/>
        <v>5.6987399770904924E-2</v>
      </c>
      <c r="O197" s="18">
        <f>IF(ISNUMBER(M197), $B199 * N197, "")</f>
        <v>5698.7399770904922</v>
      </c>
      <c r="Q197" s="249"/>
      <c r="R197" s="250"/>
      <c r="S197" s="251"/>
    </row>
    <row r="198" spans="1:19" ht="17.25" thickBot="1">
      <c r="A198" s="130" t="s">
        <v>172</v>
      </c>
      <c r="B198" s="131">
        <v>5375</v>
      </c>
      <c r="C198" s="79">
        <v>-5.7017543900000002E-2</v>
      </c>
      <c r="D198" s="24">
        <v>5070</v>
      </c>
      <c r="E198" s="25">
        <f t="shared" si="106"/>
        <v>-5.674418604651163E-2</v>
      </c>
      <c r="F198" s="104">
        <f>IF(ISNUMBER(D198), $B199 * E198, "")</f>
        <v>-5674.4186046511632</v>
      </c>
      <c r="G198" s="102">
        <v>4950</v>
      </c>
      <c r="H198" s="25">
        <f t="shared" si="107"/>
        <v>-7.9069767441860464E-2</v>
      </c>
      <c r="I198" s="103">
        <f>IF(ISNUMBER(G198), $B199 * H198, "")</f>
        <v>-7906.9767441860467</v>
      </c>
      <c r="J198" s="24">
        <v>4980</v>
      </c>
      <c r="K198" s="25">
        <f t="shared" si="108"/>
        <v>-7.3488372093023252E-2</v>
      </c>
      <c r="L198" s="104">
        <f>IF(ISNUMBER(J198), $B199 * K198, "")</f>
        <v>-7348.8372093023254</v>
      </c>
      <c r="M198" s="102">
        <v>4945</v>
      </c>
      <c r="N198" s="25">
        <f t="shared" si="109"/>
        <v>-0.08</v>
      </c>
      <c r="O198" s="104">
        <f>IF(ISNUMBER(M198), $B199 * N198, "")</f>
        <v>-8000</v>
      </c>
      <c r="Q198" s="252"/>
      <c r="R198" s="253"/>
      <c r="S198" s="254"/>
    </row>
    <row r="199" spans="1:19" ht="17.25" thickBot="1">
      <c r="A199" s="132" t="s">
        <v>270</v>
      </c>
      <c r="B199" s="260">
        <f>$B$37</f>
        <v>100000</v>
      </c>
      <c r="C199" s="261"/>
      <c r="D199" s="26" t="s">
        <v>271</v>
      </c>
      <c r="E199" s="27">
        <f>IF(COUNT(E179:E198), SUM(E179:E198) / COUNT(E179:E198), 0)</f>
        <v>1.7265268930435285E-2</v>
      </c>
      <c r="F199" s="28">
        <f>SUM(F179:F198)</f>
        <v>34530.537860870572</v>
      </c>
      <c r="G199" s="26" t="s">
        <v>271</v>
      </c>
      <c r="H199" s="27">
        <f>IF(COUNT(H179:H198), SUM(H179:H198) / COUNT(H179:H198), 0)</f>
        <v>2.5189292408056303E-2</v>
      </c>
      <c r="I199" s="28">
        <f>SUM(I179:I198)</f>
        <v>50378.584816112598</v>
      </c>
      <c r="J199" s="26" t="s">
        <v>271</v>
      </c>
      <c r="K199" s="27">
        <f>IF(COUNT(K179:K198), SUM(K179:K198) / COUNT(K179:K198), 0)</f>
        <v>2.8406755204208833E-2</v>
      </c>
      <c r="L199" s="28">
        <f>SUM(L179:L198)</f>
        <v>56813.510408417664</v>
      </c>
      <c r="M199" s="26" t="s">
        <v>271</v>
      </c>
      <c r="N199" s="27">
        <f>IF(COUNT(N179:N198), SUM(N179:N198) / COUNT(N179:N198), 0)</f>
        <v>1.9824104405793679E-2</v>
      </c>
      <c r="O199" s="28">
        <f>SUM(O179:O198)</f>
        <v>39648.208811587348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BAB3-E41B-4C2F-8777-4463586079B0}">
  <sheetPr codeName="Sheet9"/>
  <dimension ref="A1:S199"/>
  <sheetViews>
    <sheetView topLeftCell="A19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44442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320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328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147,599 KRW (7.38%)</v>
      </c>
      <c r="H3" s="217"/>
      <c r="I3" s="218"/>
      <c r="J3" s="4" t="s">
        <v>7</v>
      </c>
      <c r="K3" s="213" t="s">
        <v>321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322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319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47,401 KRW (2.79%)</v>
      </c>
      <c r="H5" s="217"/>
      <c r="I5" s="218"/>
      <c r="J5" s="4" t="s">
        <v>15</v>
      </c>
      <c r="K5" s="213" t="s">
        <v>323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324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151,580 KRW (7.58%)</v>
      </c>
      <c r="H7" s="217"/>
      <c r="I7" s="218"/>
      <c r="J7" s="4" t="s">
        <v>21</v>
      </c>
      <c r="K7" s="213" t="s">
        <v>325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255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35,878 KRW (1.79%)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326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327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318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65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55149000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2.1442459999999998E-3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2021-09-03(금) 오전 00:00</v>
      </c>
      <c r="C15" s="268"/>
      <c r="D15" s="224" t="str">
        <f>TEXT($G$1, "[$-ko-KR]yyyy-mm-dd(ddd) ") &amp; "오후 14:00"</f>
        <v>2021-09-03(금) 오후 14:00</v>
      </c>
      <c r="E15" s="225"/>
      <c r="F15" s="226"/>
      <c r="G15" s="224" t="str">
        <f>TEXT($G$1, "[$-ko-KR]yyyy-mm-dd(ddd) ") &amp; "오후 19:00"</f>
        <v>2021-09-03(금) 오후 19:00</v>
      </c>
      <c r="H15" s="225"/>
      <c r="I15" s="226"/>
      <c r="J15" s="224" t="str">
        <f>TEXT($G$1, "[$-ko-KR]yyyy-mm-dd(ddd) ") &amp; "오후 21:00"</f>
        <v>2021-09-03(금) 오후 21:00</v>
      </c>
      <c r="K15" s="225"/>
      <c r="L15" s="226"/>
      <c r="M15" s="224" t="str">
        <f>TEXT($G$1+1, "[$-ko-KR]yyyy-mm-dd(ddd) ") &amp; "오전 00:00"</f>
        <v>2021-09-04(토)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65" t="s">
        <v>267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55149000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2.1442459999999998E-3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2021-09-03(금) 오전 00:00</v>
      </c>
      <c r="C42" s="265"/>
      <c r="D42" s="224" t="str">
        <f>TEXT($G$1, "[$-ko-KR]yyyy-mm-dd(ddd) ") &amp; "오후 14:00"</f>
        <v>2021-09-03(금) 오후 14:00</v>
      </c>
      <c r="E42" s="225"/>
      <c r="F42" s="226"/>
      <c r="G42" s="224" t="str">
        <f>TEXT($G$1, "[$-ko-KR]yyyy-mm-dd(ddd) ") &amp; "오후 19:00"</f>
        <v>2021-09-03(금) 오후 19:00</v>
      </c>
      <c r="H42" s="225"/>
      <c r="I42" s="226"/>
      <c r="J42" s="224" t="str">
        <f>TEXT($G$1, "[$-ko-KR]yyyy-mm-dd(ddd) ") &amp; "오후 21:00"</f>
        <v>2021-09-03(금) 오후 21:00</v>
      </c>
      <c r="K42" s="225"/>
      <c r="L42" s="226"/>
      <c r="M42" s="224" t="str">
        <f>TEXT($G$1+1, "[$-ko-KR]yyyy-mm-dd(ddd) ") &amp; "오전 00:00"</f>
        <v>2021-09-04(토)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7"/>
      <c r="R43" s="227"/>
      <c r="S43" s="227"/>
    </row>
    <row r="44" spans="1:19" ht="17.25" customHeight="1" thickBot="1">
      <c r="A44" s="123" t="s">
        <v>250</v>
      </c>
      <c r="B44" s="124">
        <v>96.9</v>
      </c>
      <c r="C44" s="76">
        <v>6.4835164799999997E-2</v>
      </c>
      <c r="D44" s="13">
        <v>103</v>
      </c>
      <c r="E44" s="14">
        <f>IF(ISNUMBER(D44), (D44 - $B44) / $B44, "")</f>
        <v>6.2951496388028827E-2</v>
      </c>
      <c r="F44" s="16">
        <f>IF(ISNUMBER(D44), $B64 * E44, "")</f>
        <v>6295.1496388028827</v>
      </c>
      <c r="G44" s="29">
        <v>102</v>
      </c>
      <c r="H44" s="14">
        <f>IF(ISNUMBER(G44), (G44 - $B44) / $B44, "")</f>
        <v>5.2631578947368363E-2</v>
      </c>
      <c r="I44" s="100">
        <f>IF(ISNUMBER(G44), $B64 * H44, "")</f>
        <v>5263.1578947368362</v>
      </c>
      <c r="J44" s="13">
        <v>101</v>
      </c>
      <c r="K44" s="14">
        <f>IF(ISNUMBER(J44), (J44 - $B44) / $B44, "")</f>
        <v>4.2311661506707884E-2</v>
      </c>
      <c r="L44" s="16">
        <f>IF(ISNUMBER(J44), $B64 * K44, "")</f>
        <v>4231.1661506707887</v>
      </c>
      <c r="M44" s="29">
        <v>101</v>
      </c>
      <c r="N44" s="14">
        <f>IF(ISNUMBER(M44), (M44 - $B44) / $B44, "")</f>
        <v>4.2311661506707884E-2</v>
      </c>
      <c r="O44" s="16">
        <f>IF(ISNUMBER(M44), $B64 * N44, "")</f>
        <v>4231.1661506707887</v>
      </c>
      <c r="Q44" s="222"/>
      <c r="R44" s="222"/>
      <c r="S44" s="222"/>
    </row>
    <row r="45" spans="1:19" ht="17.25" customHeight="1" thickBot="1">
      <c r="A45" s="125" t="s">
        <v>204</v>
      </c>
      <c r="B45" s="126">
        <v>17</v>
      </c>
      <c r="C45" s="77">
        <v>5.5900621099999999E-2</v>
      </c>
      <c r="D45" s="15">
        <v>16.7</v>
      </c>
      <c r="E45" s="32">
        <f t="shared" ref="E45:E48" si="14">IF(ISNUMBER(D45), (D45 - $B45) / $B45, "")</f>
        <v>-1.7647058823529453E-2</v>
      </c>
      <c r="F45" s="18">
        <f>IF(ISNUMBER(D45), $B64 * E45, "")</f>
        <v>-1764.7058823529453</v>
      </c>
      <c r="G45" s="31">
        <v>17.100000000000001</v>
      </c>
      <c r="H45" s="32">
        <f t="shared" ref="H45:H48" si="15">IF(ISNUMBER(G45), (G45 - $B45) / $B45, "")</f>
        <v>5.8823529411765538E-3</v>
      </c>
      <c r="I45" s="101">
        <f>IF(ISNUMBER(G45), $B64 * H45, "")</f>
        <v>588.23529411765537</v>
      </c>
      <c r="J45" s="15">
        <v>17.100000000000001</v>
      </c>
      <c r="K45" s="32">
        <f t="shared" ref="K45:K48" si="16">IF(ISNUMBER(J45), (J45 - $B45) / $B45, "")</f>
        <v>5.8823529411765538E-3</v>
      </c>
      <c r="L45" s="18">
        <f>IF(ISNUMBER(J45), $B64 * K45, "")</f>
        <v>588.23529411765537</v>
      </c>
      <c r="M45" s="31">
        <v>17.2</v>
      </c>
      <c r="N45" s="32">
        <f t="shared" ref="N45:N48" si="17">IF(ISNUMBER(M45), (M45 - $B45) / $B45, "")</f>
        <v>1.1764705882352899E-2</v>
      </c>
      <c r="O45" s="18">
        <f>IF(ISNUMBER(M45), $B64 * N45, "")</f>
        <v>1176.4705882352901</v>
      </c>
      <c r="Q45" s="222"/>
      <c r="R45" s="222"/>
      <c r="S45" s="222"/>
    </row>
    <row r="46" spans="1:19" ht="17.25" customHeight="1" thickBot="1">
      <c r="A46" s="125" t="s">
        <v>98</v>
      </c>
      <c r="B46" s="126">
        <v>5.32</v>
      </c>
      <c r="C46" s="77">
        <v>3.90625E-2</v>
      </c>
      <c r="D46" s="15">
        <v>5.93</v>
      </c>
      <c r="E46" s="32">
        <f t="shared" si="14"/>
        <v>0.11466165413533823</v>
      </c>
      <c r="F46" s="18">
        <f>IF(ISNUMBER(D46), $B64 * E46, "")</f>
        <v>11466.165413533823</v>
      </c>
      <c r="G46" s="31">
        <v>5.93</v>
      </c>
      <c r="H46" s="32">
        <f t="shared" si="15"/>
        <v>0.11466165413533823</v>
      </c>
      <c r="I46" s="101">
        <f>IF(ISNUMBER(G46), $B64 * H46, "")</f>
        <v>11466.165413533823</v>
      </c>
      <c r="J46" s="15">
        <v>5.9</v>
      </c>
      <c r="K46" s="32">
        <f t="shared" si="16"/>
        <v>0.10902255639097745</v>
      </c>
      <c r="L46" s="18">
        <f>IF(ISNUMBER(J46), $B64 * K46, "")</f>
        <v>10902.255639097744</v>
      </c>
      <c r="M46" s="31">
        <v>5.67</v>
      </c>
      <c r="N46" s="32">
        <f t="shared" si="17"/>
        <v>6.5789473684210453E-2</v>
      </c>
      <c r="O46" s="18">
        <f>IF(ISNUMBER(M46), $B64 * N46, "")</f>
        <v>6578.9473684210452</v>
      </c>
      <c r="Q46" s="227"/>
      <c r="R46" s="227"/>
      <c r="S46" s="227"/>
    </row>
    <row r="47" spans="1:19" ht="17.25" customHeight="1" thickBot="1">
      <c r="A47" s="125" t="s">
        <v>190</v>
      </c>
      <c r="B47" s="126">
        <v>20</v>
      </c>
      <c r="C47" s="77">
        <v>1.52284264E-2</v>
      </c>
      <c r="D47" s="15">
        <v>20.3</v>
      </c>
      <c r="E47" s="32">
        <f t="shared" si="14"/>
        <v>1.5000000000000036E-2</v>
      </c>
      <c r="F47" s="18">
        <f>IF(ISNUMBER(D47), $B64 * E47, "")</f>
        <v>1500.0000000000036</v>
      </c>
      <c r="G47" s="31">
        <v>20.399999999999999</v>
      </c>
      <c r="H47" s="32">
        <f t="shared" si="15"/>
        <v>1.9999999999999928E-2</v>
      </c>
      <c r="I47" s="101">
        <f>IF(ISNUMBER(G47), $B64 * H47, "")</f>
        <v>1999.9999999999927</v>
      </c>
      <c r="J47" s="15">
        <v>20.2</v>
      </c>
      <c r="K47" s="32">
        <f t="shared" si="16"/>
        <v>9.9999999999999638E-3</v>
      </c>
      <c r="L47" s="18">
        <f>IF(ISNUMBER(J47), $B64 * K47, "")</f>
        <v>999.99999999999636</v>
      </c>
      <c r="M47" s="31">
        <v>20.399999999999999</v>
      </c>
      <c r="N47" s="32">
        <f t="shared" si="17"/>
        <v>1.9999999999999928E-2</v>
      </c>
      <c r="O47" s="18">
        <f>IF(ISNUMBER(M47), $B64 * N47, "")</f>
        <v>1999.9999999999927</v>
      </c>
      <c r="Q47" s="227"/>
      <c r="R47" s="227"/>
      <c r="S47" s="227"/>
    </row>
    <row r="48" spans="1:19" ht="17.25" customHeight="1" thickBot="1">
      <c r="A48" s="127" t="s">
        <v>65</v>
      </c>
      <c r="B48" s="128">
        <v>51.1</v>
      </c>
      <c r="C48" s="78">
        <v>7.8895463999999992E-3</v>
      </c>
      <c r="D48" s="20">
        <v>52.4</v>
      </c>
      <c r="E48" s="21">
        <f t="shared" si="14"/>
        <v>2.5440313111545931E-2</v>
      </c>
      <c r="F48" s="22">
        <f>IF(ISNUMBER(D48), $B64 * E48, "")</f>
        <v>2544.0313111545929</v>
      </c>
      <c r="G48" s="30">
        <v>55.5</v>
      </c>
      <c r="H48" s="21">
        <f t="shared" si="15"/>
        <v>8.6105675146771005E-2</v>
      </c>
      <c r="I48" s="105">
        <f>IF(ISNUMBER(G48), $B64 * H48, "")</f>
        <v>8610.5675146771009</v>
      </c>
      <c r="J48" s="20">
        <v>56</v>
      </c>
      <c r="K48" s="21">
        <f t="shared" si="16"/>
        <v>9.5890410958904077E-2</v>
      </c>
      <c r="L48" s="22">
        <f>IF(ISNUMBER(J48), $B64 * K48, "")</f>
        <v>9589.0410958904085</v>
      </c>
      <c r="M48" s="30">
        <v>56.2</v>
      </c>
      <c r="N48" s="21">
        <f t="shared" si="17"/>
        <v>9.9804305283757361E-2</v>
      </c>
      <c r="O48" s="22">
        <f>IF(ISNUMBER(M48), $B64 * N48, "")</f>
        <v>9980.4305283757367</v>
      </c>
      <c r="Q48" s="227"/>
      <c r="R48" s="227"/>
      <c r="S48" s="227"/>
    </row>
    <row r="49" spans="1:19" ht="17.25" customHeight="1" thickBot="1">
      <c r="A49" s="125" t="s">
        <v>150</v>
      </c>
      <c r="B49" s="129">
        <v>13.9</v>
      </c>
      <c r="C49" s="80">
        <v>7.2463768E-3</v>
      </c>
      <c r="D49" s="106">
        <v>13.9</v>
      </c>
      <c r="E49" s="107">
        <f>IF(ISNUMBER(D49), (D49 - $B49) / $B49, "")</f>
        <v>0</v>
      </c>
      <c r="F49" s="108">
        <f>IF(ISNUMBER(D49), $B64 * E49, "")</f>
        <v>0</v>
      </c>
      <c r="G49" s="109">
        <v>14.2</v>
      </c>
      <c r="H49" s="107">
        <f>IF(ISNUMBER(G49), (G49 - $B49) / $B49, "")</f>
        <v>2.1582733812949562E-2</v>
      </c>
      <c r="I49" s="110">
        <f>IF(ISNUMBER(G49), $B64 * H49, "")</f>
        <v>2158.2733812949564</v>
      </c>
      <c r="J49" s="106">
        <v>14.2</v>
      </c>
      <c r="K49" s="107">
        <f>IF(ISNUMBER(J49), (J49 - $B49) / $B49, "")</f>
        <v>2.1582733812949562E-2</v>
      </c>
      <c r="L49" s="108">
        <f>IF(ISNUMBER(J49), $B64 * K49, "")</f>
        <v>2158.2733812949564</v>
      </c>
      <c r="M49" s="109">
        <v>14.2</v>
      </c>
      <c r="N49" s="107">
        <f>IF(ISNUMBER(M49), (M49 - $B49) / $B49, "")</f>
        <v>2.1582733812949562E-2</v>
      </c>
      <c r="O49" s="108">
        <f>IF(ISNUMBER(M49), $B64 * N49, "")</f>
        <v>2158.2733812949564</v>
      </c>
      <c r="Q49" s="227"/>
      <c r="R49" s="227"/>
      <c r="S49" s="227"/>
    </row>
    <row r="50" spans="1:19" ht="17.25" customHeight="1" thickBot="1">
      <c r="A50" s="125" t="s">
        <v>178</v>
      </c>
      <c r="B50" s="126">
        <v>19.8</v>
      </c>
      <c r="C50" s="77">
        <v>5.0761421000000001E-3</v>
      </c>
      <c r="D50" s="15">
        <v>20</v>
      </c>
      <c r="E50" s="32">
        <f t="shared" ref="E50:E53" si="18">IF(ISNUMBER(D50), (D50 - $B50) / $B50, "")</f>
        <v>1.0101010101010065E-2</v>
      </c>
      <c r="F50" s="18">
        <f>IF(ISNUMBER(D50), $B64 * E50, "")</f>
        <v>1010.1010101010065</v>
      </c>
      <c r="G50" s="31">
        <v>20.100000000000001</v>
      </c>
      <c r="H50" s="32">
        <f t="shared" ref="H50:H53" si="19">IF(ISNUMBER(G50), (G50 - $B50) / $B50, "")</f>
        <v>1.5151515151515187E-2</v>
      </c>
      <c r="I50" s="101">
        <f>IF(ISNUMBER(G50), $B64 * H50, "")</f>
        <v>1515.1515151515187</v>
      </c>
      <c r="J50" s="15">
        <v>20.399999999999999</v>
      </c>
      <c r="K50" s="32">
        <f t="shared" ref="K50:K53" si="20">IF(ISNUMBER(J50), (J50 - $B50) / $B50, "")</f>
        <v>3.0303030303030193E-2</v>
      </c>
      <c r="L50" s="18">
        <f>IF(ISNUMBER(J50), $B64 * K50, "")</f>
        <v>3030.3030303030191</v>
      </c>
      <c r="M50" s="31">
        <v>20.399999999999999</v>
      </c>
      <c r="N50" s="32">
        <f t="shared" ref="N50:N53" si="21">IF(ISNUMBER(M50), (M50 - $B50) / $B50, "")</f>
        <v>3.0303030303030193E-2</v>
      </c>
      <c r="O50" s="18">
        <f>IF(ISNUMBER(M50), $B64 * N50, "")</f>
        <v>3030.3030303030191</v>
      </c>
      <c r="Q50" s="227"/>
      <c r="R50" s="227"/>
      <c r="S50" s="227"/>
    </row>
    <row r="51" spans="1:19" ht="17.25" customHeight="1" thickBot="1">
      <c r="A51" s="125" t="s">
        <v>148</v>
      </c>
      <c r="B51" s="126">
        <v>24.1</v>
      </c>
      <c r="C51" s="77">
        <v>4.1666667000000001E-3</v>
      </c>
      <c r="D51" s="15">
        <v>24.2</v>
      </c>
      <c r="E51" s="32">
        <f t="shared" si="18"/>
        <v>4.1493775933609074E-3</v>
      </c>
      <c r="F51" s="18">
        <f>IF(ISNUMBER(D51), $B64 * E51, "")</f>
        <v>414.93775933609072</v>
      </c>
      <c r="G51" s="31">
        <v>24.5</v>
      </c>
      <c r="H51" s="32">
        <f t="shared" si="19"/>
        <v>1.6597510373443924E-2</v>
      </c>
      <c r="I51" s="101">
        <f>IF(ISNUMBER(G51), $B64 * H51, "")</f>
        <v>1659.7510373443924</v>
      </c>
      <c r="J51" s="15">
        <v>24.5</v>
      </c>
      <c r="K51" s="32">
        <f t="shared" si="20"/>
        <v>1.6597510373443924E-2</v>
      </c>
      <c r="L51" s="18">
        <f>IF(ISNUMBER(J51), $B64 * K51, "")</f>
        <v>1659.7510373443924</v>
      </c>
      <c r="M51" s="31">
        <v>24.8</v>
      </c>
      <c r="N51" s="32">
        <f t="shared" si="21"/>
        <v>2.9045643153526941E-2</v>
      </c>
      <c r="O51" s="18">
        <f>IF(ISNUMBER(M51), $B64 * N51, "")</f>
        <v>2904.5643153526939</v>
      </c>
      <c r="Q51" s="227"/>
      <c r="R51" s="227"/>
      <c r="S51" s="227"/>
    </row>
    <row r="52" spans="1:19" ht="17.25" customHeight="1" thickBot="1">
      <c r="A52" s="125" t="s">
        <v>208</v>
      </c>
      <c r="B52" s="126">
        <v>14.7</v>
      </c>
      <c r="C52" s="77">
        <v>0</v>
      </c>
      <c r="D52" s="15">
        <v>14.5</v>
      </c>
      <c r="E52" s="32">
        <f t="shared" si="18"/>
        <v>-1.3605442176870701E-2</v>
      </c>
      <c r="F52" s="18">
        <f>IF(ISNUMBER(D52), $B64 * E52, "")</f>
        <v>-1360.5442176870702</v>
      </c>
      <c r="G52" s="31">
        <v>14.7</v>
      </c>
      <c r="H52" s="32">
        <f t="shared" si="19"/>
        <v>0</v>
      </c>
      <c r="I52" s="101">
        <f>IF(ISNUMBER(G52), $B64 * H52, "")</f>
        <v>0</v>
      </c>
      <c r="J52" s="15">
        <v>14.7</v>
      </c>
      <c r="K52" s="32">
        <f t="shared" si="20"/>
        <v>0</v>
      </c>
      <c r="L52" s="18">
        <f>IF(ISNUMBER(J52), $B64 * K52, "")</f>
        <v>0</v>
      </c>
      <c r="M52" s="31">
        <v>14.8</v>
      </c>
      <c r="N52" s="32">
        <f t="shared" si="21"/>
        <v>6.802721088435471E-3</v>
      </c>
      <c r="O52" s="18">
        <f>IF(ISNUMBER(M52), $B64 * N52, "")</f>
        <v>680.27210884354713</v>
      </c>
      <c r="Q52" s="33"/>
      <c r="R52" s="33"/>
    </row>
    <row r="53" spans="1:19" ht="17.25" customHeight="1" thickBot="1">
      <c r="A53" s="130" t="s">
        <v>202</v>
      </c>
      <c r="B53" s="131">
        <v>93.3</v>
      </c>
      <c r="C53" s="79">
        <v>-6.3897763999999999E-3</v>
      </c>
      <c r="D53" s="24">
        <v>93.3</v>
      </c>
      <c r="E53" s="25">
        <f t="shared" si="18"/>
        <v>0</v>
      </c>
      <c r="F53" s="104">
        <f>IF(ISNUMBER(D53), $B64 * E53, "")</f>
        <v>0</v>
      </c>
      <c r="G53" s="102">
        <v>93.9</v>
      </c>
      <c r="H53" s="25">
        <f t="shared" si="19"/>
        <v>6.4308681672026642E-3</v>
      </c>
      <c r="I53" s="103">
        <f>IF(ISNUMBER(G53), $B64 * H53, "")</f>
        <v>643.08681672026637</v>
      </c>
      <c r="J53" s="24">
        <v>96.2</v>
      </c>
      <c r="K53" s="25">
        <f t="shared" si="20"/>
        <v>3.1082529474812496E-2</v>
      </c>
      <c r="L53" s="104">
        <f>IF(ISNUMBER(J53), $B64 * K53, "")</f>
        <v>3108.2529474812495</v>
      </c>
      <c r="M53" s="102">
        <v>96.6</v>
      </c>
      <c r="N53" s="25">
        <f t="shared" si="21"/>
        <v>3.5369774919614121E-2</v>
      </c>
      <c r="O53" s="104">
        <f>IF(ISNUMBER(M53), $B64 * N53, "")</f>
        <v>3536.9774919614119</v>
      </c>
      <c r="Q53" s="236"/>
      <c r="R53" s="237"/>
      <c r="S53" s="238"/>
    </row>
    <row r="54" spans="1:19" ht="17.25" customHeight="1">
      <c r="A54" s="123" t="s">
        <v>234</v>
      </c>
      <c r="B54" s="124">
        <v>87</v>
      </c>
      <c r="C54" s="76">
        <v>-7.9817559999999996E-3</v>
      </c>
      <c r="D54" s="13">
        <v>87.5</v>
      </c>
      <c r="E54" s="14">
        <f>IF(ISNUMBER(D54), (D54 - $B54) / $B54, "")</f>
        <v>5.7471264367816091E-3</v>
      </c>
      <c r="F54" s="16">
        <f>IF(ISNUMBER(D54), $B64 * E54, "")</f>
        <v>574.71264367816093</v>
      </c>
      <c r="G54" s="29">
        <v>88.2</v>
      </c>
      <c r="H54" s="14">
        <f>IF(ISNUMBER(G54), (G54 - $B54) / $B54, "")</f>
        <v>1.3793103448275895E-2</v>
      </c>
      <c r="I54" s="100">
        <f>IF(ISNUMBER(G54), $B64 * H54, "")</f>
        <v>1379.3103448275895</v>
      </c>
      <c r="J54" s="13">
        <v>88.5</v>
      </c>
      <c r="K54" s="14">
        <f>IF(ISNUMBER(J54), (J54 - $B54) / $B54, "")</f>
        <v>1.7241379310344827E-2</v>
      </c>
      <c r="L54" s="16">
        <f>IF(ISNUMBER(J54), $B64 * K54, "")</f>
        <v>1724.1379310344828</v>
      </c>
      <c r="M54" s="29">
        <v>89.4</v>
      </c>
      <c r="N54" s="14">
        <f>IF(ISNUMBER(M54), (M54 - $B54) / $B54, "")</f>
        <v>2.758620689655179E-2</v>
      </c>
      <c r="O54" s="16">
        <f>IF(ISNUMBER(M54), $B64 * N54, "")</f>
        <v>2758.6206896551789</v>
      </c>
      <c r="Q54" s="239"/>
      <c r="R54" s="240"/>
      <c r="S54" s="241"/>
    </row>
    <row r="55" spans="1:19" ht="17.25" customHeight="1" thickBot="1">
      <c r="A55" s="125" t="s">
        <v>240</v>
      </c>
      <c r="B55" s="126">
        <v>74.599999999999994</v>
      </c>
      <c r="C55" s="77">
        <v>-9.2961486999999995E-3</v>
      </c>
      <c r="D55" s="15">
        <v>75.5</v>
      </c>
      <c r="E55" s="32">
        <f t="shared" ref="E55:E58" si="22">IF(ISNUMBER(D55), (D55 - $B55) / $B55, "")</f>
        <v>1.2064343163538951E-2</v>
      </c>
      <c r="F55" s="18">
        <f>IF(ISNUMBER(D55), $B64 * E55, "")</f>
        <v>1206.4343163538952</v>
      </c>
      <c r="G55" s="31">
        <v>76.599999999999994</v>
      </c>
      <c r="H55" s="32">
        <f t="shared" ref="H55:H58" si="23">IF(ISNUMBER(G55), (G55 - $B55) / $B55, "")</f>
        <v>2.6809651474530832E-2</v>
      </c>
      <c r="I55" s="101">
        <f>IF(ISNUMBER(G55), $B64 * H55, "")</f>
        <v>2680.9651474530833</v>
      </c>
      <c r="J55" s="15">
        <v>77.5</v>
      </c>
      <c r="K55" s="32">
        <f t="shared" ref="K55:K58" si="24">IF(ISNUMBER(J55), (J55 - $B55) / $B55, "")</f>
        <v>3.8873994638069787E-2</v>
      </c>
      <c r="L55" s="18">
        <f>IF(ISNUMBER(J55), $B64 * K55, "")</f>
        <v>3887.3994638069785</v>
      </c>
      <c r="M55" s="31">
        <v>77.400000000000006</v>
      </c>
      <c r="N55" s="32">
        <f t="shared" ref="N55:N58" si="25">IF(ISNUMBER(M55), (M55 - $B55) / $B55, "")</f>
        <v>3.753351206434332E-2</v>
      </c>
      <c r="O55" s="18">
        <f>IF(ISNUMBER(M55), $B64 * N55, "")</f>
        <v>3753.3512064343322</v>
      </c>
      <c r="Q55" s="242"/>
      <c r="R55" s="243"/>
      <c r="S55" s="244"/>
    </row>
    <row r="56" spans="1:19" ht="17.25" customHeight="1" thickBot="1">
      <c r="A56" s="125" t="s">
        <v>188</v>
      </c>
      <c r="B56" s="126">
        <v>13.9</v>
      </c>
      <c r="C56" s="77">
        <v>-1.4184397200000001E-2</v>
      </c>
      <c r="D56" s="15">
        <v>14.2</v>
      </c>
      <c r="E56" s="32">
        <f t="shared" si="22"/>
        <v>2.1582733812949562E-2</v>
      </c>
      <c r="F56" s="18">
        <f>IF(ISNUMBER(D56), $B64 * E56, "")</f>
        <v>2158.2733812949564</v>
      </c>
      <c r="G56" s="31">
        <v>14.2</v>
      </c>
      <c r="H56" s="32">
        <f t="shared" si="23"/>
        <v>2.1582733812949562E-2</v>
      </c>
      <c r="I56" s="101">
        <f>IF(ISNUMBER(G56), $B64 * H56, "")</f>
        <v>2158.2733812949564</v>
      </c>
      <c r="J56" s="15">
        <v>14.1</v>
      </c>
      <c r="K56" s="32">
        <f t="shared" si="24"/>
        <v>1.4388489208633042E-2</v>
      </c>
      <c r="L56" s="18">
        <f>IF(ISNUMBER(J56), $B64 * K56, "")</f>
        <v>1438.8489208633043</v>
      </c>
      <c r="M56" s="31">
        <v>14.2</v>
      </c>
      <c r="N56" s="32">
        <f t="shared" si="25"/>
        <v>2.1582733812949562E-2</v>
      </c>
      <c r="O56" s="18">
        <f>IF(ISNUMBER(M56), $B64 * N56, "")</f>
        <v>2158.2733812949564</v>
      </c>
      <c r="Q56" s="227"/>
      <c r="R56" s="227"/>
      <c r="S56" s="227"/>
    </row>
    <row r="57" spans="1:19" ht="17.25" customHeight="1" thickBot="1">
      <c r="A57" s="125" t="s">
        <v>122</v>
      </c>
      <c r="B57" s="126">
        <v>40.4</v>
      </c>
      <c r="C57" s="77">
        <v>-1.4634146299999999E-2</v>
      </c>
      <c r="D57" s="15">
        <v>40.4</v>
      </c>
      <c r="E57" s="32">
        <f t="shared" si="22"/>
        <v>0</v>
      </c>
      <c r="F57" s="18">
        <f>IF(ISNUMBER(D57), $B64 * E57, "")</f>
        <v>0</v>
      </c>
      <c r="G57" s="31">
        <v>40.6</v>
      </c>
      <c r="H57" s="32">
        <f t="shared" si="23"/>
        <v>4.9504950495050208E-3</v>
      </c>
      <c r="I57" s="101">
        <f>IF(ISNUMBER(G57), $B64 * H57, "")</f>
        <v>495.04950495050207</v>
      </c>
      <c r="J57" s="15">
        <v>40.700000000000003</v>
      </c>
      <c r="K57" s="32">
        <f t="shared" si="24"/>
        <v>7.4257425742575312E-3</v>
      </c>
      <c r="L57" s="18">
        <f>IF(ISNUMBER(J57), $B64 * K57, "")</f>
        <v>742.5742574257531</v>
      </c>
      <c r="M57" s="31">
        <v>40.6</v>
      </c>
      <c r="N57" s="32">
        <f t="shared" si="25"/>
        <v>4.9504950495050208E-3</v>
      </c>
      <c r="O57" s="18">
        <f>IF(ISNUMBER(M57), $B64 * N57, "")</f>
        <v>495.04950495050207</v>
      </c>
      <c r="Q57" s="222"/>
      <c r="R57" s="222"/>
      <c r="S57" s="222"/>
    </row>
    <row r="58" spans="1:19" ht="17.25" customHeight="1" thickBot="1">
      <c r="A58" s="127" t="s">
        <v>72</v>
      </c>
      <c r="B58" s="128">
        <v>26.5</v>
      </c>
      <c r="C58" s="78">
        <v>-1.4869888499999999E-2</v>
      </c>
      <c r="D58" s="20">
        <v>26.6</v>
      </c>
      <c r="E58" s="21">
        <f t="shared" si="22"/>
        <v>3.7735849056604312E-3</v>
      </c>
      <c r="F58" s="22">
        <f>IF(ISNUMBER(D58), $B64 * E58, "")</f>
        <v>377.35849056604314</v>
      </c>
      <c r="G58" s="30">
        <v>27.2</v>
      </c>
      <c r="H58" s="21">
        <f t="shared" si="23"/>
        <v>2.6415094339622615E-2</v>
      </c>
      <c r="I58" s="105">
        <f>IF(ISNUMBER(G58), $B64 * H58, "")</f>
        <v>2641.5094339622615</v>
      </c>
      <c r="J58" s="20">
        <v>27.3</v>
      </c>
      <c r="K58" s="21">
        <f t="shared" si="24"/>
        <v>3.0188679245283047E-2</v>
      </c>
      <c r="L58" s="22">
        <f>IF(ISNUMBER(J58), $B64 * K58, "")</f>
        <v>3018.8679245283047</v>
      </c>
      <c r="M58" s="30">
        <v>27.5</v>
      </c>
      <c r="N58" s="21">
        <f t="shared" si="25"/>
        <v>3.7735849056603772E-2</v>
      </c>
      <c r="O58" s="22">
        <f>IF(ISNUMBER(M58), $B64 * N58, "")</f>
        <v>3773.584905660377</v>
      </c>
      <c r="Q58" s="222"/>
      <c r="R58" s="222"/>
      <c r="S58" s="222"/>
    </row>
    <row r="59" spans="1:19" ht="17.25" customHeight="1" thickBot="1">
      <c r="A59" s="125" t="s">
        <v>216</v>
      </c>
      <c r="B59" s="129">
        <v>12.1</v>
      </c>
      <c r="C59" s="80">
        <v>-1.6260162599999999E-2</v>
      </c>
      <c r="D59" s="106">
        <v>12.2</v>
      </c>
      <c r="E59" s="107">
        <f>IF(ISNUMBER(D59), (D59 - $B59) / $B59, "")</f>
        <v>8.2644628099173261E-3</v>
      </c>
      <c r="F59" s="108">
        <f>IF(ISNUMBER(D59), $B64 * E59, "")</f>
        <v>826.44628099173258</v>
      </c>
      <c r="G59" s="109">
        <v>12.3</v>
      </c>
      <c r="H59" s="107">
        <f>IF(ISNUMBER(G59), (G59 - $B59) / $B59, "")</f>
        <v>1.6528925619834798E-2</v>
      </c>
      <c r="I59" s="110">
        <f>IF(ISNUMBER(G59), $B64 * H59, "")</f>
        <v>1652.8925619834797</v>
      </c>
      <c r="J59" s="106">
        <v>12.2</v>
      </c>
      <c r="K59" s="107">
        <f>IF(ISNUMBER(J59), (J59 - $B59) / $B59, "")</f>
        <v>8.2644628099173261E-3</v>
      </c>
      <c r="L59" s="108">
        <f>IF(ISNUMBER(J59), $B64 * K59, "")</f>
        <v>826.44628099173258</v>
      </c>
      <c r="M59" s="109">
        <v>12.3</v>
      </c>
      <c r="N59" s="107">
        <f>IF(ISNUMBER(M59), (M59 - $B59) / $B59, "")</f>
        <v>1.6528925619834798E-2</v>
      </c>
      <c r="O59" s="108">
        <f>IF(ISNUMBER(M59), $B64 * N59, "")</f>
        <v>1652.8925619834797</v>
      </c>
      <c r="Q59" s="227"/>
      <c r="R59" s="227"/>
      <c r="S59" s="227"/>
    </row>
    <row r="60" spans="1:19" ht="17.25" customHeight="1" thickBot="1">
      <c r="A60" s="125" t="s">
        <v>210</v>
      </c>
      <c r="B60" s="126">
        <v>17.3</v>
      </c>
      <c r="C60" s="77">
        <v>-5.9782608700000003E-2</v>
      </c>
      <c r="D60" s="15">
        <v>16.600000000000001</v>
      </c>
      <c r="E60" s="32">
        <f t="shared" ref="E60:E63" si="26">IF(ISNUMBER(D60), (D60 - $B60) / $B60, "")</f>
        <v>-4.0462427745664699E-2</v>
      </c>
      <c r="F60" s="18">
        <f>IF(ISNUMBER(D60), $B64 * E60, "")</f>
        <v>-4046.24277456647</v>
      </c>
      <c r="G60" s="31">
        <v>16.7</v>
      </c>
      <c r="H60" s="32">
        <f t="shared" ref="H60:H63" si="27">IF(ISNUMBER(G60), (G60 - $B60) / $B60, "")</f>
        <v>-3.4682080924855571E-2</v>
      </c>
      <c r="I60" s="101">
        <f>IF(ISNUMBER(G60), $B64 * H60, "")</f>
        <v>-3468.2080924855572</v>
      </c>
      <c r="J60" s="15">
        <v>16.600000000000001</v>
      </c>
      <c r="K60" s="32">
        <f t="shared" ref="K60:K63" si="28">IF(ISNUMBER(J60), (J60 - $B60) / $B60, "")</f>
        <v>-4.0462427745664699E-2</v>
      </c>
      <c r="L60" s="18">
        <f>IF(ISNUMBER(J60), $B64 * K60, "")</f>
        <v>-4046.24277456647</v>
      </c>
      <c r="M60" s="31">
        <v>16.7</v>
      </c>
      <c r="N60" s="32">
        <f t="shared" ref="N60:N63" si="29">IF(ISNUMBER(M60), (M60 - $B60) / $B60, "")</f>
        <v>-3.4682080924855571E-2</v>
      </c>
      <c r="O60" s="18">
        <f>IF(ISNUMBER(M60), $B64 * N60, "")</f>
        <v>-3468.2080924855572</v>
      </c>
      <c r="Q60" s="227"/>
      <c r="R60" s="227"/>
      <c r="S60" s="22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132" t="s">
        <v>270</v>
      </c>
      <c r="B64" s="260">
        <f>$B$37</f>
        <v>100000</v>
      </c>
      <c r="C64" s="261"/>
      <c r="D64" s="26" t="s">
        <v>271</v>
      </c>
      <c r="E64" s="27">
        <f>IF(COUNT(E44:E63), SUM(E44:E63) / COUNT(E44:E63), 0)</f>
        <v>1.2471833747768647E-2</v>
      </c>
      <c r="F64" s="28">
        <f>SUM(F44:F63)</f>
        <v>21202.117371206696</v>
      </c>
      <c r="G64" s="26" t="s">
        <v>271</v>
      </c>
      <c r="H64" s="27">
        <f>IF(COUNT(H44:H63), SUM(H44:H63) / COUNT(H44:H63), 0)</f>
        <v>2.4378930087978156E-2</v>
      </c>
      <c r="I64" s="28">
        <f>SUM(I44:I63)</f>
        <v>41444.181149562857</v>
      </c>
      <c r="J64" s="26" t="s">
        <v>271</v>
      </c>
      <c r="K64" s="27">
        <f>IF(COUNT(K44:K63), SUM(K44:K63) / COUNT(K44:K63), 0)</f>
        <v>2.5799594458990764E-2</v>
      </c>
      <c r="L64" s="28">
        <f>SUM(L44:L63)</f>
        <v>43859.310580284298</v>
      </c>
      <c r="M64" s="26" t="s">
        <v>271</v>
      </c>
      <c r="N64" s="27">
        <f>IF(COUNT(N44:N63), SUM(N44:N63) / COUNT(N44:N63), 0)</f>
        <v>2.7882923012324555E-2</v>
      </c>
      <c r="O64" s="28">
        <f>SUM(O44:O63)</f>
        <v>47400.969120951755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65" t="s">
        <v>267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55149000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2.1442459999999998E-3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2021-09-03(금) 오전 00:00</v>
      </c>
      <c r="C69" s="265"/>
      <c r="D69" s="224" t="str">
        <f>TEXT($G$1, "[$-ko-KR]yyyy-mm-dd(ddd) ") &amp; "오후 14:00"</f>
        <v>2021-09-03(금) 오후 14:00</v>
      </c>
      <c r="E69" s="225"/>
      <c r="F69" s="226"/>
      <c r="G69" s="224" t="str">
        <f>TEXT($G$1, "[$-ko-KR]yyyy-mm-dd(ddd) ") &amp; "오후 19:00"</f>
        <v>2021-09-03(금) 오후 19:00</v>
      </c>
      <c r="H69" s="225"/>
      <c r="I69" s="226"/>
      <c r="J69" s="224" t="str">
        <f>TEXT($G$1, "[$-ko-KR]yyyy-mm-dd(ddd) ") &amp; "오후 21:00"</f>
        <v>2021-09-03(금) 오후 21:00</v>
      </c>
      <c r="K69" s="225"/>
      <c r="L69" s="226"/>
      <c r="M69" s="224" t="str">
        <f>TEXT($G$1+1, "[$-ko-KR]yyyy-mm-dd(ddd) ") &amp; "오전 00:00"</f>
        <v>2021-09-04(토)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7"/>
      <c r="R70" s="227"/>
      <c r="S70" s="227"/>
    </row>
    <row r="71" spans="1:19" ht="17.25" thickBot="1">
      <c r="A71" s="123" t="s">
        <v>242</v>
      </c>
      <c r="B71" s="124">
        <v>671</v>
      </c>
      <c r="C71" s="76">
        <v>0.14897260270000001</v>
      </c>
      <c r="D71" s="13">
        <v>723</v>
      </c>
      <c r="E71" s="14">
        <f>IF(ISNUMBER(D71), (D71 - $B71) / $B71, "")</f>
        <v>7.7496274217585689E-2</v>
      </c>
      <c r="F71" s="16">
        <f>IF(ISNUMBER(D71), $B91 * E71, "")</f>
        <v>7749.6274217585687</v>
      </c>
      <c r="G71" s="29">
        <v>732</v>
      </c>
      <c r="H71" s="14">
        <f>IF(ISNUMBER(G71), (G71 - $B71) / $B71, "")</f>
        <v>9.0909090909090912E-2</v>
      </c>
      <c r="I71" s="100">
        <f>IF(ISNUMBER(G71), $B91 * H71, "")</f>
        <v>9090.9090909090919</v>
      </c>
      <c r="J71" s="13">
        <v>725</v>
      </c>
      <c r="K71" s="14">
        <f>IF(ISNUMBER(J71), (J71 - $B71) / $B71, "")</f>
        <v>8.0476900149031291E-2</v>
      </c>
      <c r="L71" s="16">
        <f>IF(ISNUMBER(J71), $B91 * K71, "")</f>
        <v>8047.6900149031289</v>
      </c>
      <c r="M71" s="29">
        <v>731</v>
      </c>
      <c r="N71" s="14">
        <f>IF(ISNUMBER(M71), (M71 - $B71) / $B71, "")</f>
        <v>8.9418777943368111E-2</v>
      </c>
      <c r="O71" s="16">
        <f>IF(ISNUMBER(M71), $B91 * N71, "")</f>
        <v>8941.8777943368113</v>
      </c>
      <c r="Q71" s="222"/>
      <c r="R71" s="222"/>
      <c r="S71" s="222"/>
    </row>
    <row r="72" spans="1:19" ht="17.25" thickBot="1">
      <c r="A72" s="125" t="s">
        <v>164</v>
      </c>
      <c r="B72" s="126">
        <v>594</v>
      </c>
      <c r="C72" s="77">
        <v>5.31914894E-2</v>
      </c>
      <c r="D72" s="15">
        <v>779</v>
      </c>
      <c r="E72" s="32">
        <f t="shared" ref="E72:E75" si="30">IF(ISNUMBER(D72), (D72 - $B72) / $B72, "")</f>
        <v>0.31144781144781147</v>
      </c>
      <c r="F72" s="18">
        <f>IF(ISNUMBER(D72), $B91 * E72, "")</f>
        <v>31144.781144781147</v>
      </c>
      <c r="G72" s="31">
        <v>835</v>
      </c>
      <c r="H72" s="32">
        <f t="shared" ref="H72:H75" si="31">IF(ISNUMBER(G72), (G72 - $B72) / $B72, "")</f>
        <v>0.40572390572390571</v>
      </c>
      <c r="I72" s="101">
        <f>IF(ISNUMBER(G72), $B91 * H72, "")</f>
        <v>40572.39057239057</v>
      </c>
      <c r="J72" s="15">
        <v>835</v>
      </c>
      <c r="K72" s="32">
        <f t="shared" ref="K72:K75" si="32">IF(ISNUMBER(J72), (J72 - $B72) / $B72, "")</f>
        <v>0.40572390572390571</v>
      </c>
      <c r="L72" s="18">
        <f>IF(ISNUMBER(J72), $B91 * K72, "")</f>
        <v>40572.39057239057</v>
      </c>
      <c r="M72" s="31">
        <v>845</v>
      </c>
      <c r="N72" s="32">
        <f t="shared" ref="N72:N75" si="33">IF(ISNUMBER(M72), (M72 - $B72) / $B72, "")</f>
        <v>0.42255892255892258</v>
      </c>
      <c r="O72" s="18">
        <f>IF(ISNUMBER(M72), $B91 * N72, "")</f>
        <v>42255.892255892257</v>
      </c>
      <c r="Q72" s="222"/>
      <c r="R72" s="222"/>
      <c r="S72" s="222"/>
    </row>
    <row r="73" spans="1:19" ht="17.25" thickBot="1">
      <c r="A73" s="125" t="s">
        <v>128</v>
      </c>
      <c r="B73" s="126">
        <v>166</v>
      </c>
      <c r="C73" s="77">
        <v>5.0632911400000001E-2</v>
      </c>
      <c r="D73" s="15">
        <v>167</v>
      </c>
      <c r="E73" s="32">
        <f t="shared" si="30"/>
        <v>6.024096385542169E-3</v>
      </c>
      <c r="F73" s="18">
        <f>IF(ISNUMBER(D73), $B91 * E73, "")</f>
        <v>602.40963855421694</v>
      </c>
      <c r="G73" s="31">
        <v>167</v>
      </c>
      <c r="H73" s="32">
        <f t="shared" si="31"/>
        <v>6.024096385542169E-3</v>
      </c>
      <c r="I73" s="101">
        <f>IF(ISNUMBER(G73), $B91 * H73, "")</f>
        <v>602.40963855421694</v>
      </c>
      <c r="J73" s="15">
        <v>167</v>
      </c>
      <c r="K73" s="32">
        <f t="shared" si="32"/>
        <v>6.024096385542169E-3</v>
      </c>
      <c r="L73" s="18">
        <f>IF(ISNUMBER(J73), $B91 * K73, "")</f>
        <v>602.40963855421694</v>
      </c>
      <c r="M73" s="31">
        <v>167</v>
      </c>
      <c r="N73" s="32">
        <f t="shared" si="33"/>
        <v>6.024096385542169E-3</v>
      </c>
      <c r="O73" s="18">
        <f>IF(ISNUMBER(M73), $B91 * N73, "")</f>
        <v>602.40963855421694</v>
      </c>
      <c r="Q73" s="227"/>
      <c r="R73" s="227"/>
      <c r="S73" s="227"/>
    </row>
    <row r="74" spans="1:19" ht="17.25" thickBot="1">
      <c r="A74" s="125" t="s">
        <v>200</v>
      </c>
      <c r="B74" s="126">
        <v>172</v>
      </c>
      <c r="C74" s="77">
        <v>4.2424242399999999E-2</v>
      </c>
      <c r="D74" s="15">
        <v>183</v>
      </c>
      <c r="E74" s="32">
        <f t="shared" si="30"/>
        <v>6.3953488372093026E-2</v>
      </c>
      <c r="F74" s="18">
        <f>IF(ISNUMBER(D74), $B91 * E74, "")</f>
        <v>6395.3488372093025</v>
      </c>
      <c r="G74" s="31">
        <v>189</v>
      </c>
      <c r="H74" s="32">
        <f t="shared" si="31"/>
        <v>9.8837209302325577E-2</v>
      </c>
      <c r="I74" s="101">
        <f>IF(ISNUMBER(G74), $B91 * H74, "")</f>
        <v>9883.7209302325573</v>
      </c>
      <c r="J74" s="15">
        <v>195</v>
      </c>
      <c r="K74" s="32">
        <f t="shared" si="32"/>
        <v>0.13372093023255813</v>
      </c>
      <c r="L74" s="18">
        <f>IF(ISNUMBER(J74), $B91 * K74, "")</f>
        <v>13372.093023255813</v>
      </c>
      <c r="M74" s="31">
        <v>189</v>
      </c>
      <c r="N74" s="32">
        <f t="shared" si="33"/>
        <v>9.8837209302325577E-2</v>
      </c>
      <c r="O74" s="18">
        <f>IF(ISNUMBER(M74), $B91 * N74, "")</f>
        <v>9883.7209302325573</v>
      </c>
      <c r="Q74" s="227"/>
      <c r="R74" s="227"/>
      <c r="S74" s="227"/>
    </row>
    <row r="75" spans="1:19" ht="17.25" thickBot="1">
      <c r="A75" s="127" t="s">
        <v>152</v>
      </c>
      <c r="B75" s="128">
        <v>113</v>
      </c>
      <c r="C75" s="78">
        <v>3.6697247699999998E-2</v>
      </c>
      <c r="D75" s="20">
        <v>121</v>
      </c>
      <c r="E75" s="21">
        <f t="shared" si="30"/>
        <v>7.0796460176991149E-2</v>
      </c>
      <c r="F75" s="22">
        <f>IF(ISNUMBER(D75), $B91 * E75, "")</f>
        <v>7079.646017699115</v>
      </c>
      <c r="G75" s="30">
        <v>122</v>
      </c>
      <c r="H75" s="21">
        <f t="shared" si="31"/>
        <v>7.9646017699115043E-2</v>
      </c>
      <c r="I75" s="105">
        <f>IF(ISNUMBER(G75), $B91 * H75, "")</f>
        <v>7964.6017699115046</v>
      </c>
      <c r="J75" s="20">
        <v>121</v>
      </c>
      <c r="K75" s="21">
        <f t="shared" si="32"/>
        <v>7.0796460176991149E-2</v>
      </c>
      <c r="L75" s="22">
        <f>IF(ISNUMBER(J75), $B91 * K75, "")</f>
        <v>7079.646017699115</v>
      </c>
      <c r="M75" s="30">
        <v>117</v>
      </c>
      <c r="N75" s="21">
        <f t="shared" si="33"/>
        <v>3.5398230088495575E-2</v>
      </c>
      <c r="O75" s="22">
        <f>IF(ISNUMBER(M75), $B91 * N75, "")</f>
        <v>3539.8230088495575</v>
      </c>
      <c r="Q75" s="227"/>
      <c r="R75" s="227"/>
      <c r="S75" s="227"/>
    </row>
    <row r="76" spans="1:19" ht="17.25" thickBot="1">
      <c r="A76" s="125" t="s">
        <v>230</v>
      </c>
      <c r="B76" s="129">
        <v>417</v>
      </c>
      <c r="C76" s="80">
        <v>3.2178217799999999E-2</v>
      </c>
      <c r="D76" s="106">
        <v>415</v>
      </c>
      <c r="E76" s="107">
        <f>IF(ISNUMBER(D76), (D76 - $B76) / $B76, "")</f>
        <v>-4.7961630695443642E-3</v>
      </c>
      <c r="F76" s="108">
        <f>IF(ISNUMBER(D76), $B91 * E76, "")</f>
        <v>-479.61630695443642</v>
      </c>
      <c r="G76" s="109">
        <v>418</v>
      </c>
      <c r="H76" s="107">
        <f>IF(ISNUMBER(G76), (G76 - $B76) / $B76, "")</f>
        <v>2.3980815347721821E-3</v>
      </c>
      <c r="I76" s="110">
        <f>IF(ISNUMBER(G76), $B91 * H76, "")</f>
        <v>239.80815347721821</v>
      </c>
      <c r="J76" s="106">
        <v>415</v>
      </c>
      <c r="K76" s="107">
        <f>IF(ISNUMBER(J76), (J76 - $B76) / $B76, "")</f>
        <v>-4.7961630695443642E-3</v>
      </c>
      <c r="L76" s="108">
        <f>IF(ISNUMBER(J76), $B91 * K76, "")</f>
        <v>-479.61630695443642</v>
      </c>
      <c r="M76" s="109">
        <v>416</v>
      </c>
      <c r="N76" s="107">
        <f>IF(ISNUMBER(M76), (M76 - $B76) / $B76, "")</f>
        <v>-2.3980815347721821E-3</v>
      </c>
      <c r="O76" s="108">
        <f>IF(ISNUMBER(M76), $B91 * N76, "")</f>
        <v>-239.80815347721821</v>
      </c>
      <c r="Q76" s="227"/>
      <c r="R76" s="227"/>
      <c r="S76" s="227"/>
    </row>
    <row r="77" spans="1:19" ht="17.25" thickBot="1">
      <c r="A77" s="125" t="s">
        <v>218</v>
      </c>
      <c r="B77" s="126">
        <v>145</v>
      </c>
      <c r="C77" s="77">
        <v>2.83687943E-2</v>
      </c>
      <c r="D77" s="15">
        <v>149</v>
      </c>
      <c r="E77" s="32">
        <f t="shared" ref="E77:E80" si="34">IF(ISNUMBER(D77), (D77 - $B77) / $B77, "")</f>
        <v>2.7586206896551724E-2</v>
      </c>
      <c r="F77" s="18">
        <f>IF(ISNUMBER(D77), $B91 * E77, "")</f>
        <v>2758.6206896551726</v>
      </c>
      <c r="G77" s="31">
        <v>150</v>
      </c>
      <c r="H77" s="32">
        <f t="shared" ref="H77:H80" si="35">IF(ISNUMBER(G77), (G77 - $B77) / $B77, "")</f>
        <v>3.4482758620689655E-2</v>
      </c>
      <c r="I77" s="101">
        <f>IF(ISNUMBER(G77), $B91 * H77, "")</f>
        <v>3448.2758620689656</v>
      </c>
      <c r="J77" s="15">
        <v>151</v>
      </c>
      <c r="K77" s="32">
        <f t="shared" ref="K77:K80" si="36">IF(ISNUMBER(J77), (J77 - $B77) / $B77, "")</f>
        <v>4.1379310344827586E-2</v>
      </c>
      <c r="L77" s="18">
        <f>IF(ISNUMBER(J77), $B91 * K77, "")</f>
        <v>4137.9310344827582</v>
      </c>
      <c r="M77" s="31">
        <v>151</v>
      </c>
      <c r="N77" s="32">
        <f t="shared" ref="N77:N80" si="37">IF(ISNUMBER(M77), (M77 - $B77) / $B77, "")</f>
        <v>4.1379310344827586E-2</v>
      </c>
      <c r="O77" s="18">
        <f>IF(ISNUMBER(M77), $B91 * N77, "")</f>
        <v>4137.9310344827582</v>
      </c>
      <c r="Q77" s="227"/>
      <c r="R77" s="227"/>
      <c r="S77" s="227"/>
    </row>
    <row r="78" spans="1:19" ht="17.25" thickBot="1">
      <c r="A78" s="125" t="s">
        <v>130</v>
      </c>
      <c r="B78" s="126">
        <v>140</v>
      </c>
      <c r="C78" s="77">
        <v>2.1897810199999999E-2</v>
      </c>
      <c r="D78" s="15">
        <v>142</v>
      </c>
      <c r="E78" s="32">
        <f t="shared" si="34"/>
        <v>1.4285714285714285E-2</v>
      </c>
      <c r="F78" s="18">
        <f>IF(ISNUMBER(D78), $B91 * E78, "")</f>
        <v>1428.5714285714284</v>
      </c>
      <c r="G78" s="31">
        <v>143</v>
      </c>
      <c r="H78" s="32">
        <f t="shared" si="35"/>
        <v>2.1428571428571429E-2</v>
      </c>
      <c r="I78" s="101">
        <f>IF(ISNUMBER(G78), $B91 * H78, "")</f>
        <v>2142.8571428571427</v>
      </c>
      <c r="J78" s="15">
        <v>150</v>
      </c>
      <c r="K78" s="32">
        <f t="shared" si="36"/>
        <v>7.1428571428571425E-2</v>
      </c>
      <c r="L78" s="18">
        <f>IF(ISNUMBER(J78), $B91 * K78, "")</f>
        <v>7142.8571428571422</v>
      </c>
      <c r="M78" s="31">
        <v>147</v>
      </c>
      <c r="N78" s="32">
        <f t="shared" si="37"/>
        <v>0.05</v>
      </c>
      <c r="O78" s="18">
        <f>IF(ISNUMBER(M78), $B91 * N78, "")</f>
        <v>5000</v>
      </c>
      <c r="Q78" s="227"/>
      <c r="R78" s="227"/>
      <c r="S78" s="227"/>
    </row>
    <row r="79" spans="1:19" ht="17.25" thickBot="1">
      <c r="A79" s="125" t="s">
        <v>206</v>
      </c>
      <c r="B79" s="126">
        <v>439</v>
      </c>
      <c r="C79" s="77">
        <v>1.8561484900000001E-2</v>
      </c>
      <c r="D79" s="15">
        <v>451</v>
      </c>
      <c r="E79" s="32">
        <f t="shared" si="34"/>
        <v>2.7334851936218679E-2</v>
      </c>
      <c r="F79" s="18">
        <f>IF(ISNUMBER(D79), $B91 * E79, "")</f>
        <v>2733.4851936218679</v>
      </c>
      <c r="G79" s="31">
        <v>495</v>
      </c>
      <c r="H79" s="32">
        <f t="shared" si="35"/>
        <v>0.12756264236902051</v>
      </c>
      <c r="I79" s="101">
        <f>IF(ISNUMBER(G79), $B91 * H79, "")</f>
        <v>12756.26423690205</v>
      </c>
      <c r="J79" s="15">
        <v>535</v>
      </c>
      <c r="K79" s="32">
        <f t="shared" si="36"/>
        <v>0.21867881548974943</v>
      </c>
      <c r="L79" s="18">
        <f>IF(ISNUMBER(J79), $B91 * K79, "")</f>
        <v>21867.881548974943</v>
      </c>
      <c r="M79" s="31">
        <v>555</v>
      </c>
      <c r="N79" s="32">
        <f t="shared" si="37"/>
        <v>0.26423690205011391</v>
      </c>
      <c r="O79" s="18">
        <f>IF(ISNUMBER(M79), $B91 * N79, "")</f>
        <v>26423.690205011389</v>
      </c>
      <c r="Q79" s="33"/>
      <c r="R79" s="33"/>
    </row>
    <row r="80" spans="1:19" ht="17.25" thickBot="1">
      <c r="A80" s="130" t="s">
        <v>220</v>
      </c>
      <c r="B80" s="131">
        <v>234</v>
      </c>
      <c r="C80" s="79">
        <v>1.73913043E-2</v>
      </c>
      <c r="D80" s="24">
        <v>233</v>
      </c>
      <c r="E80" s="25">
        <f t="shared" si="34"/>
        <v>-4.2735042735042739E-3</v>
      </c>
      <c r="F80" s="104">
        <f>IF(ISNUMBER(D80), $B91 * E80, "")</f>
        <v>-427.35042735042737</v>
      </c>
      <c r="G80" s="102">
        <v>237</v>
      </c>
      <c r="H80" s="25">
        <f t="shared" si="35"/>
        <v>1.282051282051282E-2</v>
      </c>
      <c r="I80" s="103">
        <f>IF(ISNUMBER(G80), $B91 * H80, "")</f>
        <v>1282.051282051282</v>
      </c>
      <c r="J80" s="24">
        <v>237</v>
      </c>
      <c r="K80" s="25">
        <f t="shared" si="36"/>
        <v>1.282051282051282E-2</v>
      </c>
      <c r="L80" s="104">
        <f>IF(ISNUMBER(J80), $B91 * K80, "")</f>
        <v>1282.051282051282</v>
      </c>
      <c r="M80" s="102">
        <v>237</v>
      </c>
      <c r="N80" s="25">
        <f t="shared" si="37"/>
        <v>1.282051282051282E-2</v>
      </c>
      <c r="O80" s="104">
        <f>IF(ISNUMBER(M80), $B91 * N80, "")</f>
        <v>1282.051282051282</v>
      </c>
      <c r="Q80" s="236"/>
      <c r="R80" s="237"/>
      <c r="S80" s="238"/>
    </row>
    <row r="81" spans="1:19">
      <c r="A81" s="123" t="s">
        <v>162</v>
      </c>
      <c r="B81" s="124">
        <v>118</v>
      </c>
      <c r="C81" s="76">
        <v>1.7241379300000002E-2</v>
      </c>
      <c r="D81" s="13">
        <v>120</v>
      </c>
      <c r="E81" s="14">
        <f>IF(ISNUMBER(D81), (D81 - $B81) / $B81, "")</f>
        <v>1.6949152542372881E-2</v>
      </c>
      <c r="F81" s="16">
        <f>IF(ISNUMBER(D81), $B91 * E81, "")</f>
        <v>1694.9152542372881</v>
      </c>
      <c r="G81" s="29">
        <v>120</v>
      </c>
      <c r="H81" s="14">
        <f>IF(ISNUMBER(G81), (G81 - $B81) / $B81, "")</f>
        <v>1.6949152542372881E-2</v>
      </c>
      <c r="I81" s="100">
        <f>IF(ISNUMBER(G81), $B91 * H81, "")</f>
        <v>1694.9152542372881</v>
      </c>
      <c r="J81" s="13">
        <v>120</v>
      </c>
      <c r="K81" s="14">
        <f>IF(ISNUMBER(J81), (J81 - $B81) / $B81, "")</f>
        <v>1.6949152542372881E-2</v>
      </c>
      <c r="L81" s="16">
        <f>IF(ISNUMBER(J81), $B91 * K81, "")</f>
        <v>1694.9152542372881</v>
      </c>
      <c r="M81" s="29">
        <v>121</v>
      </c>
      <c r="N81" s="14">
        <f>IF(ISNUMBER(M81), (M81 - $B81) / $B81, "")</f>
        <v>2.5423728813559324E-2</v>
      </c>
      <c r="O81" s="16">
        <f>IF(ISNUMBER(M81), $B91 * N81, "")</f>
        <v>2542.3728813559323</v>
      </c>
      <c r="Q81" s="239"/>
      <c r="R81" s="240"/>
      <c r="S81" s="241"/>
    </row>
    <row r="82" spans="1:19" ht="17.25" thickBot="1">
      <c r="A82" s="125" t="s">
        <v>51</v>
      </c>
      <c r="B82" s="126">
        <v>416</v>
      </c>
      <c r="C82" s="77">
        <v>1.71149144E-2</v>
      </c>
      <c r="D82" s="15">
        <v>421</v>
      </c>
      <c r="E82" s="32">
        <f t="shared" ref="E82:E85" si="38">IF(ISNUMBER(D82), (D82 - $B82) / $B82, "")</f>
        <v>1.201923076923077E-2</v>
      </c>
      <c r="F82" s="18">
        <f>IF(ISNUMBER(D82), $B91 * E82, "")</f>
        <v>1201.9230769230769</v>
      </c>
      <c r="G82" s="31">
        <v>424</v>
      </c>
      <c r="H82" s="32">
        <f t="shared" ref="H82:H85" si="39">IF(ISNUMBER(G82), (G82 - $B82) / $B82, "")</f>
        <v>1.9230769230769232E-2</v>
      </c>
      <c r="I82" s="101">
        <f>IF(ISNUMBER(G82), $B91 * H82, "")</f>
        <v>1923.0769230769231</v>
      </c>
      <c r="J82" s="15">
        <v>421</v>
      </c>
      <c r="K82" s="32">
        <f t="shared" ref="K82:K85" si="40">IF(ISNUMBER(J82), (J82 - $B82) / $B82, "")</f>
        <v>1.201923076923077E-2</v>
      </c>
      <c r="L82" s="18">
        <f>IF(ISNUMBER(J82), $B91 * K82, "")</f>
        <v>1201.9230769230769</v>
      </c>
      <c r="M82" s="31">
        <v>429</v>
      </c>
      <c r="N82" s="32">
        <f t="shared" ref="N82:N85" si="41">IF(ISNUMBER(M82), (M82 - $B82) / $B82, "")</f>
        <v>3.125E-2</v>
      </c>
      <c r="O82" s="18">
        <f>IF(ISNUMBER(M82), $B91 * N82, "")</f>
        <v>3125</v>
      </c>
      <c r="Q82" s="242"/>
      <c r="R82" s="243"/>
      <c r="S82" s="244"/>
    </row>
    <row r="83" spans="1:19" ht="17.25" thickBot="1">
      <c r="A83" s="125" t="s">
        <v>174</v>
      </c>
      <c r="B83" s="126">
        <v>399</v>
      </c>
      <c r="C83" s="77">
        <v>1.52671756E-2</v>
      </c>
      <c r="D83" s="15">
        <v>421</v>
      </c>
      <c r="E83" s="32">
        <f t="shared" si="38"/>
        <v>5.5137844611528819E-2</v>
      </c>
      <c r="F83" s="18">
        <f>IF(ISNUMBER(D83), $B91 * E83, "")</f>
        <v>5513.7844611528817</v>
      </c>
      <c r="G83" s="31">
        <v>423</v>
      </c>
      <c r="H83" s="32">
        <f t="shared" si="39"/>
        <v>6.0150375939849621E-2</v>
      </c>
      <c r="I83" s="101">
        <f>IF(ISNUMBER(G83), $B91 * H83, "")</f>
        <v>6015.0375939849619</v>
      </c>
      <c r="J83" s="15">
        <v>441</v>
      </c>
      <c r="K83" s="32">
        <f t="shared" si="40"/>
        <v>0.10526315789473684</v>
      </c>
      <c r="L83" s="18">
        <f>IF(ISNUMBER(J83), $B91 * K83, "")</f>
        <v>10526.315789473683</v>
      </c>
      <c r="M83" s="31">
        <v>442</v>
      </c>
      <c r="N83" s="32">
        <f t="shared" si="41"/>
        <v>0.10776942355889724</v>
      </c>
      <c r="O83" s="18">
        <f>IF(ISNUMBER(M83), $B91 * N83, "")</f>
        <v>10776.942355889723</v>
      </c>
      <c r="Q83" s="227"/>
      <c r="R83" s="227"/>
      <c r="S83" s="227"/>
    </row>
    <row r="84" spans="1:19" ht="17.25" thickBot="1">
      <c r="A84" s="125" t="s">
        <v>266</v>
      </c>
      <c r="B84" s="126">
        <v>345</v>
      </c>
      <c r="C84" s="77">
        <v>1.47058824E-2</v>
      </c>
      <c r="D84" s="15">
        <v>345</v>
      </c>
      <c r="E84" s="32">
        <f t="shared" si="38"/>
        <v>0</v>
      </c>
      <c r="F84" s="18">
        <f>IF(ISNUMBER(D84), $B91 * E84, "")</f>
        <v>0</v>
      </c>
      <c r="G84" s="31">
        <v>347</v>
      </c>
      <c r="H84" s="32">
        <f t="shared" si="39"/>
        <v>5.7971014492753624E-3</v>
      </c>
      <c r="I84" s="101">
        <f>IF(ISNUMBER(G84), $B91 * H84, "")</f>
        <v>579.71014492753625</v>
      </c>
      <c r="J84" s="15">
        <v>346</v>
      </c>
      <c r="K84" s="32">
        <f t="shared" si="40"/>
        <v>2.8985507246376812E-3</v>
      </c>
      <c r="L84" s="18">
        <f>IF(ISNUMBER(J84), $B91 * K84, "")</f>
        <v>289.85507246376812</v>
      </c>
      <c r="M84" s="31">
        <v>348</v>
      </c>
      <c r="N84" s="32">
        <f t="shared" si="41"/>
        <v>8.6956521739130436E-3</v>
      </c>
      <c r="O84" s="18">
        <f>IF(ISNUMBER(M84), $B91 * N84, "")</f>
        <v>869.56521739130437</v>
      </c>
      <c r="Q84" s="222"/>
      <c r="R84" s="222"/>
      <c r="S84" s="222"/>
    </row>
    <row r="85" spans="1:19" ht="17.25" thickBot="1">
      <c r="A85" s="127" t="s">
        <v>54</v>
      </c>
      <c r="B85" s="128">
        <v>310</v>
      </c>
      <c r="C85" s="78">
        <v>1.30718954E-2</v>
      </c>
      <c r="D85" s="20">
        <v>317</v>
      </c>
      <c r="E85" s="21">
        <f t="shared" si="38"/>
        <v>2.2580645161290321E-2</v>
      </c>
      <c r="F85" s="22">
        <f>IF(ISNUMBER(D85), $B91 * E85, "")</f>
        <v>2258.0645161290322</v>
      </c>
      <c r="G85" s="30">
        <v>317</v>
      </c>
      <c r="H85" s="21">
        <f t="shared" si="39"/>
        <v>2.2580645161290321E-2</v>
      </c>
      <c r="I85" s="105">
        <f>IF(ISNUMBER(G85), $B91 * H85, "")</f>
        <v>2258.0645161290322</v>
      </c>
      <c r="J85" s="20">
        <v>317</v>
      </c>
      <c r="K85" s="21">
        <f t="shared" si="40"/>
        <v>2.2580645161290321E-2</v>
      </c>
      <c r="L85" s="22">
        <f>IF(ISNUMBER(J85), $B91 * K85, "")</f>
        <v>2258.0645161290322</v>
      </c>
      <c r="M85" s="30">
        <v>318</v>
      </c>
      <c r="N85" s="21">
        <f t="shared" si="41"/>
        <v>2.5806451612903226E-2</v>
      </c>
      <c r="O85" s="22">
        <f>IF(ISNUMBER(M85), $B91 * N85, "")</f>
        <v>2580.6451612903224</v>
      </c>
      <c r="Q85" s="222"/>
      <c r="R85" s="222"/>
      <c r="S85" s="222"/>
    </row>
    <row r="86" spans="1:19" ht="17.25" thickBot="1">
      <c r="A86" s="125" t="s">
        <v>138</v>
      </c>
      <c r="B86" s="129">
        <v>400</v>
      </c>
      <c r="C86" s="80">
        <v>1.01010101E-2</v>
      </c>
      <c r="D86" s="106">
        <v>401</v>
      </c>
      <c r="E86" s="107">
        <f>IF(ISNUMBER(D86), (D86 - $B86) / $B86, "")</f>
        <v>2.5000000000000001E-3</v>
      </c>
      <c r="F86" s="108">
        <f>IF(ISNUMBER(D86), $B91 * E86, "")</f>
        <v>250</v>
      </c>
      <c r="G86" s="109">
        <v>407</v>
      </c>
      <c r="H86" s="107">
        <f>IF(ISNUMBER(G86), (G86 - $B86) / $B86, "")</f>
        <v>1.7500000000000002E-2</v>
      </c>
      <c r="I86" s="110">
        <f>IF(ISNUMBER(G86), $B91 * H86, "")</f>
        <v>1750.0000000000002</v>
      </c>
      <c r="J86" s="106">
        <v>409</v>
      </c>
      <c r="K86" s="107">
        <f>IF(ISNUMBER(J86), (J86 - $B86) / $B86, "")</f>
        <v>2.2499999999999999E-2</v>
      </c>
      <c r="L86" s="108">
        <f>IF(ISNUMBER(J86), $B91 * K86, "")</f>
        <v>2250</v>
      </c>
      <c r="M86" s="109">
        <v>418</v>
      </c>
      <c r="N86" s="107">
        <f>IF(ISNUMBER(M86), (M86 - $B86) / $B86, "")</f>
        <v>4.4999999999999998E-2</v>
      </c>
      <c r="O86" s="108">
        <f>IF(ISNUMBER(M86), $B91 * N86, "")</f>
        <v>4500</v>
      </c>
      <c r="Q86" s="227"/>
      <c r="R86" s="227"/>
      <c r="S86" s="227"/>
    </row>
    <row r="87" spans="1:19" ht="17.25" thickBot="1">
      <c r="A87" s="125" t="s">
        <v>232</v>
      </c>
      <c r="B87" s="126">
        <v>663</v>
      </c>
      <c r="C87" s="77">
        <v>9.1324201000000001E-3</v>
      </c>
      <c r="D87" s="15">
        <v>707</v>
      </c>
      <c r="E87" s="32">
        <f t="shared" ref="E87:E90" si="42">IF(ISNUMBER(D87), (D87 - $B87) / $B87, "")</f>
        <v>6.636500754147813E-2</v>
      </c>
      <c r="F87" s="18">
        <f>IF(ISNUMBER(D87), $B91 * E87, "")</f>
        <v>6636.5007541478126</v>
      </c>
      <c r="G87" s="31">
        <v>725</v>
      </c>
      <c r="H87" s="32">
        <f t="shared" ref="H87:H90" si="43">IF(ISNUMBER(G87), (G87 - $B87) / $B87, "")</f>
        <v>9.3514328808446456E-2</v>
      </c>
      <c r="I87" s="101">
        <f>IF(ISNUMBER(G87), $B91 * H87, "")</f>
        <v>9351.4328808446462</v>
      </c>
      <c r="J87" s="15">
        <v>743</v>
      </c>
      <c r="K87" s="32">
        <f t="shared" ref="K87:K90" si="44">IF(ISNUMBER(J87), (J87 - $B87) / $B87, "")</f>
        <v>0.12066365007541478</v>
      </c>
      <c r="L87" s="18">
        <f>IF(ISNUMBER(J87), $B91 * K87, "")</f>
        <v>12066.365007541479</v>
      </c>
      <c r="M87" s="31">
        <v>743</v>
      </c>
      <c r="N87" s="32">
        <f t="shared" ref="N87:N90" si="45">IF(ISNUMBER(M87), (M87 - $B87) / $B87, "")</f>
        <v>0.12066365007541478</v>
      </c>
      <c r="O87" s="18">
        <f>IF(ISNUMBER(M87), $B91 * N87, "")</f>
        <v>12066.365007541479</v>
      </c>
      <c r="Q87" s="227"/>
      <c r="R87" s="227"/>
      <c r="S87" s="227"/>
    </row>
    <row r="88" spans="1:19" ht="17.25" thickBot="1">
      <c r="A88" s="125" t="s">
        <v>144</v>
      </c>
      <c r="B88" s="126">
        <v>123</v>
      </c>
      <c r="C88" s="77">
        <v>8.1967212999999994E-3</v>
      </c>
      <c r="D88" s="15">
        <v>124</v>
      </c>
      <c r="E88" s="32">
        <f t="shared" si="42"/>
        <v>8.130081300813009E-3</v>
      </c>
      <c r="F88" s="18">
        <f>IF(ISNUMBER(D88), $B91 * E88, "")</f>
        <v>813.00813008130092</v>
      </c>
      <c r="G88" s="31">
        <v>125</v>
      </c>
      <c r="H88" s="32">
        <f t="shared" si="43"/>
        <v>1.6260162601626018E-2</v>
      </c>
      <c r="I88" s="101">
        <f>IF(ISNUMBER(G88), $B91 * H88, "")</f>
        <v>1626.0162601626018</v>
      </c>
      <c r="J88" s="15">
        <v>124</v>
      </c>
      <c r="K88" s="32">
        <f t="shared" si="44"/>
        <v>8.130081300813009E-3</v>
      </c>
      <c r="L88" s="18">
        <f>IF(ISNUMBER(J88), $B91 * K88, "")</f>
        <v>813.00813008130092</v>
      </c>
      <c r="M88" s="31">
        <v>125</v>
      </c>
      <c r="N88" s="32">
        <f t="shared" si="45"/>
        <v>1.6260162601626018E-2</v>
      </c>
      <c r="O88" s="18">
        <f>IF(ISNUMBER(M88), $B91 * N88, "")</f>
        <v>1626.0162601626018</v>
      </c>
      <c r="Q88" s="227"/>
      <c r="R88" s="227"/>
      <c r="S88" s="227"/>
    </row>
    <row r="89" spans="1:19">
      <c r="A89" s="125" t="s">
        <v>238</v>
      </c>
      <c r="B89" s="126">
        <v>127</v>
      </c>
      <c r="C89" s="77">
        <v>7.9365079000000005E-3</v>
      </c>
      <c r="D89" s="15">
        <v>130</v>
      </c>
      <c r="E89" s="32">
        <f t="shared" si="42"/>
        <v>2.3622047244094488E-2</v>
      </c>
      <c r="F89" s="18">
        <f>IF(ISNUMBER(D89), $B91 * E89, "")</f>
        <v>2362.2047244094488</v>
      </c>
      <c r="G89" s="31">
        <v>130</v>
      </c>
      <c r="H89" s="32">
        <f t="shared" si="43"/>
        <v>2.3622047244094488E-2</v>
      </c>
      <c r="I89" s="101">
        <f>IF(ISNUMBER(G89), $B91 * H89, "")</f>
        <v>2362.2047244094488</v>
      </c>
      <c r="J89" s="15">
        <v>131</v>
      </c>
      <c r="K89" s="32">
        <f t="shared" si="44"/>
        <v>3.1496062992125984E-2</v>
      </c>
      <c r="L89" s="18">
        <f>IF(ISNUMBER(J89), $B91 * K89, "")</f>
        <v>3149.6062992125985</v>
      </c>
      <c r="M89" s="31">
        <v>135</v>
      </c>
      <c r="N89" s="32">
        <f t="shared" si="45"/>
        <v>6.2992125984251968E-2</v>
      </c>
      <c r="O89" s="18">
        <f>IF(ISNUMBER(M89), $B91 * N89, "")</f>
        <v>6299.212598425197</v>
      </c>
      <c r="Q89" s="249"/>
      <c r="R89" s="250"/>
      <c r="S89" s="251"/>
    </row>
    <row r="90" spans="1:19" ht="17.25" thickBot="1">
      <c r="A90" s="130" t="s">
        <v>124</v>
      </c>
      <c r="B90" s="131">
        <v>410</v>
      </c>
      <c r="C90" s="79">
        <v>7.3710073999999999E-3</v>
      </c>
      <c r="D90" s="24">
        <v>419</v>
      </c>
      <c r="E90" s="25">
        <f t="shared" si="42"/>
        <v>2.1951219512195121E-2</v>
      </c>
      <c r="F90" s="104">
        <f>IF(ISNUMBER(D90), $B91 * E90, "")</f>
        <v>2195.1219512195121</v>
      </c>
      <c r="G90" s="102">
        <v>428</v>
      </c>
      <c r="H90" s="25">
        <f t="shared" si="43"/>
        <v>4.3902439024390241E-2</v>
      </c>
      <c r="I90" s="103">
        <f>IF(ISNUMBER(G90), $B91 * H90, "")</f>
        <v>4390.2439024390242</v>
      </c>
      <c r="J90" s="24">
        <v>432</v>
      </c>
      <c r="K90" s="25">
        <f t="shared" si="44"/>
        <v>5.3658536585365853E-2</v>
      </c>
      <c r="L90" s="104">
        <f>IF(ISNUMBER(J90), $B91 * K90, "")</f>
        <v>5365.8536585365855</v>
      </c>
      <c r="M90" s="102">
        <v>432</v>
      </c>
      <c r="N90" s="25">
        <f t="shared" si="45"/>
        <v>5.3658536585365853E-2</v>
      </c>
      <c r="O90" s="104">
        <f>IF(ISNUMBER(M90), $B91 * N90, "")</f>
        <v>5365.8536585365855</v>
      </c>
      <c r="Q90" s="252"/>
      <c r="R90" s="253"/>
      <c r="S90" s="254"/>
    </row>
    <row r="91" spans="1:19" ht="17.25" thickBot="1">
      <c r="A91" s="132" t="s">
        <v>270</v>
      </c>
      <c r="B91" s="260">
        <f>$B$37</f>
        <v>100000</v>
      </c>
      <c r="C91" s="261"/>
      <c r="D91" s="26" t="s">
        <v>271</v>
      </c>
      <c r="E91" s="27">
        <f>IF(COUNT(E71:E90), SUM(E71:E90) / COUNT(E71:E90), 0)</f>
        <v>4.0955523252923155E-2</v>
      </c>
      <c r="F91" s="28">
        <f>SUM(F71:F90)</f>
        <v>81911.046505846301</v>
      </c>
      <c r="G91" s="26" t="s">
        <v>271</v>
      </c>
      <c r="H91" s="27">
        <f>IF(COUNT(H71:H90), SUM(H71:H90) / COUNT(H71:H90), 0)</f>
        <v>5.9966995439783025E-2</v>
      </c>
      <c r="I91" s="28">
        <f>SUM(I71:I90)</f>
        <v>119933.99087956606</v>
      </c>
      <c r="J91" s="26" t="s">
        <v>271</v>
      </c>
      <c r="K91" s="27">
        <f>IF(COUNT(K71:K90), SUM(K71:K90) / COUNT(K71:K90), 0)</f>
        <v>7.1620620386406667E-2</v>
      </c>
      <c r="L91" s="28">
        <f>SUM(L71:L90)</f>
        <v>143241.24077281335</v>
      </c>
      <c r="M91" s="26" t="s">
        <v>271</v>
      </c>
      <c r="N91" s="27">
        <f>IF(COUNT(N71:N90), SUM(N71:N90) / COUNT(N71:N90), 0)</f>
        <v>7.5789780568263382E-2</v>
      </c>
      <c r="O91" s="28">
        <f>SUM(O71:O90)</f>
        <v>151579.56113652675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65" t="s">
        <v>267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55149000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2.1442459999999998E-3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2021-09-03(금) 오전 00:00</v>
      </c>
      <c r="C96" s="265"/>
      <c r="D96" s="224" t="str">
        <f>TEXT($G$1, "[$-ko-KR]yyyy-mm-dd(ddd) ") &amp; "오후 14:00"</f>
        <v>2021-09-03(금) 오후 14:00</v>
      </c>
      <c r="E96" s="225"/>
      <c r="F96" s="226"/>
      <c r="G96" s="224" t="str">
        <f>TEXT($G$1, "[$-ko-KR]yyyy-mm-dd(ddd) ") &amp; "오후 19:00"</f>
        <v>2021-09-03(금) 오후 19:00</v>
      </c>
      <c r="H96" s="225"/>
      <c r="I96" s="226"/>
      <c r="J96" s="224" t="str">
        <f>TEXT($G$1, "[$-ko-KR]yyyy-mm-dd(ddd) ") &amp; "오후 21:00"</f>
        <v>2021-09-03(금) 오후 21:00</v>
      </c>
      <c r="K96" s="225"/>
      <c r="L96" s="226"/>
      <c r="M96" s="224" t="str">
        <f>TEXT($G$1+1, "[$-ko-KR]yyyy-mm-dd(ddd) ") &amp; "오전 00:00"</f>
        <v>2021-09-04(토)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7"/>
      <c r="R97" s="227"/>
      <c r="S97" s="227"/>
    </row>
    <row r="98" spans="1:19" ht="17.25" thickBot="1">
      <c r="A98" s="123" t="s">
        <v>242</v>
      </c>
      <c r="B98" s="124">
        <v>671</v>
      </c>
      <c r="C98" s="76">
        <v>0.14897260270000001</v>
      </c>
      <c r="D98" s="13">
        <v>723</v>
      </c>
      <c r="E98" s="14">
        <f>IF(ISNUMBER(D98), (D98 - $B98) / $B98, "")</f>
        <v>7.7496274217585689E-2</v>
      </c>
      <c r="F98" s="16">
        <f>IF(ISNUMBER(D98), $B118 * E98, "")</f>
        <v>7749.6274217585687</v>
      </c>
      <c r="G98" s="29">
        <v>732</v>
      </c>
      <c r="H98" s="14">
        <f>IF(ISNUMBER(G98), (G98 - $B98) / $B98, "")</f>
        <v>9.0909090909090912E-2</v>
      </c>
      <c r="I98" s="100">
        <f>IF(ISNUMBER(G98), $B118 * H98, "")</f>
        <v>9090.9090909090919</v>
      </c>
      <c r="J98" s="13">
        <v>725</v>
      </c>
      <c r="K98" s="14">
        <f>IF(ISNUMBER(J98), (J98 - $B98) / $B98, "")</f>
        <v>8.0476900149031291E-2</v>
      </c>
      <c r="L98" s="16">
        <f>IF(ISNUMBER(J98), $B118 * K98, "")</f>
        <v>8047.6900149031289</v>
      </c>
      <c r="M98" s="29">
        <v>731</v>
      </c>
      <c r="N98" s="14">
        <f>IF(ISNUMBER(M98), (M98 - $B98) / $B98, "")</f>
        <v>8.9418777943368111E-2</v>
      </c>
      <c r="O98" s="16">
        <f>IF(ISNUMBER(M98), $B118 * N98, "")</f>
        <v>8941.8777943368113</v>
      </c>
      <c r="Q98" s="222"/>
      <c r="R98" s="222"/>
      <c r="S98" s="222"/>
    </row>
    <row r="99" spans="1:19" ht="17.25" thickBot="1">
      <c r="A99" s="125" t="s">
        <v>106</v>
      </c>
      <c r="B99" s="126">
        <v>229400</v>
      </c>
      <c r="C99" s="77">
        <v>8.4120982999999996E-2</v>
      </c>
      <c r="D99" s="15">
        <v>318800</v>
      </c>
      <c r="E99" s="32">
        <f t="shared" ref="E99:E102" si="46">IF(ISNUMBER(D99), (D99 - $B99) / $B99, "")</f>
        <v>0.38971229293809939</v>
      </c>
      <c r="F99" s="18">
        <f>IF(ISNUMBER(D99), $B118 * E99, "")</f>
        <v>38971.229293809942</v>
      </c>
      <c r="G99" s="31">
        <v>307450</v>
      </c>
      <c r="H99" s="32">
        <f t="shared" ref="H99:H102" si="47">IF(ISNUMBER(G99), (G99 - $B99) / $B99, "")</f>
        <v>0.34023539668700958</v>
      </c>
      <c r="I99" s="101">
        <f>IF(ISNUMBER(G99), $B118 * H99, "")</f>
        <v>34023.539668700956</v>
      </c>
      <c r="J99" s="15">
        <v>303750</v>
      </c>
      <c r="K99" s="32">
        <f t="shared" ref="K99:K102" si="48">IF(ISNUMBER(J99), (J99 - $B99) / $B99, "")</f>
        <v>0.32410636442894508</v>
      </c>
      <c r="L99" s="18">
        <f>IF(ISNUMBER(J99), $B118 * K99, "")</f>
        <v>32410.636442894509</v>
      </c>
      <c r="M99" s="31">
        <v>301150</v>
      </c>
      <c r="N99" s="32">
        <f t="shared" ref="N99:N102" si="49">IF(ISNUMBER(M99), (M99 - $B99) / $B99, "")</f>
        <v>0.31277244986922409</v>
      </c>
      <c r="O99" s="18">
        <f>IF(ISNUMBER(M99), $B118 * N99, "")</f>
        <v>31277.244986922407</v>
      </c>
      <c r="Q99" s="222"/>
      <c r="R99" s="222"/>
      <c r="S99" s="222"/>
    </row>
    <row r="100" spans="1:19" ht="17.25" thickBot="1">
      <c r="A100" s="125" t="s">
        <v>250</v>
      </c>
      <c r="B100" s="126">
        <v>96.9</v>
      </c>
      <c r="C100" s="77">
        <v>6.4835164799999997E-2</v>
      </c>
      <c r="D100" s="15">
        <v>103</v>
      </c>
      <c r="E100" s="32">
        <f t="shared" si="46"/>
        <v>6.2951496388028827E-2</v>
      </c>
      <c r="F100" s="18">
        <f>IF(ISNUMBER(D100), $B118 * E100, "")</f>
        <v>6295.1496388028827</v>
      </c>
      <c r="G100" s="31">
        <v>102</v>
      </c>
      <c r="H100" s="32">
        <f t="shared" si="47"/>
        <v>5.2631578947368363E-2</v>
      </c>
      <c r="I100" s="101">
        <f>IF(ISNUMBER(G100), $B118 * H100, "")</f>
        <v>5263.1578947368362</v>
      </c>
      <c r="J100" s="15">
        <v>101</v>
      </c>
      <c r="K100" s="32">
        <f t="shared" si="48"/>
        <v>4.2311661506707884E-2</v>
      </c>
      <c r="L100" s="18">
        <f>IF(ISNUMBER(J100), $B118 * K100, "")</f>
        <v>4231.1661506707887</v>
      </c>
      <c r="M100" s="31">
        <v>101</v>
      </c>
      <c r="N100" s="32">
        <f t="shared" si="49"/>
        <v>4.2311661506707884E-2</v>
      </c>
      <c r="O100" s="18">
        <f>IF(ISNUMBER(M100), $B118 * N100, "")</f>
        <v>4231.1661506707887</v>
      </c>
      <c r="Q100" s="227"/>
      <c r="R100" s="227"/>
      <c r="S100" s="227"/>
    </row>
    <row r="101" spans="1:19" ht="17.25" thickBot="1">
      <c r="A101" s="125" t="s">
        <v>204</v>
      </c>
      <c r="B101" s="126">
        <v>17</v>
      </c>
      <c r="C101" s="77">
        <v>5.5900621099999999E-2</v>
      </c>
      <c r="D101" s="15">
        <v>16.7</v>
      </c>
      <c r="E101" s="32">
        <f t="shared" si="46"/>
        <v>-1.7647058823529453E-2</v>
      </c>
      <c r="F101" s="18">
        <f>IF(ISNUMBER(D101), $B118 * E101, "")</f>
        <v>-1764.7058823529453</v>
      </c>
      <c r="G101" s="31">
        <v>17.100000000000001</v>
      </c>
      <c r="H101" s="32">
        <f t="shared" si="47"/>
        <v>5.8823529411765538E-3</v>
      </c>
      <c r="I101" s="101">
        <f>IF(ISNUMBER(G101), $B118 * H101, "")</f>
        <v>588.23529411765537</v>
      </c>
      <c r="J101" s="15">
        <v>17.100000000000001</v>
      </c>
      <c r="K101" s="32">
        <f t="shared" si="48"/>
        <v>5.8823529411765538E-3</v>
      </c>
      <c r="L101" s="18">
        <f>IF(ISNUMBER(J101), $B118 * K101, "")</f>
        <v>588.23529411765537</v>
      </c>
      <c r="M101" s="31">
        <v>17.2</v>
      </c>
      <c r="N101" s="32">
        <f t="shared" si="49"/>
        <v>1.1764705882352899E-2</v>
      </c>
      <c r="O101" s="18">
        <f>IF(ISNUMBER(M101), $B118 * N101, "")</f>
        <v>1176.4705882352901</v>
      </c>
      <c r="Q101" s="227"/>
      <c r="R101" s="227"/>
      <c r="S101" s="227"/>
    </row>
    <row r="102" spans="1:19" ht="17.25" thickBot="1">
      <c r="A102" s="127" t="s">
        <v>164</v>
      </c>
      <c r="B102" s="128">
        <v>594</v>
      </c>
      <c r="C102" s="78">
        <v>5.31914894E-2</v>
      </c>
      <c r="D102" s="20">
        <v>779</v>
      </c>
      <c r="E102" s="21">
        <f t="shared" si="46"/>
        <v>0.31144781144781147</v>
      </c>
      <c r="F102" s="22">
        <f>IF(ISNUMBER(D102), $B118 * E102, "")</f>
        <v>31144.781144781147</v>
      </c>
      <c r="G102" s="30">
        <v>835</v>
      </c>
      <c r="H102" s="21">
        <f t="shared" si="47"/>
        <v>0.40572390572390571</v>
      </c>
      <c r="I102" s="105">
        <f>IF(ISNUMBER(G102), $B118 * H102, "")</f>
        <v>40572.39057239057</v>
      </c>
      <c r="J102" s="20">
        <v>835</v>
      </c>
      <c r="K102" s="21">
        <f t="shared" si="48"/>
        <v>0.40572390572390571</v>
      </c>
      <c r="L102" s="22">
        <f>IF(ISNUMBER(J102), $B118 * K102, "")</f>
        <v>40572.39057239057</v>
      </c>
      <c r="M102" s="30">
        <v>845</v>
      </c>
      <c r="N102" s="21">
        <f t="shared" si="49"/>
        <v>0.42255892255892258</v>
      </c>
      <c r="O102" s="22">
        <f>IF(ISNUMBER(M102), $B118 * N102, "")</f>
        <v>42255.892255892257</v>
      </c>
      <c r="Q102" s="227"/>
      <c r="R102" s="227"/>
      <c r="S102" s="227"/>
    </row>
    <row r="103" spans="1:19" ht="17.25" thickBot="1">
      <c r="A103" s="125" t="s">
        <v>128</v>
      </c>
      <c r="B103" s="129">
        <v>166</v>
      </c>
      <c r="C103" s="80">
        <v>5.0632911400000001E-2</v>
      </c>
      <c r="D103" s="106">
        <v>167</v>
      </c>
      <c r="E103" s="107">
        <f>IF(ISNUMBER(D103), (D103 - $B103) / $B103, "")</f>
        <v>6.024096385542169E-3</v>
      </c>
      <c r="F103" s="108">
        <f>IF(ISNUMBER(D103), $B118 * E103, "")</f>
        <v>602.40963855421694</v>
      </c>
      <c r="G103" s="109">
        <v>167</v>
      </c>
      <c r="H103" s="107">
        <f>IF(ISNUMBER(G103), (G103 - $B103) / $B103, "")</f>
        <v>6.024096385542169E-3</v>
      </c>
      <c r="I103" s="110">
        <f>IF(ISNUMBER(G103), $B118 * H103, "")</f>
        <v>602.40963855421694</v>
      </c>
      <c r="J103" s="106">
        <v>167</v>
      </c>
      <c r="K103" s="107">
        <f>IF(ISNUMBER(J103), (J103 - $B103) / $B103, "")</f>
        <v>6.024096385542169E-3</v>
      </c>
      <c r="L103" s="108">
        <f>IF(ISNUMBER(J103), $B118 * K103, "")</f>
        <v>602.40963855421694</v>
      </c>
      <c r="M103" s="109">
        <v>167</v>
      </c>
      <c r="N103" s="107">
        <f>IF(ISNUMBER(M103), (M103 - $B103) / $B103, "")</f>
        <v>6.024096385542169E-3</v>
      </c>
      <c r="O103" s="108">
        <f>IF(ISNUMBER(M103), $B118 * N103, "")</f>
        <v>602.40963855421694</v>
      </c>
      <c r="Q103" s="227"/>
      <c r="R103" s="227"/>
      <c r="S103" s="227"/>
    </row>
    <row r="104" spans="1:19" ht="17.25" thickBot="1">
      <c r="A104" s="125" t="s">
        <v>200</v>
      </c>
      <c r="B104" s="126">
        <v>172</v>
      </c>
      <c r="C104" s="77">
        <v>4.2424242399999999E-2</v>
      </c>
      <c r="D104" s="15">
        <v>183</v>
      </c>
      <c r="E104" s="32">
        <f t="shared" ref="E104:E107" si="50">IF(ISNUMBER(D104), (D104 - $B104) / $B104, "")</f>
        <v>6.3953488372093026E-2</v>
      </c>
      <c r="F104" s="18">
        <f>IF(ISNUMBER(D104), $B118 * E104, "")</f>
        <v>6395.3488372093025</v>
      </c>
      <c r="G104" s="31">
        <v>189</v>
      </c>
      <c r="H104" s="32">
        <f t="shared" ref="H104:H107" si="51">IF(ISNUMBER(G104), (G104 - $B104) / $B104, "")</f>
        <v>9.8837209302325577E-2</v>
      </c>
      <c r="I104" s="101">
        <f>IF(ISNUMBER(G104), $B118 * H104, "")</f>
        <v>9883.7209302325573</v>
      </c>
      <c r="J104" s="15">
        <v>195</v>
      </c>
      <c r="K104" s="32">
        <f t="shared" ref="K104:K107" si="52">IF(ISNUMBER(J104), (J104 - $B104) / $B104, "")</f>
        <v>0.13372093023255813</v>
      </c>
      <c r="L104" s="18">
        <f>IF(ISNUMBER(J104), $B118 * K104, "")</f>
        <v>13372.093023255813</v>
      </c>
      <c r="M104" s="31">
        <v>189</v>
      </c>
      <c r="N104" s="32">
        <f t="shared" ref="N104:N107" si="53">IF(ISNUMBER(M104), (M104 - $B104) / $B104, "")</f>
        <v>9.8837209302325577E-2</v>
      </c>
      <c r="O104" s="18">
        <f>IF(ISNUMBER(M104), $B118 * N104, "")</f>
        <v>9883.7209302325573</v>
      </c>
      <c r="Q104" s="227"/>
      <c r="R104" s="227"/>
      <c r="S104" s="227"/>
    </row>
    <row r="105" spans="1:19" ht="17.25" thickBot="1">
      <c r="A105" s="125" t="s">
        <v>88</v>
      </c>
      <c r="B105" s="126">
        <v>252950</v>
      </c>
      <c r="C105" s="77">
        <v>4.0732359599999997E-2</v>
      </c>
      <c r="D105" s="15">
        <v>283350</v>
      </c>
      <c r="E105" s="32">
        <f t="shared" si="50"/>
        <v>0.12018185412136786</v>
      </c>
      <c r="F105" s="18">
        <f>IF(ISNUMBER(D105), $B118 * E105, "")</f>
        <v>12018.185412136787</v>
      </c>
      <c r="G105" s="31">
        <v>275600</v>
      </c>
      <c r="H105" s="32">
        <f t="shared" si="51"/>
        <v>8.9543388021348091E-2</v>
      </c>
      <c r="I105" s="101">
        <f>IF(ISNUMBER(G105), $B118 * H105, "")</f>
        <v>8954.3388021348092</v>
      </c>
      <c r="J105" s="15">
        <v>276400</v>
      </c>
      <c r="K105" s="32">
        <f t="shared" si="52"/>
        <v>9.270606839296304E-2</v>
      </c>
      <c r="L105" s="18">
        <f>IF(ISNUMBER(J105), $B118 * K105, "")</f>
        <v>9270.6068392963043</v>
      </c>
      <c r="M105" s="31">
        <v>277900</v>
      </c>
      <c r="N105" s="32">
        <f t="shared" si="53"/>
        <v>9.8636094089741055E-2</v>
      </c>
      <c r="O105" s="18">
        <f>IF(ISNUMBER(M105), $B118 * N105, "")</f>
        <v>9863.6094089741055</v>
      </c>
      <c r="Q105" s="227"/>
      <c r="R105" s="227"/>
      <c r="S105" s="227"/>
    </row>
    <row r="106" spans="1:19" ht="17.25" thickBot="1">
      <c r="A106" s="125" t="s">
        <v>98</v>
      </c>
      <c r="B106" s="126">
        <v>5.32</v>
      </c>
      <c r="C106" s="77">
        <v>3.90625E-2</v>
      </c>
      <c r="D106" s="15">
        <v>5.93</v>
      </c>
      <c r="E106" s="32">
        <f t="shared" si="50"/>
        <v>0.11466165413533823</v>
      </c>
      <c r="F106" s="18">
        <f>IF(ISNUMBER(D106), $B118 * E106, "")</f>
        <v>11466.165413533823</v>
      </c>
      <c r="G106" s="31">
        <v>5.93</v>
      </c>
      <c r="H106" s="32">
        <f t="shared" si="51"/>
        <v>0.11466165413533823</v>
      </c>
      <c r="I106" s="101">
        <f>IF(ISNUMBER(G106), $B118 * H106, "")</f>
        <v>11466.165413533823</v>
      </c>
      <c r="J106" s="15">
        <v>5.9</v>
      </c>
      <c r="K106" s="32">
        <f t="shared" si="52"/>
        <v>0.10902255639097745</v>
      </c>
      <c r="L106" s="18">
        <f>IF(ISNUMBER(J106), $B118 * K106, "")</f>
        <v>10902.255639097744</v>
      </c>
      <c r="M106" s="31">
        <v>5.67</v>
      </c>
      <c r="N106" s="32">
        <f t="shared" si="53"/>
        <v>6.5789473684210453E-2</v>
      </c>
      <c r="O106" s="18">
        <f>IF(ISNUMBER(M106), $B118 * N106, "")</f>
        <v>6578.9473684210452</v>
      </c>
      <c r="Q106" s="33"/>
      <c r="R106" s="33"/>
    </row>
    <row r="107" spans="1:19" ht="17.25" thickBot="1">
      <c r="A107" s="130" t="s">
        <v>152</v>
      </c>
      <c r="B107" s="131">
        <v>113</v>
      </c>
      <c r="C107" s="79">
        <v>3.6697247699999998E-2</v>
      </c>
      <c r="D107" s="24">
        <v>121</v>
      </c>
      <c r="E107" s="25">
        <f t="shared" si="50"/>
        <v>7.0796460176991149E-2</v>
      </c>
      <c r="F107" s="104">
        <f>IF(ISNUMBER(D107), $B118 * E107, "")</f>
        <v>7079.646017699115</v>
      </c>
      <c r="G107" s="102">
        <v>122</v>
      </c>
      <c r="H107" s="25">
        <f t="shared" si="51"/>
        <v>7.9646017699115043E-2</v>
      </c>
      <c r="I107" s="103">
        <f>IF(ISNUMBER(G107), $B118 * H107, "")</f>
        <v>7964.6017699115046</v>
      </c>
      <c r="J107" s="24">
        <v>121</v>
      </c>
      <c r="K107" s="25">
        <f t="shared" si="52"/>
        <v>7.0796460176991149E-2</v>
      </c>
      <c r="L107" s="104">
        <f>IF(ISNUMBER(J107), $B118 * K107, "")</f>
        <v>7079.646017699115</v>
      </c>
      <c r="M107" s="102">
        <v>117</v>
      </c>
      <c r="N107" s="25">
        <f t="shared" si="53"/>
        <v>3.5398230088495575E-2</v>
      </c>
      <c r="O107" s="104">
        <f>IF(ISNUMBER(M107), $B118 * N107, "")</f>
        <v>3539.8230088495575</v>
      </c>
      <c r="Q107" s="236"/>
      <c r="R107" s="237"/>
      <c r="S107" s="238"/>
    </row>
    <row r="108" spans="1:19">
      <c r="A108" s="123" t="s">
        <v>82</v>
      </c>
      <c r="B108" s="124">
        <v>3430</v>
      </c>
      <c r="C108" s="76">
        <v>3.46907994E-2</v>
      </c>
      <c r="D108" s="13">
        <v>3450</v>
      </c>
      <c r="E108" s="14">
        <f>IF(ISNUMBER(D108), (D108 - $B108) / $B108, "")</f>
        <v>5.8309037900874635E-3</v>
      </c>
      <c r="F108" s="16">
        <f>IF(ISNUMBER(D108), $B118 * E108, "")</f>
        <v>583.09037900874637</v>
      </c>
      <c r="G108" s="29">
        <v>3475</v>
      </c>
      <c r="H108" s="14">
        <f>IF(ISNUMBER(G108), (G108 - $B108) / $B108, "")</f>
        <v>1.3119533527696793E-2</v>
      </c>
      <c r="I108" s="100">
        <f>IF(ISNUMBER(G108), $B118 * H108, "")</f>
        <v>1311.9533527696794</v>
      </c>
      <c r="J108" s="13">
        <v>3440</v>
      </c>
      <c r="K108" s="14">
        <f>IF(ISNUMBER(J108), (J108 - $B108) / $B108, "")</f>
        <v>2.9154518950437317E-3</v>
      </c>
      <c r="L108" s="16">
        <f>IF(ISNUMBER(J108), $B118 * K108, "")</f>
        <v>291.54518950437318</v>
      </c>
      <c r="M108" s="29">
        <v>3465</v>
      </c>
      <c r="N108" s="14">
        <f>IF(ISNUMBER(M108), (M108 - $B108) / $B108, "")</f>
        <v>1.020408163265306E-2</v>
      </c>
      <c r="O108" s="16">
        <f>IF(ISNUMBER(M108), $B118 * N108, "")</f>
        <v>1020.408163265306</v>
      </c>
      <c r="Q108" s="239"/>
      <c r="R108" s="240"/>
      <c r="S108" s="241"/>
    </row>
    <row r="109" spans="1:19" ht="17.25" thickBot="1">
      <c r="A109" s="125" t="s">
        <v>230</v>
      </c>
      <c r="B109" s="126">
        <v>417</v>
      </c>
      <c r="C109" s="77">
        <v>3.2178217799999999E-2</v>
      </c>
      <c r="D109" s="15">
        <v>415</v>
      </c>
      <c r="E109" s="32">
        <f t="shared" ref="E109:E112" si="54">IF(ISNUMBER(D109), (D109 - $B109) / $B109, "")</f>
        <v>-4.7961630695443642E-3</v>
      </c>
      <c r="F109" s="18">
        <f>IF(ISNUMBER(D109), $B118 * E109, "")</f>
        <v>-479.61630695443642</v>
      </c>
      <c r="G109" s="31">
        <v>418</v>
      </c>
      <c r="H109" s="32">
        <f t="shared" ref="H109:H112" si="55">IF(ISNUMBER(G109), (G109 - $B109) / $B109, "")</f>
        <v>2.3980815347721821E-3</v>
      </c>
      <c r="I109" s="101">
        <f>IF(ISNUMBER(G109), $B118 * H109, "")</f>
        <v>239.80815347721821</v>
      </c>
      <c r="J109" s="15">
        <v>415</v>
      </c>
      <c r="K109" s="32">
        <f t="shared" ref="K109:K112" si="56">IF(ISNUMBER(J109), (J109 - $B109) / $B109, "")</f>
        <v>-4.7961630695443642E-3</v>
      </c>
      <c r="L109" s="18">
        <f>IF(ISNUMBER(J109), $B118 * K109, "")</f>
        <v>-479.61630695443642</v>
      </c>
      <c r="M109" s="31">
        <v>416</v>
      </c>
      <c r="N109" s="32">
        <f t="shared" ref="N109:N112" si="57">IF(ISNUMBER(M109), (M109 - $B109) / $B109, "")</f>
        <v>-2.3980815347721821E-3</v>
      </c>
      <c r="O109" s="18">
        <f>IF(ISNUMBER(M109), $B118 * N109, "")</f>
        <v>-239.80815347721821</v>
      </c>
      <c r="Q109" s="242"/>
      <c r="R109" s="243"/>
      <c r="S109" s="244"/>
    </row>
    <row r="110" spans="1:19" ht="17.25" thickBot="1">
      <c r="A110" s="125" t="s">
        <v>67</v>
      </c>
      <c r="B110" s="126">
        <v>5360</v>
      </c>
      <c r="C110" s="77">
        <v>2.9779058600000002E-2</v>
      </c>
      <c r="D110" s="15">
        <v>5365</v>
      </c>
      <c r="E110" s="32">
        <f t="shared" si="54"/>
        <v>9.3283582089552237E-4</v>
      </c>
      <c r="F110" s="18">
        <f>IF(ISNUMBER(D110), $B118 * E110, "")</f>
        <v>93.28358208955224</v>
      </c>
      <c r="G110" s="31">
        <v>5450</v>
      </c>
      <c r="H110" s="32">
        <f t="shared" si="55"/>
        <v>1.6791044776119403E-2</v>
      </c>
      <c r="I110" s="101">
        <f>IF(ISNUMBER(G110), $B118 * H110, "")</f>
        <v>1679.1044776119402</v>
      </c>
      <c r="J110" s="15">
        <v>5425</v>
      </c>
      <c r="K110" s="32">
        <f t="shared" si="56"/>
        <v>1.2126865671641791E-2</v>
      </c>
      <c r="L110" s="18">
        <f>IF(ISNUMBER(J110), $B118 * K110, "")</f>
        <v>1212.6865671641792</v>
      </c>
      <c r="M110" s="31">
        <v>5525</v>
      </c>
      <c r="N110" s="32">
        <f t="shared" si="57"/>
        <v>3.0783582089552237E-2</v>
      </c>
      <c r="O110" s="18">
        <f>IF(ISNUMBER(M110), $B118 * N110, "")</f>
        <v>3078.3582089552237</v>
      </c>
      <c r="Q110" s="227"/>
      <c r="R110" s="227"/>
      <c r="S110" s="227"/>
    </row>
    <row r="111" spans="1:19" ht="17.25" thickBot="1">
      <c r="A111" s="125" t="s">
        <v>158</v>
      </c>
      <c r="B111" s="126">
        <v>34610</v>
      </c>
      <c r="C111" s="77">
        <v>2.9753049699999999E-2</v>
      </c>
      <c r="D111" s="15">
        <v>35050</v>
      </c>
      <c r="E111" s="32">
        <f t="shared" si="54"/>
        <v>1.2713088702687085E-2</v>
      </c>
      <c r="F111" s="18">
        <f>IF(ISNUMBER(D111), $B118 * E111, "")</f>
        <v>1271.3088702687085</v>
      </c>
      <c r="G111" s="31">
        <v>35470</v>
      </c>
      <c r="H111" s="32">
        <f t="shared" si="55"/>
        <v>2.4848309737070209E-2</v>
      </c>
      <c r="I111" s="101">
        <f>IF(ISNUMBER(G111), $B118 * H111, "")</f>
        <v>2484.8309737070208</v>
      </c>
      <c r="J111" s="15">
        <v>35470</v>
      </c>
      <c r="K111" s="32">
        <f t="shared" si="56"/>
        <v>2.4848309737070209E-2</v>
      </c>
      <c r="L111" s="18">
        <f>IF(ISNUMBER(J111), $B118 * K111, "")</f>
        <v>2484.8309737070208</v>
      </c>
      <c r="M111" s="31">
        <v>35630</v>
      </c>
      <c r="N111" s="32">
        <f t="shared" si="57"/>
        <v>2.9471251083501879E-2</v>
      </c>
      <c r="O111" s="18">
        <f>IF(ISNUMBER(M111), $B118 * N111, "")</f>
        <v>2947.1251083501879</v>
      </c>
      <c r="Q111" s="222"/>
      <c r="R111" s="222"/>
      <c r="S111" s="222"/>
    </row>
    <row r="112" spans="1:19" ht="17.25" thickBot="1">
      <c r="A112" s="127" t="s">
        <v>218</v>
      </c>
      <c r="B112" s="128">
        <v>145</v>
      </c>
      <c r="C112" s="78">
        <v>2.83687943E-2</v>
      </c>
      <c r="D112" s="20">
        <v>149</v>
      </c>
      <c r="E112" s="21">
        <f t="shared" si="54"/>
        <v>2.7586206896551724E-2</v>
      </c>
      <c r="F112" s="22">
        <f>IF(ISNUMBER(D112), $B118 * E112, "")</f>
        <v>2758.6206896551726</v>
      </c>
      <c r="G112" s="30">
        <v>150</v>
      </c>
      <c r="H112" s="21">
        <f t="shared" si="55"/>
        <v>3.4482758620689655E-2</v>
      </c>
      <c r="I112" s="105">
        <f>IF(ISNUMBER(G112), $B118 * H112, "")</f>
        <v>3448.2758620689656</v>
      </c>
      <c r="J112" s="20">
        <v>151</v>
      </c>
      <c r="K112" s="21">
        <f t="shared" si="56"/>
        <v>4.1379310344827586E-2</v>
      </c>
      <c r="L112" s="22">
        <f>IF(ISNUMBER(J112), $B118 * K112, "")</f>
        <v>4137.9310344827582</v>
      </c>
      <c r="M112" s="30">
        <v>151</v>
      </c>
      <c r="N112" s="21">
        <f t="shared" si="57"/>
        <v>4.1379310344827586E-2</v>
      </c>
      <c r="O112" s="22">
        <f>IF(ISNUMBER(M112), $B118 * N112, "")</f>
        <v>4137.9310344827582</v>
      </c>
      <c r="Q112" s="222"/>
      <c r="R112" s="222"/>
      <c r="S112" s="222"/>
    </row>
    <row r="113" spans="1:19" ht="17.25" thickBot="1">
      <c r="A113" s="125" t="s">
        <v>120</v>
      </c>
      <c r="B113" s="129">
        <v>5290</v>
      </c>
      <c r="C113" s="80">
        <v>2.6188166799999999E-2</v>
      </c>
      <c r="D113" s="106">
        <v>5460</v>
      </c>
      <c r="E113" s="107">
        <f>IF(ISNUMBER(D113), (D113 - $B113) / $B113, "")</f>
        <v>3.2136105860113423E-2</v>
      </c>
      <c r="F113" s="108">
        <f>IF(ISNUMBER(D113), $B118 * E113, "")</f>
        <v>3213.6105860113421</v>
      </c>
      <c r="G113" s="109">
        <v>5595</v>
      </c>
      <c r="H113" s="107">
        <f>IF(ISNUMBER(G113), (G113 - $B113) / $B113, "")</f>
        <v>5.7655954631379965E-2</v>
      </c>
      <c r="I113" s="110">
        <f>IF(ISNUMBER(G113), $B118 * H113, "")</f>
        <v>5765.5954631379964</v>
      </c>
      <c r="J113" s="106">
        <v>5600</v>
      </c>
      <c r="K113" s="107">
        <f>IF(ISNUMBER(J113), (J113 - $B113) / $B113, "")</f>
        <v>5.8601134215500943E-2</v>
      </c>
      <c r="L113" s="108">
        <f>IF(ISNUMBER(J113), $B118 * K113, "")</f>
        <v>5860.1134215500942</v>
      </c>
      <c r="M113" s="109">
        <v>5680</v>
      </c>
      <c r="N113" s="107">
        <f>IF(ISNUMBER(M113), (M113 - $B113) / $B113, "")</f>
        <v>7.3724007561436669E-2</v>
      </c>
      <c r="O113" s="108">
        <f>IF(ISNUMBER(M113), $B118 * N113, "")</f>
        <v>7372.4007561436665</v>
      </c>
      <c r="Q113" s="227"/>
      <c r="R113" s="227"/>
      <c r="S113" s="227"/>
    </row>
    <row r="114" spans="1:19" ht="17.25" thickBot="1">
      <c r="A114" s="125" t="s">
        <v>182</v>
      </c>
      <c r="B114" s="126">
        <v>77000</v>
      </c>
      <c r="C114" s="77">
        <v>2.5982678200000001E-2</v>
      </c>
      <c r="D114" s="15">
        <v>76090</v>
      </c>
      <c r="E114" s="32">
        <f t="shared" ref="E114:E117" si="58">IF(ISNUMBER(D114), (D114 - $B114) / $B114, "")</f>
        <v>-1.1818181818181818E-2</v>
      </c>
      <c r="F114" s="18">
        <f>IF(ISNUMBER(D114), $B118 * E114, "")</f>
        <v>-1181.8181818181818</v>
      </c>
      <c r="G114" s="31">
        <v>76800</v>
      </c>
      <c r="H114" s="32">
        <f t="shared" ref="H114:H117" si="59">IF(ISNUMBER(G114), (G114 - $B114) / $B114, "")</f>
        <v>-2.5974025974025974E-3</v>
      </c>
      <c r="I114" s="101">
        <f>IF(ISNUMBER(G114), $B118 * H114, "")</f>
        <v>-259.74025974025972</v>
      </c>
      <c r="J114" s="15">
        <v>76870</v>
      </c>
      <c r="K114" s="32">
        <f t="shared" ref="K114:K117" si="60">IF(ISNUMBER(J114), (J114 - $B114) / $B114, "")</f>
        <v>-1.6883116883116883E-3</v>
      </c>
      <c r="L114" s="18">
        <f>IF(ISNUMBER(J114), $B118 * K114, "")</f>
        <v>-168.83116883116884</v>
      </c>
      <c r="M114" s="31">
        <v>77970</v>
      </c>
      <c r="N114" s="32">
        <f t="shared" ref="N114:N117" si="61">IF(ISNUMBER(M114), (M114 - $B114) / $B114, "")</f>
        <v>1.2597402597402597E-2</v>
      </c>
      <c r="O114" s="18">
        <f>IF(ISNUMBER(M114), $B118 * N114, "")</f>
        <v>1259.7402597402597</v>
      </c>
      <c r="Q114" s="227"/>
      <c r="R114" s="227"/>
      <c r="S114" s="227"/>
    </row>
    <row r="115" spans="1:19" ht="17.25" thickBot="1">
      <c r="A115" s="125" t="s">
        <v>196</v>
      </c>
      <c r="B115" s="126">
        <v>4815</v>
      </c>
      <c r="C115" s="77">
        <v>2.3379383600000001E-2</v>
      </c>
      <c r="D115" s="15">
        <v>4850</v>
      </c>
      <c r="E115" s="32">
        <f t="shared" si="58"/>
        <v>7.2689511941848393E-3</v>
      </c>
      <c r="F115" s="18">
        <f>IF(ISNUMBER(D115), $B118 * E115, "")</f>
        <v>726.89511941848389</v>
      </c>
      <c r="G115" s="31">
        <v>5000</v>
      </c>
      <c r="H115" s="32">
        <f t="shared" si="59"/>
        <v>3.8421599169262723E-2</v>
      </c>
      <c r="I115" s="101">
        <f>IF(ISNUMBER(G115), $B118 * H115, "")</f>
        <v>3842.1599169262722</v>
      </c>
      <c r="J115" s="15">
        <v>4950</v>
      </c>
      <c r="K115" s="32">
        <f t="shared" si="60"/>
        <v>2.8037383177570093E-2</v>
      </c>
      <c r="L115" s="18">
        <f>IF(ISNUMBER(J115), $B118 * K115, "")</f>
        <v>2803.7383177570091</v>
      </c>
      <c r="M115" s="31">
        <v>4965</v>
      </c>
      <c r="N115" s="32">
        <f t="shared" si="61"/>
        <v>3.1152647975077882E-2</v>
      </c>
      <c r="O115" s="18">
        <f>IF(ISNUMBER(M115), $B118 * N115, "")</f>
        <v>3115.264797507788</v>
      </c>
      <c r="Q115" s="227"/>
      <c r="R115" s="227"/>
      <c r="S115" s="227"/>
    </row>
    <row r="116" spans="1:19">
      <c r="A116" s="125" t="s">
        <v>130</v>
      </c>
      <c r="B116" s="126">
        <v>140</v>
      </c>
      <c r="C116" s="77">
        <v>2.1897810199999999E-2</v>
      </c>
      <c r="D116" s="15">
        <v>142</v>
      </c>
      <c r="E116" s="32">
        <f t="shared" si="58"/>
        <v>1.4285714285714285E-2</v>
      </c>
      <c r="F116" s="18">
        <f>IF(ISNUMBER(D116), $B118 * E116, "")</f>
        <v>1428.5714285714284</v>
      </c>
      <c r="G116" s="31">
        <v>143</v>
      </c>
      <c r="H116" s="32">
        <f t="shared" si="59"/>
        <v>2.1428571428571429E-2</v>
      </c>
      <c r="I116" s="101">
        <f>IF(ISNUMBER(G116), $B118 * H116, "")</f>
        <v>2142.8571428571427</v>
      </c>
      <c r="J116" s="15">
        <v>150</v>
      </c>
      <c r="K116" s="32">
        <f t="shared" si="60"/>
        <v>7.1428571428571425E-2</v>
      </c>
      <c r="L116" s="18">
        <f>IF(ISNUMBER(J116), $B118 * K116, "")</f>
        <v>7142.8571428571422</v>
      </c>
      <c r="M116" s="31">
        <v>147</v>
      </c>
      <c r="N116" s="32">
        <f t="shared" si="61"/>
        <v>0.05</v>
      </c>
      <c r="O116" s="18">
        <f>IF(ISNUMBER(M116), $B118 * N116, "")</f>
        <v>5000</v>
      </c>
      <c r="Q116" s="249"/>
      <c r="R116" s="250"/>
      <c r="S116" s="251"/>
    </row>
    <row r="117" spans="1:19" ht="17.25" thickBot="1">
      <c r="A117" s="130" t="s">
        <v>49</v>
      </c>
      <c r="B117" s="131">
        <v>57619000</v>
      </c>
      <c r="C117" s="79">
        <v>2.0618191500000001E-2</v>
      </c>
      <c r="D117" s="24">
        <v>57631000</v>
      </c>
      <c r="E117" s="25">
        <f t="shared" si="58"/>
        <v>2.0826463492945035E-4</v>
      </c>
      <c r="F117" s="104">
        <f>IF(ISNUMBER(D117), $B118 * E117, "")</f>
        <v>20.826463492945035</v>
      </c>
      <c r="G117" s="102">
        <v>58291000</v>
      </c>
      <c r="H117" s="25">
        <f t="shared" si="59"/>
        <v>1.166281955604922E-2</v>
      </c>
      <c r="I117" s="103">
        <f>IF(ISNUMBER(G117), $B118 * H117, "")</f>
        <v>1166.2819556049219</v>
      </c>
      <c r="J117" s="24">
        <v>58054000</v>
      </c>
      <c r="K117" s="25">
        <f t="shared" si="60"/>
        <v>7.5495930161925753E-3</v>
      </c>
      <c r="L117" s="104">
        <f>IF(ISNUMBER(J117), $B118 * K117, "")</f>
        <v>754.95930161925753</v>
      </c>
      <c r="M117" s="102">
        <v>58516000</v>
      </c>
      <c r="N117" s="25">
        <f t="shared" si="61"/>
        <v>1.5567781460976414E-2</v>
      </c>
      <c r="O117" s="104">
        <f>IF(ISNUMBER(M117), $B118 * N117, "")</f>
        <v>1556.7781460976414</v>
      </c>
      <c r="Q117" s="252"/>
      <c r="R117" s="253"/>
      <c r="S117" s="254"/>
    </row>
    <row r="118" spans="1:19" ht="17.25" thickBot="1">
      <c r="A118" s="132" t="s">
        <v>270</v>
      </c>
      <c r="B118" s="260">
        <f>$B$37</f>
        <v>100000</v>
      </c>
      <c r="C118" s="261"/>
      <c r="D118" s="26" t="s">
        <v>271</v>
      </c>
      <c r="E118" s="27">
        <f>IF(COUNT(E98:E117), SUM(E98:E117) / COUNT(E98:E117), 0)</f>
        <v>6.4196304782838304E-2</v>
      </c>
      <c r="F118" s="28">
        <f>SUM(F98:F117)</f>
        <v>128392.60956567661</v>
      </c>
      <c r="G118" s="26" t="s">
        <v>271</v>
      </c>
      <c r="H118" s="27">
        <f>IF(COUNT(H98:H117), SUM(H98:H117) / COUNT(H98:H117), 0)</f>
        <v>7.5115298056821461E-2</v>
      </c>
      <c r="I118" s="28">
        <f>SUM(I98:I117)</f>
        <v>150230.59611364291</v>
      </c>
      <c r="J118" s="26" t="s">
        <v>271</v>
      </c>
      <c r="K118" s="27">
        <f>IF(COUNT(K98:K117), SUM(K98:K117) / COUNT(K98:K117), 0)</f>
        <v>7.5558672052868051E-2</v>
      </c>
      <c r="L118" s="28">
        <f>SUM(L98:L117)</f>
        <v>151117.34410573606</v>
      </c>
      <c r="M118" s="26" t="s">
        <v>271</v>
      </c>
      <c r="N118" s="27">
        <f>IF(COUNT(N98:N117), SUM(N98:N117) / COUNT(N98:N117), 0)</f>
        <v>7.379968022607733E-2</v>
      </c>
      <c r="O118" s="28">
        <f>SUM(O98:O117)</f>
        <v>147599.36045215465</v>
      </c>
      <c r="Q118" s="255"/>
      <c r="R118" s="256"/>
      <c r="S118" s="257"/>
    </row>
    <row r="120" spans="1:19" ht="17.25" thickBot="1"/>
    <row r="121" spans="1:19" ht="17.25" thickBot="1">
      <c r="A121" s="201" t="s">
        <v>258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65" t="s">
        <v>267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55149000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2.1442459999999998E-3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2021-09-03(금) 오전 00:00</v>
      </c>
      <c r="C123" s="265"/>
      <c r="D123" s="224" t="str">
        <f>TEXT($G$1, "[$-ko-KR]yyyy-mm-dd(ddd) ") &amp; "오후 14:00"</f>
        <v>2021-09-03(금) 오후 14:00</v>
      </c>
      <c r="E123" s="225"/>
      <c r="F123" s="226"/>
      <c r="G123" s="224" t="str">
        <f>TEXT($G$1, "[$-ko-KR]yyyy-mm-dd(ddd) ") &amp; "오후 19:00"</f>
        <v>2021-09-03(금) 오후 19:00</v>
      </c>
      <c r="H123" s="225"/>
      <c r="I123" s="226"/>
      <c r="J123" s="224" t="str">
        <f>TEXT($G$1, "[$-ko-KR]yyyy-mm-dd(ddd) ") &amp; "오후 21:00"</f>
        <v>2021-09-03(금) 오후 21:00</v>
      </c>
      <c r="K123" s="225"/>
      <c r="L123" s="226"/>
      <c r="M123" s="224" t="str">
        <f>TEXT($G$1+1, "[$-ko-KR]yyyy-mm-dd(ddd) ") &amp; "오전 00:00"</f>
        <v>2021-09-04(토)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7"/>
      <c r="R124" s="227"/>
      <c r="S124" s="227"/>
    </row>
    <row r="125" spans="1:19" ht="17.25" thickBot="1">
      <c r="A125" s="123" t="s">
        <v>250</v>
      </c>
      <c r="B125" s="124">
        <v>96.9</v>
      </c>
      <c r="C125" s="76">
        <v>6.4835164799999997E-2</v>
      </c>
      <c r="D125" s="13">
        <v>103</v>
      </c>
      <c r="E125" s="14">
        <f>IF(ISNUMBER(D125), (D125 - $B125) / $B125, "")</f>
        <v>6.2951496388028827E-2</v>
      </c>
      <c r="F125" s="16">
        <f>IF(ISNUMBER(D125), $B145 * E125, "")</f>
        <v>6295.1496388028827</v>
      </c>
      <c r="G125" s="29">
        <v>102</v>
      </c>
      <c r="H125" s="14">
        <f>IF(ISNUMBER(G125), (G125 - $B125) / $B125, "")</f>
        <v>5.2631578947368363E-2</v>
      </c>
      <c r="I125" s="100">
        <f>IF(ISNUMBER(G125), $B145 * H125, "")</f>
        <v>5263.1578947368362</v>
      </c>
      <c r="J125" s="13">
        <v>101</v>
      </c>
      <c r="K125" s="14">
        <f>IF(ISNUMBER(J125), (J125 - $B125) / $B125, "")</f>
        <v>4.2311661506707884E-2</v>
      </c>
      <c r="L125" s="16">
        <f>IF(ISNUMBER(J125), $B145 * K125, "")</f>
        <v>4231.1661506707887</v>
      </c>
      <c r="M125" s="29">
        <v>101</v>
      </c>
      <c r="N125" s="14">
        <f>IF(ISNUMBER(M125), (M125 - $B125) / $B125, "")</f>
        <v>4.2311661506707884E-2</v>
      </c>
      <c r="O125" s="16">
        <f>IF(ISNUMBER(M125), $B145 * N125, "")</f>
        <v>4231.1661506707887</v>
      </c>
      <c r="Q125" s="222"/>
      <c r="R125" s="222"/>
      <c r="S125" s="222"/>
    </row>
    <row r="126" spans="1:19" ht="17.25" thickBot="1">
      <c r="A126" s="125" t="s">
        <v>204</v>
      </c>
      <c r="B126" s="126">
        <v>17</v>
      </c>
      <c r="C126" s="77">
        <v>5.5900621099999999E-2</v>
      </c>
      <c r="D126" s="15">
        <v>16.7</v>
      </c>
      <c r="E126" s="32">
        <f t="shared" ref="E126:E129" si="62">IF(ISNUMBER(D126), (D126 - $B126) / $B126, "")</f>
        <v>-1.7647058823529453E-2</v>
      </c>
      <c r="F126" s="18">
        <f>IF(ISNUMBER(D126), $B145 * E126, "")</f>
        <v>-1764.7058823529453</v>
      </c>
      <c r="G126" s="31">
        <v>17.100000000000001</v>
      </c>
      <c r="H126" s="32">
        <f t="shared" ref="H126:H129" si="63">IF(ISNUMBER(G126), (G126 - $B126) / $B126, "")</f>
        <v>5.8823529411765538E-3</v>
      </c>
      <c r="I126" s="101">
        <f>IF(ISNUMBER(G126), $B145 * H126, "")</f>
        <v>588.23529411765537</v>
      </c>
      <c r="J126" s="15">
        <v>17.100000000000001</v>
      </c>
      <c r="K126" s="32">
        <f t="shared" ref="K126:K129" si="64">IF(ISNUMBER(J126), (J126 - $B126) / $B126, "")</f>
        <v>5.8823529411765538E-3</v>
      </c>
      <c r="L126" s="18">
        <f>IF(ISNUMBER(J126), $B145 * K126, "")</f>
        <v>588.23529411765537</v>
      </c>
      <c r="M126" s="31">
        <v>17.2</v>
      </c>
      <c r="N126" s="32">
        <f t="shared" ref="N126:N129" si="65">IF(ISNUMBER(M126), (M126 - $B126) / $B126, "")</f>
        <v>1.1764705882352899E-2</v>
      </c>
      <c r="O126" s="18">
        <f>IF(ISNUMBER(M126), $B145 * N126, "")</f>
        <v>1176.4705882352901</v>
      </c>
      <c r="Q126" s="222"/>
      <c r="R126" s="222"/>
      <c r="S126" s="222"/>
    </row>
    <row r="127" spans="1:19" ht="17.25" thickBot="1">
      <c r="A127" s="125" t="s">
        <v>98</v>
      </c>
      <c r="B127" s="126">
        <v>5.32</v>
      </c>
      <c r="C127" s="77">
        <v>3.90625E-2</v>
      </c>
      <c r="D127" s="15">
        <v>5.93</v>
      </c>
      <c r="E127" s="32">
        <f t="shared" si="62"/>
        <v>0.11466165413533823</v>
      </c>
      <c r="F127" s="18">
        <f>IF(ISNUMBER(D127), $B145 * E127, "")</f>
        <v>11466.165413533823</v>
      </c>
      <c r="G127" s="31">
        <v>5.93</v>
      </c>
      <c r="H127" s="32">
        <f t="shared" si="63"/>
        <v>0.11466165413533823</v>
      </c>
      <c r="I127" s="101">
        <f>IF(ISNUMBER(G127), $B145 * H127, "")</f>
        <v>11466.165413533823</v>
      </c>
      <c r="J127" s="15">
        <v>5.9</v>
      </c>
      <c r="K127" s="32">
        <f t="shared" si="64"/>
        <v>0.10902255639097745</v>
      </c>
      <c r="L127" s="18">
        <f>IF(ISNUMBER(J127), $B145 * K127, "")</f>
        <v>10902.255639097744</v>
      </c>
      <c r="M127" s="31">
        <v>5.67</v>
      </c>
      <c r="N127" s="32">
        <f t="shared" si="65"/>
        <v>6.5789473684210453E-2</v>
      </c>
      <c r="O127" s="18">
        <f>IF(ISNUMBER(M127), $B145 * N127, "")</f>
        <v>6578.9473684210452</v>
      </c>
      <c r="Q127" s="227"/>
      <c r="R127" s="227"/>
      <c r="S127" s="227"/>
    </row>
    <row r="128" spans="1:19" ht="17.25" thickBot="1">
      <c r="A128" s="125" t="s">
        <v>190</v>
      </c>
      <c r="B128" s="126">
        <v>20</v>
      </c>
      <c r="C128" s="77">
        <v>1.52284264E-2</v>
      </c>
      <c r="D128" s="15">
        <v>20.3</v>
      </c>
      <c r="E128" s="32">
        <f t="shared" si="62"/>
        <v>1.5000000000000036E-2</v>
      </c>
      <c r="F128" s="18">
        <f>IF(ISNUMBER(D128), $B145 * E128, "")</f>
        <v>1500.0000000000036</v>
      </c>
      <c r="G128" s="31">
        <v>20.399999999999999</v>
      </c>
      <c r="H128" s="32">
        <f t="shared" si="63"/>
        <v>1.9999999999999928E-2</v>
      </c>
      <c r="I128" s="101">
        <f>IF(ISNUMBER(G128), $B145 * H128, "")</f>
        <v>1999.9999999999927</v>
      </c>
      <c r="J128" s="15">
        <v>20.2</v>
      </c>
      <c r="K128" s="32">
        <f t="shared" si="64"/>
        <v>9.9999999999999638E-3</v>
      </c>
      <c r="L128" s="18">
        <f>IF(ISNUMBER(J128), $B145 * K128, "")</f>
        <v>999.99999999999636</v>
      </c>
      <c r="M128" s="31">
        <v>20.399999999999999</v>
      </c>
      <c r="N128" s="32">
        <f t="shared" si="65"/>
        <v>1.9999999999999928E-2</v>
      </c>
      <c r="O128" s="18">
        <f>IF(ISNUMBER(M128), $B145 * N128, "")</f>
        <v>1999.9999999999927</v>
      </c>
      <c r="Q128" s="227"/>
      <c r="R128" s="227"/>
      <c r="S128" s="227"/>
    </row>
    <row r="129" spans="1:19" ht="17.25" thickBot="1">
      <c r="A129" s="127" t="s">
        <v>65</v>
      </c>
      <c r="B129" s="128">
        <v>51.1</v>
      </c>
      <c r="C129" s="78">
        <v>7.8895463999999992E-3</v>
      </c>
      <c r="D129" s="20">
        <v>52.4</v>
      </c>
      <c r="E129" s="21">
        <f t="shared" si="62"/>
        <v>2.5440313111545931E-2</v>
      </c>
      <c r="F129" s="22">
        <f>IF(ISNUMBER(D129), $B145 * E129, "")</f>
        <v>2544.0313111545929</v>
      </c>
      <c r="G129" s="30">
        <v>55.5</v>
      </c>
      <c r="H129" s="21">
        <f t="shared" si="63"/>
        <v>8.6105675146771005E-2</v>
      </c>
      <c r="I129" s="105">
        <f>IF(ISNUMBER(G129), $B145 * H129, "")</f>
        <v>8610.5675146771009</v>
      </c>
      <c r="J129" s="20">
        <v>56</v>
      </c>
      <c r="K129" s="21">
        <f t="shared" si="64"/>
        <v>9.5890410958904077E-2</v>
      </c>
      <c r="L129" s="22">
        <f>IF(ISNUMBER(J129), $B145 * K129, "")</f>
        <v>9589.0410958904085</v>
      </c>
      <c r="M129" s="30">
        <v>56.2</v>
      </c>
      <c r="N129" s="21">
        <f t="shared" si="65"/>
        <v>9.9804305283757361E-2</v>
      </c>
      <c r="O129" s="22">
        <f>IF(ISNUMBER(M129), $B145 * N129, "")</f>
        <v>9980.4305283757367</v>
      </c>
      <c r="Q129" s="227"/>
      <c r="R129" s="227"/>
      <c r="S129" s="227"/>
    </row>
    <row r="130" spans="1:19" ht="17.25" thickBot="1">
      <c r="A130" s="125" t="s">
        <v>150</v>
      </c>
      <c r="B130" s="129">
        <v>13.9</v>
      </c>
      <c r="C130" s="80">
        <v>7.2463768E-3</v>
      </c>
      <c r="D130" s="106">
        <v>13.9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14.2</v>
      </c>
      <c r="H130" s="107">
        <f>IF(ISNUMBER(G130), (G130 - $B130) / $B130, "")</f>
        <v>2.1582733812949562E-2</v>
      </c>
      <c r="I130" s="110">
        <f>IF(ISNUMBER(G130), $B145 * H130, "")</f>
        <v>2158.2733812949564</v>
      </c>
      <c r="J130" s="106">
        <v>14.2</v>
      </c>
      <c r="K130" s="107">
        <f>IF(ISNUMBER(J130), (J130 - $B130) / $B130, "")</f>
        <v>2.1582733812949562E-2</v>
      </c>
      <c r="L130" s="108">
        <f>IF(ISNUMBER(J130), $B145 * K130, "")</f>
        <v>2158.2733812949564</v>
      </c>
      <c r="M130" s="109">
        <v>14.2</v>
      </c>
      <c r="N130" s="107">
        <f>IF(ISNUMBER(M130), (M130 - $B130) / $B130, "")</f>
        <v>2.1582733812949562E-2</v>
      </c>
      <c r="O130" s="108">
        <f>IF(ISNUMBER(M130), $B145 * N130, "")</f>
        <v>2158.2733812949564</v>
      </c>
      <c r="Q130" s="227"/>
      <c r="R130" s="227"/>
      <c r="S130" s="227"/>
    </row>
    <row r="131" spans="1:19" ht="17.25" thickBot="1">
      <c r="A131" s="125" t="s">
        <v>178</v>
      </c>
      <c r="B131" s="126">
        <v>19.8</v>
      </c>
      <c r="C131" s="77">
        <v>5.0761421000000001E-3</v>
      </c>
      <c r="D131" s="15">
        <v>20</v>
      </c>
      <c r="E131" s="32">
        <f t="shared" ref="E131:E134" si="66">IF(ISNUMBER(D131), (D131 - $B131) / $B131, "")</f>
        <v>1.0101010101010065E-2</v>
      </c>
      <c r="F131" s="18">
        <f>IF(ISNUMBER(D131), $B145 * E131, "")</f>
        <v>1010.1010101010065</v>
      </c>
      <c r="G131" s="31">
        <v>20.100000000000001</v>
      </c>
      <c r="H131" s="32">
        <f t="shared" ref="H131:H134" si="67">IF(ISNUMBER(G131), (G131 - $B131) / $B131, "")</f>
        <v>1.5151515151515187E-2</v>
      </c>
      <c r="I131" s="101">
        <f>IF(ISNUMBER(G131), $B145 * H131, "")</f>
        <v>1515.1515151515187</v>
      </c>
      <c r="J131" s="15">
        <v>20.399999999999999</v>
      </c>
      <c r="K131" s="32">
        <f t="shared" ref="K131:K134" si="68">IF(ISNUMBER(J131), (J131 - $B131) / $B131, "")</f>
        <v>3.0303030303030193E-2</v>
      </c>
      <c r="L131" s="18">
        <f>IF(ISNUMBER(J131), $B145 * K131, "")</f>
        <v>3030.3030303030191</v>
      </c>
      <c r="M131" s="31">
        <v>20.399999999999999</v>
      </c>
      <c r="N131" s="32">
        <f t="shared" ref="N131:N134" si="69">IF(ISNUMBER(M131), (M131 - $B131) / $B131, "")</f>
        <v>3.0303030303030193E-2</v>
      </c>
      <c r="O131" s="18">
        <f>IF(ISNUMBER(M131), $B145 * N131, "")</f>
        <v>3030.3030303030191</v>
      </c>
      <c r="Q131" s="227"/>
      <c r="R131" s="227"/>
      <c r="S131" s="227"/>
    </row>
    <row r="132" spans="1:19" ht="17.25" thickBot="1">
      <c r="A132" s="125" t="s">
        <v>148</v>
      </c>
      <c r="B132" s="126">
        <v>24.1</v>
      </c>
      <c r="C132" s="77">
        <v>4.1666667000000001E-3</v>
      </c>
      <c r="D132" s="15">
        <v>24.2</v>
      </c>
      <c r="E132" s="32">
        <f t="shared" si="66"/>
        <v>4.1493775933609074E-3</v>
      </c>
      <c r="F132" s="18">
        <f>IF(ISNUMBER(D132), $B145 * E132, "")</f>
        <v>414.93775933609072</v>
      </c>
      <c r="G132" s="31">
        <v>24.5</v>
      </c>
      <c r="H132" s="32">
        <f t="shared" si="67"/>
        <v>1.6597510373443924E-2</v>
      </c>
      <c r="I132" s="101">
        <f>IF(ISNUMBER(G132), $B145 * H132, "")</f>
        <v>1659.7510373443924</v>
      </c>
      <c r="J132" s="15">
        <v>24.5</v>
      </c>
      <c r="K132" s="32">
        <f t="shared" si="68"/>
        <v>1.6597510373443924E-2</v>
      </c>
      <c r="L132" s="18">
        <f>IF(ISNUMBER(J132), $B145 * K132, "")</f>
        <v>1659.7510373443924</v>
      </c>
      <c r="M132" s="31">
        <v>24.8</v>
      </c>
      <c r="N132" s="32">
        <f t="shared" si="69"/>
        <v>2.9045643153526941E-2</v>
      </c>
      <c r="O132" s="18">
        <f>IF(ISNUMBER(M132), $B145 * N132, "")</f>
        <v>2904.5643153526939</v>
      </c>
      <c r="Q132" s="227"/>
      <c r="R132" s="227"/>
      <c r="S132" s="227"/>
    </row>
    <row r="133" spans="1:19" ht="17.25" thickBot="1">
      <c r="A133" s="125" t="s">
        <v>208</v>
      </c>
      <c r="B133" s="126">
        <v>14.7</v>
      </c>
      <c r="C133" s="77">
        <v>0</v>
      </c>
      <c r="D133" s="15">
        <v>14.5</v>
      </c>
      <c r="E133" s="32">
        <f t="shared" si="66"/>
        <v>-1.3605442176870701E-2</v>
      </c>
      <c r="F133" s="18">
        <f>IF(ISNUMBER(D133), $B145 * E133, "")</f>
        <v>-1360.5442176870702</v>
      </c>
      <c r="G133" s="31">
        <v>14.7</v>
      </c>
      <c r="H133" s="32">
        <f t="shared" si="67"/>
        <v>0</v>
      </c>
      <c r="I133" s="101">
        <f>IF(ISNUMBER(G133), $B145 * H133, "")</f>
        <v>0</v>
      </c>
      <c r="J133" s="15">
        <v>14.7</v>
      </c>
      <c r="K133" s="32">
        <f t="shared" si="68"/>
        <v>0</v>
      </c>
      <c r="L133" s="18">
        <f>IF(ISNUMBER(J133), $B145 * K133, "")</f>
        <v>0</v>
      </c>
      <c r="M133" s="31">
        <v>14.8</v>
      </c>
      <c r="N133" s="32">
        <f t="shared" si="69"/>
        <v>6.802721088435471E-3</v>
      </c>
      <c r="O133" s="18">
        <f>IF(ISNUMBER(M133), $B145 * N133, "")</f>
        <v>680.27210884354713</v>
      </c>
      <c r="Q133" s="33"/>
      <c r="R133" s="33"/>
    </row>
    <row r="134" spans="1:19" ht="17.25" thickBot="1">
      <c r="A134" s="130" t="s">
        <v>202</v>
      </c>
      <c r="B134" s="131">
        <v>93.3</v>
      </c>
      <c r="C134" s="79">
        <v>-6.3897763999999999E-3</v>
      </c>
      <c r="D134" s="24">
        <v>93.3</v>
      </c>
      <c r="E134" s="25">
        <f t="shared" si="66"/>
        <v>0</v>
      </c>
      <c r="F134" s="104">
        <f>IF(ISNUMBER(D134), $B145 * E134, "")</f>
        <v>0</v>
      </c>
      <c r="G134" s="102">
        <v>93.9</v>
      </c>
      <c r="H134" s="25">
        <f t="shared" si="67"/>
        <v>6.4308681672026642E-3</v>
      </c>
      <c r="I134" s="103">
        <f>IF(ISNUMBER(G134), $B145 * H134, "")</f>
        <v>643.08681672026637</v>
      </c>
      <c r="J134" s="24">
        <v>96.2</v>
      </c>
      <c r="K134" s="25">
        <f t="shared" si="68"/>
        <v>3.1082529474812496E-2</v>
      </c>
      <c r="L134" s="104">
        <f>IF(ISNUMBER(J134), $B145 * K134, "")</f>
        <v>3108.2529474812495</v>
      </c>
      <c r="M134" s="102">
        <v>96.6</v>
      </c>
      <c r="N134" s="25">
        <f t="shared" si="69"/>
        <v>3.5369774919614121E-2</v>
      </c>
      <c r="O134" s="104">
        <f>IF(ISNUMBER(M134), $B145 * N134, "")</f>
        <v>3536.9774919614119</v>
      </c>
      <c r="Q134" s="236"/>
      <c r="R134" s="237"/>
      <c r="S134" s="238"/>
    </row>
    <row r="135" spans="1:19">
      <c r="A135" s="123" t="s">
        <v>234</v>
      </c>
      <c r="B135" s="124">
        <v>87</v>
      </c>
      <c r="C135" s="76">
        <v>-7.9817559999999996E-3</v>
      </c>
      <c r="D135" s="13">
        <v>87.5</v>
      </c>
      <c r="E135" s="14">
        <f>IF(ISNUMBER(D135), (D135 - $B135) / $B135, "")</f>
        <v>5.7471264367816091E-3</v>
      </c>
      <c r="F135" s="16">
        <f>IF(ISNUMBER(D135), $B145 * E135, "")</f>
        <v>574.71264367816093</v>
      </c>
      <c r="G135" s="29">
        <v>88.2</v>
      </c>
      <c r="H135" s="14">
        <f>IF(ISNUMBER(G135), (G135 - $B135) / $B135, "")</f>
        <v>1.3793103448275895E-2</v>
      </c>
      <c r="I135" s="100">
        <f>IF(ISNUMBER(G135), $B145 * H135, "")</f>
        <v>1379.3103448275895</v>
      </c>
      <c r="J135" s="13">
        <v>88.5</v>
      </c>
      <c r="K135" s="14">
        <f>IF(ISNUMBER(J135), (J135 - $B135) / $B135, "")</f>
        <v>1.7241379310344827E-2</v>
      </c>
      <c r="L135" s="16">
        <f>IF(ISNUMBER(J135), $B145 * K135, "")</f>
        <v>1724.1379310344828</v>
      </c>
      <c r="M135" s="29">
        <v>89.4</v>
      </c>
      <c r="N135" s="14">
        <f>IF(ISNUMBER(M135), (M135 - $B135) / $B135, "")</f>
        <v>2.758620689655179E-2</v>
      </c>
      <c r="O135" s="16">
        <f>IF(ISNUMBER(M135), $B145 * N135, "")</f>
        <v>2758.6206896551789</v>
      </c>
      <c r="Q135" s="239"/>
      <c r="R135" s="240"/>
      <c r="S135" s="241"/>
    </row>
    <row r="136" spans="1:19" ht="17.25" thickBot="1">
      <c r="A136" s="125" t="s">
        <v>240</v>
      </c>
      <c r="B136" s="126">
        <v>74.599999999999994</v>
      </c>
      <c r="C136" s="77">
        <v>-9.2961486999999995E-3</v>
      </c>
      <c r="D136" s="15">
        <v>75.5</v>
      </c>
      <c r="E136" s="32">
        <f t="shared" ref="E136:E139" si="70">IF(ISNUMBER(D136), (D136 - $B136) / $B136, "")</f>
        <v>1.2064343163538951E-2</v>
      </c>
      <c r="F136" s="18">
        <f>IF(ISNUMBER(D136), $B145 * E136, "")</f>
        <v>1206.4343163538952</v>
      </c>
      <c r="G136" s="31">
        <v>76.599999999999994</v>
      </c>
      <c r="H136" s="32">
        <f t="shared" ref="H136:H139" si="71">IF(ISNUMBER(G136), (G136 - $B136) / $B136, "")</f>
        <v>2.6809651474530832E-2</v>
      </c>
      <c r="I136" s="101">
        <f>IF(ISNUMBER(G136), $B145 * H136, "")</f>
        <v>2680.9651474530833</v>
      </c>
      <c r="J136" s="15">
        <v>77.5</v>
      </c>
      <c r="K136" s="32">
        <f t="shared" ref="K136:K139" si="72">IF(ISNUMBER(J136), (J136 - $B136) / $B136, "")</f>
        <v>3.8873994638069787E-2</v>
      </c>
      <c r="L136" s="18">
        <f>IF(ISNUMBER(J136), $B145 * K136, "")</f>
        <v>3887.3994638069785</v>
      </c>
      <c r="M136" s="31">
        <v>77.400000000000006</v>
      </c>
      <c r="N136" s="32">
        <f t="shared" ref="N136:N139" si="73">IF(ISNUMBER(M136), (M136 - $B136) / $B136, "")</f>
        <v>3.753351206434332E-2</v>
      </c>
      <c r="O136" s="18">
        <f>IF(ISNUMBER(M136), $B145 * N136, "")</f>
        <v>3753.3512064343322</v>
      </c>
      <c r="Q136" s="242"/>
      <c r="R136" s="243"/>
      <c r="S136" s="244"/>
    </row>
    <row r="137" spans="1:19" ht="17.25" thickBot="1">
      <c r="A137" s="125" t="s">
        <v>188</v>
      </c>
      <c r="B137" s="126">
        <v>13.9</v>
      </c>
      <c r="C137" s="77">
        <v>-1.4184397200000001E-2</v>
      </c>
      <c r="D137" s="15">
        <v>14.2</v>
      </c>
      <c r="E137" s="32">
        <f t="shared" si="70"/>
        <v>2.1582733812949562E-2</v>
      </c>
      <c r="F137" s="18">
        <f>IF(ISNUMBER(D137), $B145 * E137, "")</f>
        <v>2158.2733812949564</v>
      </c>
      <c r="G137" s="31">
        <v>14.2</v>
      </c>
      <c r="H137" s="32">
        <f t="shared" si="71"/>
        <v>2.1582733812949562E-2</v>
      </c>
      <c r="I137" s="101">
        <f>IF(ISNUMBER(G137), $B145 * H137, "")</f>
        <v>2158.2733812949564</v>
      </c>
      <c r="J137" s="15">
        <v>14.1</v>
      </c>
      <c r="K137" s="32">
        <f t="shared" si="72"/>
        <v>1.4388489208633042E-2</v>
      </c>
      <c r="L137" s="18">
        <f>IF(ISNUMBER(J137), $B145 * K137, "")</f>
        <v>1438.8489208633043</v>
      </c>
      <c r="M137" s="31">
        <v>14.2</v>
      </c>
      <c r="N137" s="32">
        <f t="shared" si="73"/>
        <v>2.1582733812949562E-2</v>
      </c>
      <c r="O137" s="18">
        <f>IF(ISNUMBER(M137), $B145 * N137, "")</f>
        <v>2158.2733812949564</v>
      </c>
      <c r="Q137" s="227"/>
      <c r="R137" s="227"/>
      <c r="S137" s="227"/>
    </row>
    <row r="138" spans="1:19" ht="17.25" thickBot="1">
      <c r="A138" s="125" t="s">
        <v>122</v>
      </c>
      <c r="B138" s="126">
        <v>40.4</v>
      </c>
      <c r="C138" s="77">
        <v>-1.4634146299999999E-2</v>
      </c>
      <c r="D138" s="15">
        <v>40.4</v>
      </c>
      <c r="E138" s="32">
        <f t="shared" si="70"/>
        <v>0</v>
      </c>
      <c r="F138" s="18">
        <f>IF(ISNUMBER(D138), $B145 * E138, "")</f>
        <v>0</v>
      </c>
      <c r="G138" s="31">
        <v>40.6</v>
      </c>
      <c r="H138" s="32">
        <f t="shared" si="71"/>
        <v>4.9504950495050208E-3</v>
      </c>
      <c r="I138" s="101">
        <f>IF(ISNUMBER(G138), $B145 * H138, "")</f>
        <v>495.04950495050207</v>
      </c>
      <c r="J138" s="15">
        <v>40.700000000000003</v>
      </c>
      <c r="K138" s="32">
        <f t="shared" si="72"/>
        <v>7.4257425742575312E-3</v>
      </c>
      <c r="L138" s="18">
        <f>IF(ISNUMBER(J138), $B145 * K138, "")</f>
        <v>742.5742574257531</v>
      </c>
      <c r="M138" s="31">
        <v>40.6</v>
      </c>
      <c r="N138" s="32">
        <f t="shared" si="73"/>
        <v>4.9504950495050208E-3</v>
      </c>
      <c r="O138" s="18">
        <f>IF(ISNUMBER(M138), $B145 * N138, "")</f>
        <v>495.04950495050207</v>
      </c>
      <c r="Q138" s="222"/>
      <c r="R138" s="222"/>
      <c r="S138" s="222"/>
    </row>
    <row r="139" spans="1:19" ht="17.25" thickBot="1">
      <c r="A139" s="127" t="s">
        <v>72</v>
      </c>
      <c r="B139" s="128">
        <v>26.5</v>
      </c>
      <c r="C139" s="78">
        <v>-1.4869888499999999E-2</v>
      </c>
      <c r="D139" s="20">
        <v>26.6</v>
      </c>
      <c r="E139" s="21">
        <f t="shared" si="70"/>
        <v>3.7735849056604312E-3</v>
      </c>
      <c r="F139" s="22">
        <f>IF(ISNUMBER(D139), $B145 * E139, "")</f>
        <v>377.35849056604314</v>
      </c>
      <c r="G139" s="30">
        <v>27.2</v>
      </c>
      <c r="H139" s="21">
        <f t="shared" si="71"/>
        <v>2.6415094339622615E-2</v>
      </c>
      <c r="I139" s="105">
        <f>IF(ISNUMBER(G139), $B145 * H139, "")</f>
        <v>2641.5094339622615</v>
      </c>
      <c r="J139" s="20">
        <v>27.3</v>
      </c>
      <c r="K139" s="21">
        <f t="shared" si="72"/>
        <v>3.0188679245283047E-2</v>
      </c>
      <c r="L139" s="22">
        <f>IF(ISNUMBER(J139), $B145 * K139, "")</f>
        <v>3018.8679245283047</v>
      </c>
      <c r="M139" s="30">
        <v>27.5</v>
      </c>
      <c r="N139" s="21">
        <f t="shared" si="73"/>
        <v>3.7735849056603772E-2</v>
      </c>
      <c r="O139" s="22">
        <f>IF(ISNUMBER(M139), $B145 * N139, "")</f>
        <v>3773.584905660377</v>
      </c>
      <c r="Q139" s="222"/>
      <c r="R139" s="222"/>
      <c r="S139" s="222"/>
    </row>
    <row r="140" spans="1:19" ht="17.25" thickBot="1">
      <c r="A140" s="125" t="s">
        <v>216</v>
      </c>
      <c r="B140" s="129">
        <v>12.1</v>
      </c>
      <c r="C140" s="80">
        <v>-1.6260162599999999E-2</v>
      </c>
      <c r="D140" s="106">
        <v>12.2</v>
      </c>
      <c r="E140" s="107">
        <f>IF(ISNUMBER(D140), (D140 - $B140) / $B140, "")</f>
        <v>8.2644628099173261E-3</v>
      </c>
      <c r="F140" s="108">
        <f>IF(ISNUMBER(D140), $B145 * E140, "")</f>
        <v>826.44628099173258</v>
      </c>
      <c r="G140" s="109">
        <v>12.3</v>
      </c>
      <c r="H140" s="107">
        <f>IF(ISNUMBER(G140), (G140 - $B140) / $B140, "")</f>
        <v>1.6528925619834798E-2</v>
      </c>
      <c r="I140" s="110">
        <f>IF(ISNUMBER(G140), $B145 * H140, "")</f>
        <v>1652.8925619834797</v>
      </c>
      <c r="J140" s="106">
        <v>12.2</v>
      </c>
      <c r="K140" s="107">
        <f>IF(ISNUMBER(J140), (J140 - $B140) / $B140, "")</f>
        <v>8.2644628099173261E-3</v>
      </c>
      <c r="L140" s="108">
        <f>IF(ISNUMBER(J140), $B145 * K140, "")</f>
        <v>826.44628099173258</v>
      </c>
      <c r="M140" s="109">
        <v>12.3</v>
      </c>
      <c r="N140" s="107">
        <f>IF(ISNUMBER(M140), (M140 - $B140) / $B140, "")</f>
        <v>1.6528925619834798E-2</v>
      </c>
      <c r="O140" s="108">
        <f>IF(ISNUMBER(M140), $B145 * N140, "")</f>
        <v>1652.8925619834797</v>
      </c>
      <c r="Q140" s="227"/>
      <c r="R140" s="227"/>
      <c r="S140" s="227"/>
    </row>
    <row r="141" spans="1:19" ht="17.25" thickBot="1">
      <c r="A141" s="125" t="s">
        <v>210</v>
      </c>
      <c r="B141" s="126">
        <v>17.3</v>
      </c>
      <c r="C141" s="77">
        <v>-5.9782608700000003E-2</v>
      </c>
      <c r="D141" s="15">
        <v>16.600000000000001</v>
      </c>
      <c r="E141" s="32">
        <f t="shared" ref="E141:E144" si="74">IF(ISNUMBER(D141), (D141 - $B141) / $B141, "")</f>
        <v>-4.0462427745664699E-2</v>
      </c>
      <c r="F141" s="18">
        <f>IF(ISNUMBER(D141), $B145 * E141, "")</f>
        <v>-4046.24277456647</v>
      </c>
      <c r="G141" s="31">
        <v>16.7</v>
      </c>
      <c r="H141" s="32">
        <f t="shared" ref="H141:H144" si="75">IF(ISNUMBER(G141), (G141 - $B141) / $B141, "")</f>
        <v>-3.4682080924855571E-2</v>
      </c>
      <c r="I141" s="101">
        <f>IF(ISNUMBER(G141), $B145 * H141, "")</f>
        <v>-3468.2080924855572</v>
      </c>
      <c r="J141" s="15">
        <v>16.600000000000001</v>
      </c>
      <c r="K141" s="32">
        <f t="shared" ref="K141:K144" si="76">IF(ISNUMBER(J141), (J141 - $B141) / $B141, "")</f>
        <v>-4.0462427745664699E-2</v>
      </c>
      <c r="L141" s="18">
        <f>IF(ISNUMBER(J141), $B145 * K141, "")</f>
        <v>-4046.24277456647</v>
      </c>
      <c r="M141" s="31">
        <v>16.7</v>
      </c>
      <c r="N141" s="32">
        <f t="shared" ref="N141:N144" si="77">IF(ISNUMBER(M141), (M141 - $B141) / $B141, "")</f>
        <v>-3.4682080924855571E-2</v>
      </c>
      <c r="O141" s="18">
        <f>IF(ISNUMBER(M141), $B145 * N141, "")</f>
        <v>-3468.2080924855572</v>
      </c>
      <c r="Q141" s="227"/>
      <c r="R141" s="227"/>
      <c r="S141" s="22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132" t="s">
        <v>270</v>
      </c>
      <c r="B145" s="260">
        <f>$B$37</f>
        <v>100000</v>
      </c>
      <c r="C145" s="261"/>
      <c r="D145" s="26" t="s">
        <v>271</v>
      </c>
      <c r="E145" s="27">
        <f>IF(COUNT(E125:E144), SUM(E125:E144) / COUNT(E125:E144), 0)</f>
        <v>1.2471833747768647E-2</v>
      </c>
      <c r="F145" s="28">
        <f>SUM(F125:F144)</f>
        <v>21202.117371206696</v>
      </c>
      <c r="G145" s="26" t="s">
        <v>271</v>
      </c>
      <c r="H145" s="27">
        <f>IF(COUNT(H125:H144), SUM(H125:H144) / COUNT(H125:H144), 0)</f>
        <v>2.4378930087978156E-2</v>
      </c>
      <c r="I145" s="28">
        <f>SUM(I125:I144)</f>
        <v>41444.181149562857</v>
      </c>
      <c r="J145" s="26" t="s">
        <v>271</v>
      </c>
      <c r="K145" s="27">
        <f>IF(COUNT(K125:K144), SUM(K125:K144) / COUNT(K125:K144), 0)</f>
        <v>2.5799594458990764E-2</v>
      </c>
      <c r="L145" s="28">
        <f>SUM(L125:L144)</f>
        <v>43859.310580284298</v>
      </c>
      <c r="M145" s="26" t="s">
        <v>271</v>
      </c>
      <c r="N145" s="27">
        <f>IF(COUNT(N125:N144), SUM(N125:N144) / COUNT(N125:N144), 0)</f>
        <v>2.7882923012324555E-2</v>
      </c>
      <c r="O145" s="28">
        <f>SUM(O125:O144)</f>
        <v>47400.969120951755</v>
      </c>
      <c r="Q145" s="255"/>
      <c r="R145" s="256"/>
      <c r="S145" s="257"/>
    </row>
    <row r="147" spans="1:19" ht="17.25" thickBot="1"/>
    <row r="148" spans="1:19" ht="17.25" thickBot="1">
      <c r="A148" s="201" t="s">
        <v>259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65" t="s">
        <v>267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55149000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2.1442459999999998E-3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2021-09-03(금) 오전 00:00</v>
      </c>
      <c r="C150" s="265"/>
      <c r="D150" s="224" t="str">
        <f>TEXT($G$1, "[$-ko-KR]yyyy-mm-dd(ddd) ") &amp; "오후 14:00"</f>
        <v>2021-09-03(금) 오후 14:00</v>
      </c>
      <c r="E150" s="225"/>
      <c r="F150" s="226"/>
      <c r="G150" s="224" t="str">
        <f>TEXT($G$1, "[$-ko-KR]yyyy-mm-dd(ddd) ") &amp; "오후 19:00"</f>
        <v>2021-09-03(금) 오후 19:00</v>
      </c>
      <c r="H150" s="225"/>
      <c r="I150" s="226"/>
      <c r="J150" s="224" t="str">
        <f>TEXT($G$1, "[$-ko-KR]yyyy-mm-dd(ddd) ") &amp; "오후 21:00"</f>
        <v>2021-09-03(금) 오후 21:00</v>
      </c>
      <c r="K150" s="225"/>
      <c r="L150" s="226"/>
      <c r="M150" s="224" t="str">
        <f>TEXT($G$1+1, "[$-ko-KR]yyyy-mm-dd(ddd) ") &amp; "오전 00:00"</f>
        <v>2021-09-04(토)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7"/>
      <c r="R151" s="227"/>
      <c r="S151" s="227"/>
    </row>
    <row r="152" spans="1:19" ht="17.25" thickBot="1">
      <c r="A152" s="123" t="s">
        <v>266</v>
      </c>
      <c r="B152" s="124">
        <v>345</v>
      </c>
      <c r="C152" s="76">
        <v>1.47058824E-2</v>
      </c>
      <c r="D152" s="13">
        <v>345</v>
      </c>
      <c r="E152" s="14">
        <f>IF(ISNUMBER(D152), (D152 - $B152) / $B152, "")</f>
        <v>0</v>
      </c>
      <c r="F152" s="16">
        <f>IF(ISNUMBER(D152), $B172 * E152, "")</f>
        <v>0</v>
      </c>
      <c r="G152" s="29">
        <v>347</v>
      </c>
      <c r="H152" s="14">
        <f>IF(ISNUMBER(G152), (G152 - $B152) / $B152, "")</f>
        <v>5.7971014492753624E-3</v>
      </c>
      <c r="I152" s="100">
        <f>IF(ISNUMBER(G152), $B172 * H152, "")</f>
        <v>579.71014492753625</v>
      </c>
      <c r="J152" s="13">
        <v>346</v>
      </c>
      <c r="K152" s="14">
        <f>IF(ISNUMBER(J152), (J152 - $B152) / $B152, "")</f>
        <v>2.8985507246376812E-3</v>
      </c>
      <c r="L152" s="16">
        <f>IF(ISNUMBER(J152), $B172 * K152, "")</f>
        <v>289.85507246376812</v>
      </c>
      <c r="M152" s="29">
        <v>348</v>
      </c>
      <c r="N152" s="14">
        <f>IF(ISNUMBER(M152), (M152 - $B152) / $B152, "")</f>
        <v>8.6956521739130436E-3</v>
      </c>
      <c r="O152" s="16">
        <f>IF(ISNUMBER(M152), $B172 * N152, "")</f>
        <v>869.56521739130437</v>
      </c>
      <c r="Q152" s="222"/>
      <c r="R152" s="222"/>
      <c r="S152" s="222"/>
    </row>
    <row r="153" spans="1:19" ht="17.25" thickBot="1">
      <c r="A153" s="125" t="s">
        <v>54</v>
      </c>
      <c r="B153" s="126">
        <v>310</v>
      </c>
      <c r="C153" s="77">
        <v>1.30718954E-2</v>
      </c>
      <c r="D153" s="15">
        <v>317</v>
      </c>
      <c r="E153" s="32">
        <f t="shared" ref="E153:E156" si="78">IF(ISNUMBER(D153), (D153 - $B153) / $B153, "")</f>
        <v>2.2580645161290321E-2</v>
      </c>
      <c r="F153" s="18">
        <f>IF(ISNUMBER(D153), $B172 * E153, "")</f>
        <v>2258.0645161290322</v>
      </c>
      <c r="G153" s="31">
        <v>317</v>
      </c>
      <c r="H153" s="32">
        <f t="shared" ref="H153:H156" si="79">IF(ISNUMBER(G153), (G153 - $B153) / $B153, "")</f>
        <v>2.2580645161290321E-2</v>
      </c>
      <c r="I153" s="101">
        <f>IF(ISNUMBER(G153), $B172 * H153, "")</f>
        <v>2258.0645161290322</v>
      </c>
      <c r="J153" s="15">
        <v>317</v>
      </c>
      <c r="K153" s="32">
        <f t="shared" ref="K153:K156" si="80">IF(ISNUMBER(J153), (J153 - $B153) / $B153, "")</f>
        <v>2.2580645161290321E-2</v>
      </c>
      <c r="L153" s="18">
        <f>IF(ISNUMBER(J153), $B172 * K153, "")</f>
        <v>2258.0645161290322</v>
      </c>
      <c r="M153" s="31">
        <v>318</v>
      </c>
      <c r="N153" s="32">
        <f t="shared" ref="N153:N156" si="81">IF(ISNUMBER(M153), (M153 - $B153) / $B153, "")</f>
        <v>2.5806451612903226E-2</v>
      </c>
      <c r="O153" s="18">
        <f>IF(ISNUMBER(M153), $B172 * N153, "")</f>
        <v>2580.6451612903224</v>
      </c>
      <c r="Q153" s="222"/>
      <c r="R153" s="222"/>
      <c r="S153" s="222"/>
    </row>
    <row r="154" spans="1:19" ht="17.25" thickBot="1">
      <c r="A154" s="125" t="s">
        <v>138</v>
      </c>
      <c r="B154" s="126">
        <v>400</v>
      </c>
      <c r="C154" s="77">
        <v>1.01010101E-2</v>
      </c>
      <c r="D154" s="15">
        <v>401</v>
      </c>
      <c r="E154" s="32">
        <f t="shared" si="78"/>
        <v>2.5000000000000001E-3</v>
      </c>
      <c r="F154" s="18">
        <f>IF(ISNUMBER(D154), $B172 * E154, "")</f>
        <v>250</v>
      </c>
      <c r="G154" s="31">
        <v>407</v>
      </c>
      <c r="H154" s="32">
        <f t="shared" si="79"/>
        <v>1.7500000000000002E-2</v>
      </c>
      <c r="I154" s="101">
        <f>IF(ISNUMBER(G154), $B172 * H154, "")</f>
        <v>1750.0000000000002</v>
      </c>
      <c r="J154" s="15">
        <v>409</v>
      </c>
      <c r="K154" s="32">
        <f t="shared" si="80"/>
        <v>2.2499999999999999E-2</v>
      </c>
      <c r="L154" s="18">
        <f>IF(ISNUMBER(J154), $B172 * K154, "")</f>
        <v>2250</v>
      </c>
      <c r="M154" s="31">
        <v>418</v>
      </c>
      <c r="N154" s="32">
        <f t="shared" si="81"/>
        <v>4.4999999999999998E-2</v>
      </c>
      <c r="O154" s="18">
        <f>IF(ISNUMBER(M154), $B172 * N154, "")</f>
        <v>4500</v>
      </c>
      <c r="Q154" s="227"/>
      <c r="R154" s="227"/>
      <c r="S154" s="227"/>
    </row>
    <row r="155" spans="1:19" ht="17.25" thickBot="1">
      <c r="A155" s="125" t="s">
        <v>232</v>
      </c>
      <c r="B155" s="126">
        <v>663</v>
      </c>
      <c r="C155" s="77">
        <v>9.1324201000000001E-3</v>
      </c>
      <c r="D155" s="15">
        <v>707</v>
      </c>
      <c r="E155" s="32">
        <f t="shared" si="78"/>
        <v>6.636500754147813E-2</v>
      </c>
      <c r="F155" s="18">
        <f>IF(ISNUMBER(D155), $B172 * E155, "")</f>
        <v>6636.5007541478126</v>
      </c>
      <c r="G155" s="31">
        <v>725</v>
      </c>
      <c r="H155" s="32">
        <f t="shared" si="79"/>
        <v>9.3514328808446456E-2</v>
      </c>
      <c r="I155" s="101">
        <f>IF(ISNUMBER(G155), $B172 * H155, "")</f>
        <v>9351.4328808446462</v>
      </c>
      <c r="J155" s="15">
        <v>743</v>
      </c>
      <c r="K155" s="32">
        <f t="shared" si="80"/>
        <v>0.12066365007541478</v>
      </c>
      <c r="L155" s="18">
        <f>IF(ISNUMBER(J155), $B172 * K155, "")</f>
        <v>12066.365007541479</v>
      </c>
      <c r="M155" s="31">
        <v>743</v>
      </c>
      <c r="N155" s="32">
        <f t="shared" si="81"/>
        <v>0.12066365007541478</v>
      </c>
      <c r="O155" s="18">
        <f>IF(ISNUMBER(M155), $B172 * N155, "")</f>
        <v>12066.365007541479</v>
      </c>
      <c r="Q155" s="227"/>
      <c r="R155" s="227"/>
      <c r="S155" s="227"/>
    </row>
    <row r="156" spans="1:19" ht="17.25" thickBot="1">
      <c r="A156" s="127" t="s">
        <v>144</v>
      </c>
      <c r="B156" s="128">
        <v>123</v>
      </c>
      <c r="C156" s="78">
        <v>8.1967212999999994E-3</v>
      </c>
      <c r="D156" s="20">
        <v>124</v>
      </c>
      <c r="E156" s="21">
        <f t="shared" si="78"/>
        <v>8.130081300813009E-3</v>
      </c>
      <c r="F156" s="22">
        <f>IF(ISNUMBER(D156), $B172 * E156, "")</f>
        <v>813.00813008130092</v>
      </c>
      <c r="G156" s="30">
        <v>125</v>
      </c>
      <c r="H156" s="21">
        <f t="shared" si="79"/>
        <v>1.6260162601626018E-2</v>
      </c>
      <c r="I156" s="105">
        <f>IF(ISNUMBER(G156), $B172 * H156, "")</f>
        <v>1626.0162601626018</v>
      </c>
      <c r="J156" s="20">
        <v>124</v>
      </c>
      <c r="K156" s="21">
        <f t="shared" si="80"/>
        <v>8.130081300813009E-3</v>
      </c>
      <c r="L156" s="22">
        <f>IF(ISNUMBER(J156), $B172 * K156, "")</f>
        <v>813.00813008130092</v>
      </c>
      <c r="M156" s="30">
        <v>125</v>
      </c>
      <c r="N156" s="21">
        <f t="shared" si="81"/>
        <v>1.6260162601626018E-2</v>
      </c>
      <c r="O156" s="22">
        <f>IF(ISNUMBER(M156), $B172 * N156, "")</f>
        <v>1626.0162601626018</v>
      </c>
      <c r="Q156" s="227"/>
      <c r="R156" s="227"/>
      <c r="S156" s="227"/>
    </row>
    <row r="157" spans="1:19" ht="17.25" thickBot="1">
      <c r="A157" s="125" t="s">
        <v>238</v>
      </c>
      <c r="B157" s="129">
        <v>127</v>
      </c>
      <c r="C157" s="80">
        <v>7.9365079000000005E-3</v>
      </c>
      <c r="D157" s="106">
        <v>130</v>
      </c>
      <c r="E157" s="107">
        <f>IF(ISNUMBER(D157), (D157 - $B157) / $B157, "")</f>
        <v>2.3622047244094488E-2</v>
      </c>
      <c r="F157" s="108">
        <f>IF(ISNUMBER(D157), $B172 * E157, "")</f>
        <v>2362.2047244094488</v>
      </c>
      <c r="G157" s="109">
        <v>130</v>
      </c>
      <c r="H157" s="107">
        <f>IF(ISNUMBER(G157), (G157 - $B157) / $B157, "")</f>
        <v>2.3622047244094488E-2</v>
      </c>
      <c r="I157" s="110">
        <f>IF(ISNUMBER(G157), $B172 * H157, "")</f>
        <v>2362.2047244094488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135</v>
      </c>
      <c r="N157" s="107">
        <f>IF(ISNUMBER(M157), (M157 - $B157) / $B157, "")</f>
        <v>6.2992125984251968E-2</v>
      </c>
      <c r="O157" s="108">
        <f>IF(ISNUMBER(M157), $B172 * N157, "")</f>
        <v>6299.212598425197</v>
      </c>
      <c r="Q157" s="227"/>
      <c r="R157" s="227"/>
      <c r="S157" s="227"/>
    </row>
    <row r="158" spans="1:19" ht="17.25" thickBot="1">
      <c r="A158" s="125" t="s">
        <v>124</v>
      </c>
      <c r="B158" s="126">
        <v>410</v>
      </c>
      <c r="C158" s="77">
        <v>7.3710073999999999E-3</v>
      </c>
      <c r="D158" s="15">
        <v>419</v>
      </c>
      <c r="E158" s="32">
        <f t="shared" ref="E158:E161" si="82">IF(ISNUMBER(D158), (D158 - $B158) / $B158, "")</f>
        <v>2.1951219512195121E-2</v>
      </c>
      <c r="F158" s="18">
        <f>IF(ISNUMBER(D158), $B172 * E158, "")</f>
        <v>2195.1219512195121</v>
      </c>
      <c r="G158" s="31">
        <v>428</v>
      </c>
      <c r="H158" s="32">
        <f t="shared" ref="H158:H161" si="83">IF(ISNUMBER(G158), (G158 - $B158) / $B158, "")</f>
        <v>4.3902439024390241E-2</v>
      </c>
      <c r="I158" s="101">
        <f>IF(ISNUMBER(G158), $B172 * H158, "")</f>
        <v>4390.2439024390242</v>
      </c>
      <c r="J158" s="15">
        <v>432</v>
      </c>
      <c r="K158" s="32">
        <f t="shared" ref="K158:K161" si="84">IF(ISNUMBER(J158), (J158 - $B158) / $B158, "")</f>
        <v>5.3658536585365853E-2</v>
      </c>
      <c r="L158" s="18">
        <f>IF(ISNUMBER(J158), $B172 * K158, "")</f>
        <v>5365.8536585365855</v>
      </c>
      <c r="M158" s="31">
        <v>432</v>
      </c>
      <c r="N158" s="32">
        <f t="shared" ref="N158:N161" si="85">IF(ISNUMBER(M158), (M158 - $B158) / $B158, "")</f>
        <v>5.3658536585365853E-2</v>
      </c>
      <c r="O158" s="18">
        <f>IF(ISNUMBER(M158), $B172 * N158, "")</f>
        <v>5365.8536585365855</v>
      </c>
      <c r="Q158" s="227"/>
      <c r="R158" s="227"/>
      <c r="S158" s="227"/>
    </row>
    <row r="159" spans="1:19" ht="17.25" thickBot="1">
      <c r="A159" s="125" t="s">
        <v>228</v>
      </c>
      <c r="B159" s="126">
        <v>431</v>
      </c>
      <c r="C159" s="77">
        <v>7.0093458000000004E-3</v>
      </c>
      <c r="D159" s="15">
        <v>438</v>
      </c>
      <c r="E159" s="32">
        <f t="shared" si="82"/>
        <v>1.6241299303944315E-2</v>
      </c>
      <c r="F159" s="18">
        <f>IF(ISNUMBER(D159), $B172 * E159, "")</f>
        <v>1624.1299303944315</v>
      </c>
      <c r="G159" s="31">
        <v>444</v>
      </c>
      <c r="H159" s="32">
        <f t="shared" si="83"/>
        <v>3.0162412993039442E-2</v>
      </c>
      <c r="I159" s="101">
        <f>IF(ISNUMBER(G159), $B172 * H159, "")</f>
        <v>3016.2412993039443</v>
      </c>
      <c r="J159" s="15">
        <v>453</v>
      </c>
      <c r="K159" s="32">
        <f t="shared" si="84"/>
        <v>5.1044083526682132E-2</v>
      </c>
      <c r="L159" s="18">
        <f>IF(ISNUMBER(J159), $B172 * K159, "")</f>
        <v>5104.4083526682134</v>
      </c>
      <c r="M159" s="31">
        <v>450</v>
      </c>
      <c r="N159" s="32">
        <f t="shared" si="85"/>
        <v>4.4083526682134569E-2</v>
      </c>
      <c r="O159" s="18">
        <f>IF(ISNUMBER(M159), $B172 * N159, "")</f>
        <v>4408.352668213457</v>
      </c>
      <c r="Q159" s="227"/>
      <c r="R159" s="227"/>
      <c r="S159" s="227"/>
    </row>
    <row r="160" spans="1:19" ht="17.25" thickBot="1">
      <c r="A160" s="125" t="s">
        <v>118</v>
      </c>
      <c r="B160" s="126">
        <v>188</v>
      </c>
      <c r="C160" s="77">
        <v>5.3475935999999996E-3</v>
      </c>
      <c r="D160" s="15">
        <v>190</v>
      </c>
      <c r="E160" s="32">
        <f t="shared" si="82"/>
        <v>1.0638297872340425E-2</v>
      </c>
      <c r="F160" s="18">
        <f>IF(ISNUMBER(D160), $B172 * E160, "")</f>
        <v>1063.8297872340424</v>
      </c>
      <c r="G160" s="31">
        <v>192</v>
      </c>
      <c r="H160" s="32">
        <f t="shared" si="83"/>
        <v>2.1276595744680851E-2</v>
      </c>
      <c r="I160" s="101">
        <f>IF(ISNUMBER(G160), $B172 * H160, "")</f>
        <v>2127.6595744680849</v>
      </c>
      <c r="J160" s="15">
        <v>193</v>
      </c>
      <c r="K160" s="32">
        <f t="shared" si="84"/>
        <v>2.6595744680851064E-2</v>
      </c>
      <c r="L160" s="18">
        <f>IF(ISNUMBER(J160), $B172 * K160, "")</f>
        <v>2659.5744680851062</v>
      </c>
      <c r="M160" s="31">
        <v>195</v>
      </c>
      <c r="N160" s="32">
        <f t="shared" si="85"/>
        <v>3.7234042553191488E-2</v>
      </c>
      <c r="O160" s="18">
        <f>IF(ISNUMBER(M160), $B172 * N160, "")</f>
        <v>3723.4042553191489</v>
      </c>
      <c r="Q160" s="33"/>
      <c r="R160" s="33"/>
    </row>
    <row r="161" spans="1:19" ht="17.25" thickBot="1">
      <c r="A161" s="130" t="s">
        <v>57</v>
      </c>
      <c r="B161" s="131">
        <v>232</v>
      </c>
      <c r="C161" s="79">
        <v>0</v>
      </c>
      <c r="D161" s="24">
        <v>234</v>
      </c>
      <c r="E161" s="25">
        <f t="shared" si="82"/>
        <v>8.6206896551724137E-3</v>
      </c>
      <c r="F161" s="104">
        <f>IF(ISNUMBER(D161), $B172 * E161, "")</f>
        <v>862.06896551724139</v>
      </c>
      <c r="G161" s="102">
        <v>236</v>
      </c>
      <c r="H161" s="25">
        <f t="shared" si="83"/>
        <v>1.7241379310344827E-2</v>
      </c>
      <c r="I161" s="103">
        <f>IF(ISNUMBER(G161), $B172 * H161, "")</f>
        <v>1724.1379310344828</v>
      </c>
      <c r="J161" s="24">
        <v>236</v>
      </c>
      <c r="K161" s="25">
        <f t="shared" si="84"/>
        <v>1.7241379310344827E-2</v>
      </c>
      <c r="L161" s="104">
        <f>IF(ISNUMBER(J161), $B172 * K161, "")</f>
        <v>1724.1379310344828</v>
      </c>
      <c r="M161" s="102">
        <v>240</v>
      </c>
      <c r="N161" s="25">
        <f t="shared" si="85"/>
        <v>3.4482758620689655E-2</v>
      </c>
      <c r="O161" s="104">
        <f>IF(ISNUMBER(M161), $B172 * N161, "")</f>
        <v>3448.2758620689656</v>
      </c>
      <c r="Q161" s="236"/>
      <c r="R161" s="237"/>
      <c r="S161" s="238"/>
    </row>
    <row r="162" spans="1:19">
      <c r="A162" s="123" t="s">
        <v>110</v>
      </c>
      <c r="B162" s="124">
        <v>199</v>
      </c>
      <c r="C162" s="76">
        <v>0</v>
      </c>
      <c r="D162" s="13">
        <v>200</v>
      </c>
      <c r="E162" s="14">
        <f>IF(ISNUMBER(D162), (D162 - $B162) / $B162, "")</f>
        <v>5.0251256281407036E-3</v>
      </c>
      <c r="F162" s="16">
        <f>IF(ISNUMBER(D162), $B172 * E162, "")</f>
        <v>502.51256281407035</v>
      </c>
      <c r="G162" s="29">
        <v>201</v>
      </c>
      <c r="H162" s="14">
        <f>IF(ISNUMBER(G162), (G162 - $B162) / $B162, "")</f>
        <v>1.0050251256281407E-2</v>
      </c>
      <c r="I162" s="100">
        <f>IF(ISNUMBER(G162), $B172 * H162, "")</f>
        <v>1005.0251256281407</v>
      </c>
      <c r="J162" s="13">
        <v>201</v>
      </c>
      <c r="K162" s="14">
        <f>IF(ISNUMBER(J162), (J162 - $B162) / $B162, "")</f>
        <v>1.0050251256281407E-2</v>
      </c>
      <c r="L162" s="16">
        <f>IF(ISNUMBER(J162), $B172 * K162, "")</f>
        <v>1005.0251256281407</v>
      </c>
      <c r="M162" s="29">
        <v>204</v>
      </c>
      <c r="N162" s="14">
        <f>IF(ISNUMBER(M162), (M162 - $B162) / $B162, "")</f>
        <v>2.5125628140703519E-2</v>
      </c>
      <c r="O162" s="16">
        <f>IF(ISNUMBER(M162), $B172 * N162, "")</f>
        <v>2512.562814070352</v>
      </c>
      <c r="Q162" s="239"/>
      <c r="R162" s="240"/>
      <c r="S162" s="241"/>
    </row>
    <row r="163" spans="1:19" ht="17.25" thickBot="1">
      <c r="A163" s="125" t="s">
        <v>86</v>
      </c>
      <c r="B163" s="126">
        <v>442</v>
      </c>
      <c r="C163" s="77">
        <v>-4.5045045000000001E-3</v>
      </c>
      <c r="D163" s="15">
        <v>449</v>
      </c>
      <c r="E163" s="32">
        <f t="shared" ref="E163:E166" si="86">IF(ISNUMBER(D163), (D163 - $B163) / $B163, "")</f>
        <v>1.5837104072398189E-2</v>
      </c>
      <c r="F163" s="18">
        <f>IF(ISNUMBER(D163), $B172 * E163, "")</f>
        <v>1583.710407239819</v>
      </c>
      <c r="G163" s="31">
        <v>456</v>
      </c>
      <c r="H163" s="32">
        <f t="shared" ref="H163:H166" si="87">IF(ISNUMBER(G163), (G163 - $B163) / $B163, "")</f>
        <v>3.1674208144796379E-2</v>
      </c>
      <c r="I163" s="101">
        <f>IF(ISNUMBER(G163), $B172 * H163, "")</f>
        <v>3167.420814479638</v>
      </c>
      <c r="J163" s="15">
        <v>452</v>
      </c>
      <c r="K163" s="32">
        <f t="shared" ref="K163:K166" si="88">IF(ISNUMBER(J163), (J163 - $B163) / $B163, "")</f>
        <v>2.2624434389140271E-2</v>
      </c>
      <c r="L163" s="18">
        <f>IF(ISNUMBER(J163), $B172 * K163, "")</f>
        <v>2262.443438914027</v>
      </c>
      <c r="M163" s="31">
        <v>454</v>
      </c>
      <c r="N163" s="32">
        <f t="shared" ref="N163:N166" si="89">IF(ISNUMBER(M163), (M163 - $B163) / $B163, "")</f>
        <v>2.7149321266968326E-2</v>
      </c>
      <c r="O163" s="18">
        <f>IF(ISNUMBER(M163), $B172 * N163, "")</f>
        <v>2714.9321266968327</v>
      </c>
      <c r="Q163" s="242"/>
      <c r="R163" s="243"/>
      <c r="S163" s="244"/>
    </row>
    <row r="164" spans="1:19" ht="17.25" thickBot="1">
      <c r="A164" s="125" t="s">
        <v>194</v>
      </c>
      <c r="B164" s="126">
        <v>148</v>
      </c>
      <c r="C164" s="77">
        <v>-6.7114093999999999E-3</v>
      </c>
      <c r="D164" s="15">
        <v>148</v>
      </c>
      <c r="E164" s="32">
        <f t="shared" si="86"/>
        <v>0</v>
      </c>
      <c r="F164" s="18">
        <f>IF(ISNUMBER(D164), $B172 * E164, "")</f>
        <v>0</v>
      </c>
      <c r="G164" s="31">
        <v>150</v>
      </c>
      <c r="H164" s="32">
        <f t="shared" si="87"/>
        <v>1.3513513513513514E-2</v>
      </c>
      <c r="I164" s="101">
        <f>IF(ISNUMBER(G164), $B172 * H164, "")</f>
        <v>1351.3513513513515</v>
      </c>
      <c r="J164" s="15">
        <v>150</v>
      </c>
      <c r="K164" s="32">
        <f t="shared" si="88"/>
        <v>1.3513513513513514E-2</v>
      </c>
      <c r="L164" s="18">
        <f>IF(ISNUMBER(J164), $B172 * K164, "")</f>
        <v>1351.3513513513515</v>
      </c>
      <c r="M164" s="31">
        <v>152</v>
      </c>
      <c r="N164" s="32">
        <f t="shared" si="89"/>
        <v>2.7027027027027029E-2</v>
      </c>
      <c r="O164" s="18">
        <f>IF(ISNUMBER(M164), $B172 * N164, "")</f>
        <v>2702.7027027027029</v>
      </c>
      <c r="Q164" s="227"/>
      <c r="R164" s="227"/>
      <c r="S164" s="227"/>
    </row>
    <row r="165" spans="1:19" ht="17.25" thickBot="1">
      <c r="A165" s="125" t="s">
        <v>132</v>
      </c>
      <c r="B165" s="126">
        <v>132</v>
      </c>
      <c r="C165" s="77">
        <v>-7.5187969999999998E-3</v>
      </c>
      <c r="D165" s="15">
        <v>136</v>
      </c>
      <c r="E165" s="32">
        <f t="shared" si="86"/>
        <v>3.0303030303030304E-2</v>
      </c>
      <c r="F165" s="18">
        <f>IF(ISNUMBER(D165), $B172 * E165, "")</f>
        <v>3030.3030303030305</v>
      </c>
      <c r="G165" s="31">
        <v>140</v>
      </c>
      <c r="H165" s="32">
        <f t="shared" si="87"/>
        <v>6.0606060606060608E-2</v>
      </c>
      <c r="I165" s="101">
        <f>IF(ISNUMBER(G165), $B172 * H165, "")</f>
        <v>6060.606060606061</v>
      </c>
      <c r="J165" s="15">
        <v>139</v>
      </c>
      <c r="K165" s="32">
        <f t="shared" si="88"/>
        <v>5.3030303030303032E-2</v>
      </c>
      <c r="L165" s="18">
        <f>IF(ISNUMBER(J165), $B172 * K165, "")</f>
        <v>5303.030303030303</v>
      </c>
      <c r="M165" s="31">
        <v>138</v>
      </c>
      <c r="N165" s="32">
        <f t="shared" si="89"/>
        <v>4.5454545454545456E-2</v>
      </c>
      <c r="O165" s="18">
        <f>IF(ISNUMBER(M165), $B172 * N165, "")</f>
        <v>4545.454545454546</v>
      </c>
      <c r="Q165" s="222"/>
      <c r="R165" s="222"/>
      <c r="S165" s="222"/>
    </row>
    <row r="166" spans="1:19" ht="17.25" thickBot="1">
      <c r="A166" s="127" t="s">
        <v>236</v>
      </c>
      <c r="B166" s="128">
        <v>705</v>
      </c>
      <c r="C166" s="78">
        <v>-8.4388186E-3</v>
      </c>
      <c r="D166" s="20">
        <v>717</v>
      </c>
      <c r="E166" s="21">
        <f t="shared" si="86"/>
        <v>1.7021276595744681E-2</v>
      </c>
      <c r="F166" s="22">
        <f>IF(ISNUMBER(D166), $B172 * E166, "")</f>
        <v>1702.1276595744682</v>
      </c>
      <c r="G166" s="30">
        <v>728</v>
      </c>
      <c r="H166" s="21">
        <f t="shared" si="87"/>
        <v>3.2624113475177303E-2</v>
      </c>
      <c r="I166" s="105">
        <f>IF(ISNUMBER(G166), $B172 * H166, "")</f>
        <v>3262.4113475177305</v>
      </c>
      <c r="J166" s="20">
        <v>734</v>
      </c>
      <c r="K166" s="21">
        <f t="shared" si="88"/>
        <v>4.1134751773049642E-2</v>
      </c>
      <c r="L166" s="22">
        <f>IF(ISNUMBER(J166), $B172 * K166, "")</f>
        <v>4113.4751773049638</v>
      </c>
      <c r="M166" s="30">
        <v>734</v>
      </c>
      <c r="N166" s="21">
        <f t="shared" si="89"/>
        <v>4.1134751773049642E-2</v>
      </c>
      <c r="O166" s="22">
        <f>IF(ISNUMBER(M166), $B172 * N166, "")</f>
        <v>4113.4751773049638</v>
      </c>
      <c r="Q166" s="222"/>
      <c r="R166" s="222"/>
      <c r="S166" s="222"/>
    </row>
    <row r="167" spans="1:19" ht="17.25" thickBot="1">
      <c r="A167" s="125" t="s">
        <v>192</v>
      </c>
      <c r="B167" s="129">
        <v>293</v>
      </c>
      <c r="C167" s="80">
        <v>-1.01351351E-2</v>
      </c>
      <c r="D167" s="106">
        <v>296</v>
      </c>
      <c r="E167" s="107">
        <f>IF(ISNUMBER(D167), (D167 - $B167) / $B167, "")</f>
        <v>1.0238907849829351E-2</v>
      </c>
      <c r="F167" s="108">
        <f>IF(ISNUMBER(D167), $B172 * E167, "")</f>
        <v>1023.8907849829351</v>
      </c>
      <c r="G167" s="109">
        <v>313</v>
      </c>
      <c r="H167" s="107">
        <f>IF(ISNUMBER(G167), (G167 - $B167) / $B167, "")</f>
        <v>6.8259385665529013E-2</v>
      </c>
      <c r="I167" s="110">
        <f>IF(ISNUMBER(G167), $B172 * H167, "")</f>
        <v>6825.9385665529016</v>
      </c>
      <c r="J167" s="106">
        <v>316</v>
      </c>
      <c r="K167" s="107">
        <f>IF(ISNUMBER(J167), (J167 - $B167) / $B167, "")</f>
        <v>7.8498293515358364E-2</v>
      </c>
      <c r="L167" s="108">
        <f>IF(ISNUMBER(J167), $B172 * K167, "")</f>
        <v>7849.8293515358364</v>
      </c>
      <c r="M167" s="109">
        <v>311</v>
      </c>
      <c r="N167" s="107">
        <f>IF(ISNUMBER(M167), (M167 - $B167) / $B167, "")</f>
        <v>6.1433447098976107E-2</v>
      </c>
      <c r="O167" s="108">
        <f>IF(ISNUMBER(M167), $B172 * N167, "")</f>
        <v>6143.3447098976103</v>
      </c>
      <c r="Q167" s="227"/>
      <c r="R167" s="227"/>
      <c r="S167" s="227"/>
    </row>
    <row r="168" spans="1:19" ht="17.25" thickBot="1">
      <c r="A168" s="125" t="s">
        <v>222</v>
      </c>
      <c r="B168" s="126">
        <v>189</v>
      </c>
      <c r="C168" s="77">
        <v>-1.0471204200000001E-2</v>
      </c>
      <c r="D168" s="15">
        <v>190</v>
      </c>
      <c r="E168" s="32">
        <f t="shared" ref="E168:E171" si="90">IF(ISNUMBER(D168), (D168 - $B168) / $B168, "")</f>
        <v>5.2910052910052907E-3</v>
      </c>
      <c r="F168" s="18">
        <f>IF(ISNUMBER(D168), $B172 * E168, "")</f>
        <v>529.10052910052912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195</v>
      </c>
      <c r="K168" s="32">
        <f t="shared" ref="K168:K171" si="92">IF(ISNUMBER(J168), (J168 - $B168) / $B168, "")</f>
        <v>3.1746031746031744E-2</v>
      </c>
      <c r="L168" s="18">
        <f>IF(ISNUMBER(J168), $B172 * K168, "")</f>
        <v>3174.6031746031745</v>
      </c>
      <c r="M168" s="31">
        <v>191</v>
      </c>
      <c r="N168" s="32">
        <f t="shared" ref="N168:N171" si="93">IF(ISNUMBER(M168), (M168 - $B168) / $B168, "")</f>
        <v>1.0582010582010581E-2</v>
      </c>
      <c r="O168" s="18">
        <f>IF(ISNUMBER(M168), $B172 * N168, "")</f>
        <v>1058.2010582010582</v>
      </c>
      <c r="Q168" s="227"/>
      <c r="R168" s="227"/>
      <c r="S168" s="227"/>
    </row>
    <row r="169" spans="1:19" ht="17.25" thickBot="1">
      <c r="A169" s="125" t="s">
        <v>254</v>
      </c>
      <c r="B169" s="126">
        <v>346</v>
      </c>
      <c r="C169" s="77">
        <v>-1.14285714E-2</v>
      </c>
      <c r="D169" s="15">
        <v>351</v>
      </c>
      <c r="E169" s="32">
        <f t="shared" si="90"/>
        <v>1.4450867052023121E-2</v>
      </c>
      <c r="F169" s="18">
        <f>IF(ISNUMBER(D169), $B172 * E169, "")</f>
        <v>1445.086705202312</v>
      </c>
      <c r="G169" s="31">
        <v>366</v>
      </c>
      <c r="H169" s="32">
        <f t="shared" si="91"/>
        <v>5.7803468208092484E-2</v>
      </c>
      <c r="I169" s="101">
        <f>IF(ISNUMBER(G169), $B172 * H169, "")</f>
        <v>5780.3468208092481</v>
      </c>
      <c r="J169" s="15">
        <v>369</v>
      </c>
      <c r="K169" s="32">
        <f t="shared" si="92"/>
        <v>6.6473988439306353E-2</v>
      </c>
      <c r="L169" s="18">
        <f>IF(ISNUMBER(J169), $B172 * K169, "")</f>
        <v>6647.3988439306349</v>
      </c>
      <c r="M169" s="31">
        <v>369</v>
      </c>
      <c r="N169" s="32">
        <f t="shared" si="93"/>
        <v>6.6473988439306353E-2</v>
      </c>
      <c r="O169" s="18">
        <f>IF(ISNUMBER(M169), $B172 * N169, "")</f>
        <v>6647.3988439306349</v>
      </c>
      <c r="Q169" s="227"/>
      <c r="R169" s="227"/>
      <c r="S169" s="227"/>
    </row>
    <row r="170" spans="1:19">
      <c r="A170" s="125" t="s">
        <v>80</v>
      </c>
      <c r="B170" s="126">
        <v>986</v>
      </c>
      <c r="C170" s="77">
        <v>-1.3013013E-2</v>
      </c>
      <c r="D170" s="15">
        <v>998</v>
      </c>
      <c r="E170" s="32">
        <f t="shared" si="90"/>
        <v>1.2170385395537525E-2</v>
      </c>
      <c r="F170" s="18">
        <f>IF(ISNUMBER(D170), $B172 * E170, "")</f>
        <v>1217.0385395537526</v>
      </c>
      <c r="G170" s="31">
        <v>1020</v>
      </c>
      <c r="H170" s="32">
        <f t="shared" si="91"/>
        <v>3.4482758620689655E-2</v>
      </c>
      <c r="I170" s="101">
        <f>IF(ISNUMBER(G170), $B172 * H170, "")</f>
        <v>3448.2758620689656</v>
      </c>
      <c r="J170" s="15">
        <v>1010</v>
      </c>
      <c r="K170" s="32">
        <f t="shared" si="92"/>
        <v>2.434077079107505E-2</v>
      </c>
      <c r="L170" s="18">
        <f>IF(ISNUMBER(J170), $B172 * K170, "")</f>
        <v>2434.0770791075051</v>
      </c>
      <c r="M170" s="31">
        <v>1015</v>
      </c>
      <c r="N170" s="32">
        <f t="shared" si="93"/>
        <v>2.9411764705882353E-2</v>
      </c>
      <c r="O170" s="18">
        <f>IF(ISNUMBER(M170), $B172 * N170, "")</f>
        <v>2941.1764705882351</v>
      </c>
      <c r="Q170" s="249"/>
      <c r="R170" s="250"/>
      <c r="S170" s="251"/>
    </row>
    <row r="171" spans="1:19" ht="17.25" thickBot="1">
      <c r="A171" s="130" t="s">
        <v>166</v>
      </c>
      <c r="B171" s="131">
        <v>263</v>
      </c>
      <c r="C171" s="79">
        <v>-1.49812734E-2</v>
      </c>
      <c r="D171" s="24">
        <v>262</v>
      </c>
      <c r="E171" s="25">
        <f t="shared" si="90"/>
        <v>-3.8022813688212928E-3</v>
      </c>
      <c r="F171" s="104">
        <f>IF(ISNUMBER(D171), $B172 * E171, "")</f>
        <v>-380.22813688212926</v>
      </c>
      <c r="G171" s="102">
        <v>264</v>
      </c>
      <c r="H171" s="25">
        <f t="shared" si="91"/>
        <v>3.8022813688212928E-3</v>
      </c>
      <c r="I171" s="103">
        <f>IF(ISNUMBER(G171), $B172 * H171, "")</f>
        <v>380.22813688212926</v>
      </c>
      <c r="J171" s="24">
        <v>263</v>
      </c>
      <c r="K171" s="25">
        <f t="shared" si="92"/>
        <v>0</v>
      </c>
      <c r="L171" s="104">
        <f>IF(ISNUMBER(J171), $B172 * K171, "")</f>
        <v>0</v>
      </c>
      <c r="M171" s="102">
        <v>267</v>
      </c>
      <c r="N171" s="25">
        <f t="shared" si="93"/>
        <v>1.5209125475285171E-2</v>
      </c>
      <c r="O171" s="104">
        <f>IF(ISNUMBER(M171), $B172 * N171, "")</f>
        <v>1520.9125475285171</v>
      </c>
      <c r="Q171" s="252"/>
      <c r="R171" s="253"/>
      <c r="S171" s="254"/>
    </row>
    <row r="172" spans="1:19" ht="17.25" thickBot="1">
      <c r="A172" s="132" t="s">
        <v>270</v>
      </c>
      <c r="B172" s="260">
        <f>$B$37</f>
        <v>100000</v>
      </c>
      <c r="C172" s="261"/>
      <c r="D172" s="26" t="s">
        <v>271</v>
      </c>
      <c r="E172" s="27">
        <f>IF(COUNT(E152:E171), SUM(E152:E171) / COUNT(E152:E171), 0)</f>
        <v>1.4359235420510805E-2</v>
      </c>
      <c r="F172" s="28">
        <f>SUM(F152:F171)</f>
        <v>28718.470841021612</v>
      </c>
      <c r="G172" s="26" t="s">
        <v>271</v>
      </c>
      <c r="H172" s="27">
        <f>IF(COUNT(H152:H171), SUM(H152:H171) / COUNT(H152:H171), 0)</f>
        <v>3.1027308453458274E-2</v>
      </c>
      <c r="I172" s="28">
        <f>SUM(I152:I171)</f>
        <v>62054.616906916555</v>
      </c>
      <c r="J172" s="26" t="s">
        <v>271</v>
      </c>
      <c r="K172" s="27">
        <f>IF(COUNT(K152:K171), SUM(K152:K171) / COUNT(K152:K171), 0)</f>
        <v>3.491105364057924E-2</v>
      </c>
      <c r="L172" s="28">
        <f>SUM(L152:L171)</f>
        <v>69822.107281158518</v>
      </c>
      <c r="M172" s="26" t="s">
        <v>271</v>
      </c>
      <c r="N172" s="27">
        <f>IF(COUNT(N152:N171), SUM(N152:N171) / COUNT(N152:N171), 0)</f>
        <v>3.9893925842662249E-2</v>
      </c>
      <c r="O172" s="28">
        <f>SUM(O152:O171)</f>
        <v>79787.851685324509</v>
      </c>
      <c r="Q172" s="255"/>
      <c r="R172" s="256"/>
      <c r="S172" s="257"/>
    </row>
    <row r="174" spans="1:19" ht="17.25" thickBot="1"/>
    <row r="175" spans="1:19" ht="17.25" thickBot="1">
      <c r="A175" s="201" t="s">
        <v>255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65" t="s">
        <v>267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55149000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2.1442459999999998E-3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2021-09-03(금) 오전 00:00</v>
      </c>
      <c r="C177" s="265"/>
      <c r="D177" s="224" t="str">
        <f>TEXT($G$1, "[$-ko-KR]yyyy-mm-dd(ddd) ") &amp; "오후 14:00"</f>
        <v>2021-09-03(금) 오후 14:00</v>
      </c>
      <c r="E177" s="225"/>
      <c r="F177" s="226"/>
      <c r="G177" s="224" t="str">
        <f>TEXT($G$1, "[$-ko-KR]yyyy-mm-dd(ddd) ") &amp; "오후 19:00"</f>
        <v>2021-09-03(금) 오후 19:00</v>
      </c>
      <c r="H177" s="225"/>
      <c r="I177" s="226"/>
      <c r="J177" s="224" t="str">
        <f>TEXT($G$1, "[$-ko-KR]yyyy-mm-dd(ddd) ") &amp; "오후 21:00"</f>
        <v>2021-09-03(금) 오후 21:00</v>
      </c>
      <c r="K177" s="225"/>
      <c r="L177" s="226"/>
      <c r="M177" s="224" t="str">
        <f>TEXT($G$1+1, "[$-ko-KR]yyyy-mm-dd(ddd) ") &amp; "오전 00:00"</f>
        <v>2021-09-04(토)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7"/>
      <c r="R178" s="227"/>
      <c r="S178" s="227"/>
    </row>
    <row r="179" spans="1:19" ht="17.25" thickBot="1">
      <c r="A179" s="123" t="s">
        <v>80</v>
      </c>
      <c r="B179" s="124">
        <v>986</v>
      </c>
      <c r="C179" s="76">
        <v>-1.3013013E-2</v>
      </c>
      <c r="D179" s="13">
        <v>998</v>
      </c>
      <c r="E179" s="14">
        <f>IF(ISNUMBER(D179), (D179 - $B179) / $B179, "")</f>
        <v>1.2170385395537525E-2</v>
      </c>
      <c r="F179" s="16">
        <f>IF(ISNUMBER(D179), $B199 * E179, "")</f>
        <v>1217.0385395537526</v>
      </c>
      <c r="G179" s="29">
        <v>1020</v>
      </c>
      <c r="H179" s="14">
        <f>IF(ISNUMBER(G179), (G179 - $B179) / $B179, "")</f>
        <v>3.4482758620689655E-2</v>
      </c>
      <c r="I179" s="100">
        <f>IF(ISNUMBER(G179), $B199 * H179, "")</f>
        <v>3448.2758620689656</v>
      </c>
      <c r="J179" s="13">
        <v>1010</v>
      </c>
      <c r="K179" s="14">
        <f>IF(ISNUMBER(J179), (J179 - $B179) / $B179, "")</f>
        <v>2.434077079107505E-2</v>
      </c>
      <c r="L179" s="16">
        <f>IF(ISNUMBER(J179), $B199 * K179, "")</f>
        <v>2434.0770791075051</v>
      </c>
      <c r="M179" s="29">
        <v>1015</v>
      </c>
      <c r="N179" s="14">
        <f>IF(ISNUMBER(M179), (M179 - $B179) / $B179, "")</f>
        <v>2.9411764705882353E-2</v>
      </c>
      <c r="O179" s="16">
        <f>IF(ISNUMBER(M179), $B199 * N179, "")</f>
        <v>2941.1764705882351</v>
      </c>
      <c r="Q179" s="222"/>
      <c r="R179" s="222"/>
      <c r="S179" s="222"/>
    </row>
    <row r="180" spans="1:19" ht="17.25" thickBot="1">
      <c r="A180" s="125" t="s">
        <v>61</v>
      </c>
      <c r="B180" s="126">
        <v>1120</v>
      </c>
      <c r="C180" s="77">
        <v>-1.3215859E-2</v>
      </c>
      <c r="D180" s="15">
        <v>1130</v>
      </c>
      <c r="E180" s="32">
        <f t="shared" ref="E180:E183" si="94">IF(ISNUMBER(D180), (D180 - $B180) / $B180, "")</f>
        <v>8.9285714285714281E-3</v>
      </c>
      <c r="F180" s="18">
        <f>IF(ISNUMBER(D180), $B199 * E180, "")</f>
        <v>892.85714285714278</v>
      </c>
      <c r="G180" s="31">
        <v>1150</v>
      </c>
      <c r="H180" s="32">
        <f t="shared" ref="H180:H183" si="95">IF(ISNUMBER(G180), (G180 - $B180) / $B180, "")</f>
        <v>2.6785714285714284E-2</v>
      </c>
      <c r="I180" s="101">
        <f>IF(ISNUMBER(G180), $B199 * H180, "")</f>
        <v>2678.5714285714284</v>
      </c>
      <c r="J180" s="15">
        <v>1195</v>
      </c>
      <c r="K180" s="32">
        <f t="shared" ref="K180:K183" si="96">IF(ISNUMBER(J180), (J180 - $B180) / $B180, "")</f>
        <v>6.6964285714285712E-2</v>
      </c>
      <c r="L180" s="18">
        <f>IF(ISNUMBER(J180), $B199 * K180, "")</f>
        <v>6696.4285714285716</v>
      </c>
      <c r="M180" s="31">
        <v>1160</v>
      </c>
      <c r="N180" s="32">
        <f t="shared" ref="N180:N183" si="97">IF(ISNUMBER(M180), (M180 - $B180) / $B180, "")</f>
        <v>3.5714285714285712E-2</v>
      </c>
      <c r="O180" s="18">
        <f>IF(ISNUMBER(M180), $B199 * N180, "")</f>
        <v>3571.4285714285711</v>
      </c>
      <c r="Q180" s="222"/>
      <c r="R180" s="222"/>
      <c r="S180" s="222"/>
    </row>
    <row r="181" spans="1:19" ht="17.25" thickBot="1">
      <c r="A181" s="125" t="s">
        <v>112</v>
      </c>
      <c r="B181" s="126">
        <v>8110</v>
      </c>
      <c r="C181" s="77">
        <v>-1.33819951E-2</v>
      </c>
      <c r="D181" s="15">
        <v>8275</v>
      </c>
      <c r="E181" s="32">
        <f t="shared" si="94"/>
        <v>2.0345252774352653E-2</v>
      </c>
      <c r="F181" s="18">
        <f>IF(ISNUMBER(D181), $B199 * E181, "")</f>
        <v>2034.5252774352653</v>
      </c>
      <c r="G181" s="31">
        <v>8215</v>
      </c>
      <c r="H181" s="32">
        <f t="shared" si="95"/>
        <v>1.2946979038224414E-2</v>
      </c>
      <c r="I181" s="101">
        <f>IF(ISNUMBER(G181), $B199 * H181, "")</f>
        <v>1294.6979038224415</v>
      </c>
      <c r="J181" s="15">
        <v>8185</v>
      </c>
      <c r="K181" s="32">
        <f t="shared" si="96"/>
        <v>9.2478421701602965E-3</v>
      </c>
      <c r="L181" s="18">
        <f>IF(ISNUMBER(J181), $B199 * K181, "")</f>
        <v>924.78421701602963</v>
      </c>
      <c r="M181" s="31">
        <v>8325</v>
      </c>
      <c r="N181" s="32">
        <f t="shared" si="97"/>
        <v>2.6510480887792849E-2</v>
      </c>
      <c r="O181" s="18">
        <f>IF(ISNUMBER(M181), $B199 * N181, "")</f>
        <v>2651.0480887792851</v>
      </c>
      <c r="Q181" s="227"/>
      <c r="R181" s="227"/>
      <c r="S181" s="227"/>
    </row>
    <row r="182" spans="1:19" ht="17.25" thickBot="1">
      <c r="A182" s="125" t="s">
        <v>116</v>
      </c>
      <c r="B182" s="126">
        <v>9320</v>
      </c>
      <c r="C182" s="77">
        <v>-1.3756613799999999E-2</v>
      </c>
      <c r="D182" s="15">
        <v>9305</v>
      </c>
      <c r="E182" s="32">
        <f t="shared" si="94"/>
        <v>-1.6094420600858369E-3</v>
      </c>
      <c r="F182" s="18">
        <f>IF(ISNUMBER(D182), $B199 * E182, "")</f>
        <v>-160.94420600858368</v>
      </c>
      <c r="G182" s="31">
        <v>9345</v>
      </c>
      <c r="H182" s="32">
        <f t="shared" si="95"/>
        <v>2.6824034334763948E-3</v>
      </c>
      <c r="I182" s="101">
        <f>IF(ISNUMBER(G182), $B199 * H182, "")</f>
        <v>268.24034334763951</v>
      </c>
      <c r="J182" s="15">
        <v>9285</v>
      </c>
      <c r="K182" s="32">
        <f t="shared" si="96"/>
        <v>-3.7553648068669528E-3</v>
      </c>
      <c r="L182" s="18">
        <f>IF(ISNUMBER(J182), $B199 * K182, "")</f>
        <v>-375.53648068669526</v>
      </c>
      <c r="M182" s="31">
        <v>9290</v>
      </c>
      <c r="N182" s="32">
        <f t="shared" si="97"/>
        <v>-3.2188841201716738E-3</v>
      </c>
      <c r="O182" s="18">
        <f>IF(ISNUMBER(M182), $B199 * N182, "")</f>
        <v>-321.88841201716735</v>
      </c>
      <c r="Q182" s="227"/>
      <c r="R182" s="227"/>
      <c r="S182" s="227"/>
    </row>
    <row r="183" spans="1:19" ht="17.25" thickBot="1">
      <c r="A183" s="127" t="s">
        <v>160</v>
      </c>
      <c r="B183" s="128">
        <v>1740</v>
      </c>
      <c r="C183" s="78">
        <v>-1.41643059E-2</v>
      </c>
      <c r="D183" s="20">
        <v>1745</v>
      </c>
      <c r="E183" s="21">
        <f t="shared" si="94"/>
        <v>2.8735632183908046E-3</v>
      </c>
      <c r="F183" s="22">
        <f>IF(ISNUMBER(D183), $B199 * E183, "")</f>
        <v>287.35632183908046</v>
      </c>
      <c r="G183" s="30">
        <v>1775</v>
      </c>
      <c r="H183" s="21">
        <f t="shared" si="95"/>
        <v>2.0114942528735632E-2</v>
      </c>
      <c r="I183" s="105">
        <f>IF(ISNUMBER(G183), $B199 * H183, "")</f>
        <v>2011.4942528735633</v>
      </c>
      <c r="J183" s="20">
        <v>1765</v>
      </c>
      <c r="K183" s="21">
        <f t="shared" si="96"/>
        <v>1.4367816091954023E-2</v>
      </c>
      <c r="L183" s="22">
        <f>IF(ISNUMBER(J183), $B199 * K183, "")</f>
        <v>1436.7816091954023</v>
      </c>
      <c r="M183" s="30">
        <v>1775</v>
      </c>
      <c r="N183" s="21">
        <f t="shared" si="97"/>
        <v>2.0114942528735632E-2</v>
      </c>
      <c r="O183" s="22">
        <f>IF(ISNUMBER(M183), $B199 * N183, "")</f>
        <v>2011.4942528735633</v>
      </c>
      <c r="Q183" s="227"/>
      <c r="R183" s="227"/>
      <c r="S183" s="227"/>
    </row>
    <row r="184" spans="1:19" ht="17.25" thickBot="1">
      <c r="A184" s="125" t="s">
        <v>188</v>
      </c>
      <c r="B184" s="129">
        <v>13.9</v>
      </c>
      <c r="C184" s="80">
        <v>-1.4184397200000001E-2</v>
      </c>
      <c r="D184" s="106">
        <v>14.2</v>
      </c>
      <c r="E184" s="107">
        <f>IF(ISNUMBER(D184), (D184 - $B184) / $B184, "")</f>
        <v>2.1582733812949562E-2</v>
      </c>
      <c r="F184" s="108">
        <f>IF(ISNUMBER(D184), $B199 * E184, "")</f>
        <v>2158.2733812949564</v>
      </c>
      <c r="G184" s="109">
        <v>14.2</v>
      </c>
      <c r="H184" s="107">
        <f>IF(ISNUMBER(G184), (G184 - $B184) / $B184, "")</f>
        <v>2.1582733812949562E-2</v>
      </c>
      <c r="I184" s="110">
        <f>IF(ISNUMBER(G184), $B199 * H184, "")</f>
        <v>2158.2733812949564</v>
      </c>
      <c r="J184" s="106">
        <v>14.1</v>
      </c>
      <c r="K184" s="107">
        <f>IF(ISNUMBER(J184), (J184 - $B184) / $B184, "")</f>
        <v>1.4388489208633042E-2</v>
      </c>
      <c r="L184" s="108">
        <f>IF(ISNUMBER(J184), $B199 * K184, "")</f>
        <v>1438.8489208633043</v>
      </c>
      <c r="M184" s="109">
        <v>14.2</v>
      </c>
      <c r="N184" s="107">
        <f>IF(ISNUMBER(M184), (M184 - $B184) / $B184, "")</f>
        <v>2.1582733812949562E-2</v>
      </c>
      <c r="O184" s="108">
        <f>IF(ISNUMBER(M184), $B199 * N184, "")</f>
        <v>2158.2733812949564</v>
      </c>
      <c r="Q184" s="227"/>
      <c r="R184" s="227"/>
      <c r="S184" s="227"/>
    </row>
    <row r="185" spans="1:19" ht="17.25" thickBot="1">
      <c r="A185" s="125" t="s">
        <v>122</v>
      </c>
      <c r="B185" s="126">
        <v>40.4</v>
      </c>
      <c r="C185" s="77">
        <v>-1.4634146299999999E-2</v>
      </c>
      <c r="D185" s="15">
        <v>40.4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40.6</v>
      </c>
      <c r="H185" s="32">
        <f t="shared" ref="H185:H188" si="99">IF(ISNUMBER(G185), (G185 - $B185) / $B185, "")</f>
        <v>4.9504950495050208E-3</v>
      </c>
      <c r="I185" s="101">
        <f>IF(ISNUMBER(G185), $B199 * H185, "")</f>
        <v>495.04950495050207</v>
      </c>
      <c r="J185" s="15">
        <v>40.700000000000003</v>
      </c>
      <c r="K185" s="32">
        <f t="shared" ref="K185:K188" si="100">IF(ISNUMBER(J185), (J185 - $B185) / $B185, "")</f>
        <v>7.4257425742575312E-3</v>
      </c>
      <c r="L185" s="18">
        <f>IF(ISNUMBER(J185), $B199 * K185, "")</f>
        <v>742.5742574257531</v>
      </c>
      <c r="M185" s="31">
        <v>40.6</v>
      </c>
      <c r="N185" s="32">
        <f t="shared" ref="N185:N188" si="101">IF(ISNUMBER(M185), (M185 - $B185) / $B185, "")</f>
        <v>4.9504950495050208E-3</v>
      </c>
      <c r="O185" s="18">
        <f>IF(ISNUMBER(M185), $B199 * N185, "")</f>
        <v>495.04950495050207</v>
      </c>
      <c r="Q185" s="227"/>
      <c r="R185" s="227"/>
      <c r="S185" s="227"/>
    </row>
    <row r="186" spans="1:19" ht="17.25" thickBot="1">
      <c r="A186" s="125" t="s">
        <v>136</v>
      </c>
      <c r="B186" s="126">
        <v>2320</v>
      </c>
      <c r="C186" s="77">
        <v>-1.48619958E-2</v>
      </c>
      <c r="D186" s="15">
        <v>2330</v>
      </c>
      <c r="E186" s="32">
        <f t="shared" si="98"/>
        <v>4.3103448275862068E-3</v>
      </c>
      <c r="F186" s="18">
        <f>IF(ISNUMBER(D186), $B199 * E186, "")</f>
        <v>431.0344827586207</v>
      </c>
      <c r="G186" s="31">
        <v>2400</v>
      </c>
      <c r="H186" s="32">
        <f t="shared" si="99"/>
        <v>3.4482758620689655E-2</v>
      </c>
      <c r="I186" s="101">
        <f>IF(ISNUMBER(G186), $B199 * H186, "")</f>
        <v>3448.2758620689656</v>
      </c>
      <c r="J186" s="15">
        <v>2370</v>
      </c>
      <c r="K186" s="32">
        <f t="shared" si="100"/>
        <v>2.1551724137931036E-2</v>
      </c>
      <c r="L186" s="18">
        <f>IF(ISNUMBER(J186), $B199 * K186, "")</f>
        <v>2155.1724137931037</v>
      </c>
      <c r="M186" s="31">
        <v>2380</v>
      </c>
      <c r="N186" s="32">
        <f t="shared" si="101"/>
        <v>2.5862068965517241E-2</v>
      </c>
      <c r="O186" s="18">
        <f>IF(ISNUMBER(M186), $B199 * N186, "")</f>
        <v>2586.2068965517242</v>
      </c>
      <c r="Q186" s="227"/>
      <c r="R186" s="227"/>
      <c r="S186" s="227"/>
    </row>
    <row r="187" spans="1:19" ht="17.25" thickBot="1">
      <c r="A187" s="125" t="s">
        <v>72</v>
      </c>
      <c r="B187" s="126">
        <v>26.5</v>
      </c>
      <c r="C187" s="77">
        <v>-1.4869888499999999E-2</v>
      </c>
      <c r="D187" s="15">
        <v>26.6</v>
      </c>
      <c r="E187" s="32">
        <f t="shared" si="98"/>
        <v>3.7735849056604312E-3</v>
      </c>
      <c r="F187" s="18">
        <f>IF(ISNUMBER(D187), $B199 * E187, "")</f>
        <v>377.35849056604314</v>
      </c>
      <c r="G187" s="31">
        <v>27.2</v>
      </c>
      <c r="H187" s="32">
        <f t="shared" si="99"/>
        <v>2.6415094339622615E-2</v>
      </c>
      <c r="I187" s="101">
        <f>IF(ISNUMBER(G187), $B199 * H187, "")</f>
        <v>2641.5094339622615</v>
      </c>
      <c r="J187" s="15">
        <v>27.3</v>
      </c>
      <c r="K187" s="32">
        <f t="shared" si="100"/>
        <v>3.0188679245283047E-2</v>
      </c>
      <c r="L187" s="18">
        <f>IF(ISNUMBER(J187), $B199 * K187, "")</f>
        <v>3018.8679245283047</v>
      </c>
      <c r="M187" s="31">
        <v>27.5</v>
      </c>
      <c r="N187" s="32">
        <f t="shared" si="101"/>
        <v>3.7735849056603772E-2</v>
      </c>
      <c r="O187" s="18">
        <f>IF(ISNUMBER(M187), $B199 * N187, "")</f>
        <v>3773.584905660377</v>
      </c>
      <c r="Q187" s="33"/>
      <c r="R187" s="33"/>
    </row>
    <row r="188" spans="1:19" ht="17.25" thickBot="1">
      <c r="A188" s="130" t="s">
        <v>166</v>
      </c>
      <c r="B188" s="131">
        <v>263</v>
      </c>
      <c r="C188" s="79">
        <v>-1.49812734E-2</v>
      </c>
      <c r="D188" s="24">
        <v>262</v>
      </c>
      <c r="E188" s="25">
        <f t="shared" si="98"/>
        <v>-3.8022813688212928E-3</v>
      </c>
      <c r="F188" s="104">
        <f>IF(ISNUMBER(D188), $B199 * E188, "")</f>
        <v>-380.22813688212926</v>
      </c>
      <c r="G188" s="102">
        <v>264</v>
      </c>
      <c r="H188" s="25">
        <f t="shared" si="99"/>
        <v>3.8022813688212928E-3</v>
      </c>
      <c r="I188" s="103">
        <f>IF(ISNUMBER(G188), $B199 * H188, "")</f>
        <v>380.22813688212926</v>
      </c>
      <c r="J188" s="24">
        <v>263</v>
      </c>
      <c r="K188" s="25">
        <f t="shared" si="100"/>
        <v>0</v>
      </c>
      <c r="L188" s="104">
        <f>IF(ISNUMBER(J188), $B199 * K188, "")</f>
        <v>0</v>
      </c>
      <c r="M188" s="102">
        <v>267</v>
      </c>
      <c r="N188" s="25">
        <f t="shared" si="101"/>
        <v>1.5209125475285171E-2</v>
      </c>
      <c r="O188" s="104">
        <f>IF(ISNUMBER(M188), $B199 * N188, "")</f>
        <v>1520.9125475285171</v>
      </c>
      <c r="Q188" s="236"/>
      <c r="R188" s="237"/>
      <c r="S188" s="238"/>
    </row>
    <row r="189" spans="1:19">
      <c r="A189" s="123" t="s">
        <v>216</v>
      </c>
      <c r="B189" s="124">
        <v>12.1</v>
      </c>
      <c r="C189" s="76">
        <v>-1.6260162599999999E-2</v>
      </c>
      <c r="D189" s="13">
        <v>12.2</v>
      </c>
      <c r="E189" s="14">
        <f>IF(ISNUMBER(D189), (D189 - $B189) / $B189, "")</f>
        <v>8.2644628099173261E-3</v>
      </c>
      <c r="F189" s="16">
        <f>IF(ISNUMBER(D189), $B199 * E189, "")</f>
        <v>826.44628099173258</v>
      </c>
      <c r="G189" s="29">
        <v>12.3</v>
      </c>
      <c r="H189" s="14">
        <f>IF(ISNUMBER(G189), (G189 - $B189) / $B189, "")</f>
        <v>1.6528925619834798E-2</v>
      </c>
      <c r="I189" s="100">
        <f>IF(ISNUMBER(G189), $B199 * H189, "")</f>
        <v>1652.8925619834797</v>
      </c>
      <c r="J189" s="13">
        <v>12.2</v>
      </c>
      <c r="K189" s="14">
        <f>IF(ISNUMBER(J189), (J189 - $B189) / $B189, "")</f>
        <v>8.2644628099173261E-3</v>
      </c>
      <c r="L189" s="16">
        <f>IF(ISNUMBER(J189), $B199 * K189, "")</f>
        <v>826.44628099173258</v>
      </c>
      <c r="M189" s="29">
        <v>12.3</v>
      </c>
      <c r="N189" s="14">
        <f>IF(ISNUMBER(M189), (M189 - $B189) / $B189, "")</f>
        <v>1.6528925619834798E-2</v>
      </c>
      <c r="O189" s="16">
        <f>IF(ISNUMBER(M189), $B199 * N189, "")</f>
        <v>1652.8925619834797</v>
      </c>
      <c r="Q189" s="239"/>
      <c r="R189" s="240"/>
      <c r="S189" s="241"/>
    </row>
    <row r="190" spans="1:19" ht="17.25" thickBot="1">
      <c r="A190" s="125" t="s">
        <v>114</v>
      </c>
      <c r="B190" s="126">
        <v>1145</v>
      </c>
      <c r="C190" s="77">
        <v>-1.7167381999999998E-2</v>
      </c>
      <c r="D190" s="15">
        <v>1160</v>
      </c>
      <c r="E190" s="32">
        <f t="shared" ref="E190:E193" si="102">IF(ISNUMBER(D190), (D190 - $B190) / $B190, "")</f>
        <v>1.3100436681222707E-2</v>
      </c>
      <c r="F190" s="18">
        <f>IF(ISNUMBER(D190), $B199 * E190, "")</f>
        <v>1310.0436681222707</v>
      </c>
      <c r="G190" s="31">
        <v>1150</v>
      </c>
      <c r="H190" s="32">
        <f t="shared" ref="H190:H193" si="103">IF(ISNUMBER(G190), (G190 - $B190) / $B190, "")</f>
        <v>4.3668122270742356E-3</v>
      </c>
      <c r="I190" s="101">
        <f>IF(ISNUMBER(G190), $B199 * H190, "")</f>
        <v>436.68122270742356</v>
      </c>
      <c r="J190" s="15">
        <v>1140</v>
      </c>
      <c r="K190" s="32">
        <f t="shared" ref="K190:K193" si="104">IF(ISNUMBER(J190), (J190 - $B190) / $B190, "")</f>
        <v>-4.3668122270742356E-3</v>
      </c>
      <c r="L190" s="18">
        <f>IF(ISNUMBER(J190), $B199 * K190, "")</f>
        <v>-436.68122270742356</v>
      </c>
      <c r="M190" s="31">
        <v>1160</v>
      </c>
      <c r="N190" s="32">
        <f t="shared" ref="N190:N193" si="105">IF(ISNUMBER(M190), (M190 - $B190) / $B190, "")</f>
        <v>1.3100436681222707E-2</v>
      </c>
      <c r="O190" s="18">
        <f>IF(ISNUMBER(M190), $B199 * N190, "")</f>
        <v>1310.0436681222707</v>
      </c>
      <c r="Q190" s="242"/>
      <c r="R190" s="243"/>
      <c r="S190" s="244"/>
    </row>
    <row r="191" spans="1:19" ht="17.25" thickBot="1">
      <c r="A191" s="125" t="s">
        <v>100</v>
      </c>
      <c r="B191" s="126">
        <v>78600</v>
      </c>
      <c r="C191" s="77">
        <v>-1.7868299399999999E-2</v>
      </c>
      <c r="D191" s="15">
        <v>79200</v>
      </c>
      <c r="E191" s="32">
        <f t="shared" si="102"/>
        <v>7.6335877862595417E-3</v>
      </c>
      <c r="F191" s="18">
        <f>IF(ISNUMBER(D191), $B199 * E191, "")</f>
        <v>763.35877862595419</v>
      </c>
      <c r="G191" s="31">
        <v>80390</v>
      </c>
      <c r="H191" s="32">
        <f t="shared" si="103"/>
        <v>2.2773536895674299E-2</v>
      </c>
      <c r="I191" s="101">
        <f>IF(ISNUMBER(G191), $B199 * H191, "")</f>
        <v>2277.3536895674297</v>
      </c>
      <c r="J191" s="15">
        <v>81380</v>
      </c>
      <c r="K191" s="32">
        <f t="shared" si="104"/>
        <v>3.5368956743002541E-2</v>
      </c>
      <c r="L191" s="18">
        <f>IF(ISNUMBER(J191), $B199 * K191, "")</f>
        <v>3536.8956743002541</v>
      </c>
      <c r="M191" s="31">
        <v>82820</v>
      </c>
      <c r="N191" s="32">
        <f t="shared" si="105"/>
        <v>5.3689567430025446E-2</v>
      </c>
      <c r="O191" s="18">
        <f>IF(ISNUMBER(M191), $B199 * N191, "")</f>
        <v>5368.9567430025445</v>
      </c>
      <c r="Q191" s="227"/>
      <c r="R191" s="227"/>
      <c r="S191" s="227"/>
    </row>
    <row r="192" spans="1:19" ht="17.25" thickBot="1">
      <c r="A192" s="125" t="s">
        <v>96</v>
      </c>
      <c r="B192" s="126">
        <v>6135</v>
      </c>
      <c r="C192" s="77">
        <v>-2.07501995E-2</v>
      </c>
      <c r="D192" s="15">
        <v>6145</v>
      </c>
      <c r="E192" s="32">
        <f t="shared" si="102"/>
        <v>1.6299918500407497E-3</v>
      </c>
      <c r="F192" s="18">
        <f>IF(ISNUMBER(D192), $B199 * E192, "")</f>
        <v>162.99918500407497</v>
      </c>
      <c r="G192" s="31">
        <v>6170</v>
      </c>
      <c r="H192" s="32">
        <f t="shared" si="103"/>
        <v>5.7049714751426246E-3</v>
      </c>
      <c r="I192" s="101">
        <f>IF(ISNUMBER(G192), $B199 * H192, "")</f>
        <v>570.49714751426245</v>
      </c>
      <c r="J192" s="15">
        <v>6120</v>
      </c>
      <c r="K192" s="32">
        <f t="shared" si="104"/>
        <v>-2.4449877750611247E-3</v>
      </c>
      <c r="L192" s="18">
        <f>IF(ISNUMBER(J192), $B199 * K192, "")</f>
        <v>-244.49877750611248</v>
      </c>
      <c r="M192" s="31">
        <v>6245</v>
      </c>
      <c r="N192" s="32">
        <f t="shared" si="105"/>
        <v>1.7929910350448247E-2</v>
      </c>
      <c r="O192" s="18">
        <f>IF(ISNUMBER(M192), $B199 * N192, "")</f>
        <v>1792.9910350448247</v>
      </c>
      <c r="Q192" s="222"/>
      <c r="R192" s="222"/>
      <c r="S192" s="222"/>
    </row>
    <row r="193" spans="1:19" ht="17.25" thickBot="1">
      <c r="A193" s="127" t="s">
        <v>134</v>
      </c>
      <c r="B193" s="128">
        <v>36910</v>
      </c>
      <c r="C193" s="78">
        <v>-3.6795407099999997E-2</v>
      </c>
      <c r="D193" s="20">
        <v>38750</v>
      </c>
      <c r="E193" s="21">
        <f t="shared" si="102"/>
        <v>4.9850988891899213E-2</v>
      </c>
      <c r="F193" s="22">
        <f>IF(ISNUMBER(D193), $B199 * E193, "")</f>
        <v>4985.0988891899215</v>
      </c>
      <c r="G193" s="30">
        <v>38200</v>
      </c>
      <c r="H193" s="21">
        <f t="shared" si="103"/>
        <v>3.4949878081820644E-2</v>
      </c>
      <c r="I193" s="105">
        <f>IF(ISNUMBER(G193), $B199 * H193, "")</f>
        <v>3494.9878081820643</v>
      </c>
      <c r="J193" s="20">
        <v>37770</v>
      </c>
      <c r="K193" s="21">
        <f t="shared" si="104"/>
        <v>2.3299918721213762E-2</v>
      </c>
      <c r="L193" s="22">
        <f>IF(ISNUMBER(J193), $B199 * K193, "")</f>
        <v>2329.9918721213762</v>
      </c>
      <c r="M193" s="30">
        <v>37820</v>
      </c>
      <c r="N193" s="21">
        <f t="shared" si="105"/>
        <v>2.4654565158493635E-2</v>
      </c>
      <c r="O193" s="22">
        <f>IF(ISNUMBER(M193), $B199 * N193, "")</f>
        <v>2465.4565158493633</v>
      </c>
      <c r="Q193" s="222"/>
      <c r="R193" s="222"/>
      <c r="S193" s="222"/>
    </row>
    <row r="194" spans="1:19" ht="17.25" thickBot="1">
      <c r="A194" s="125" t="s">
        <v>214</v>
      </c>
      <c r="B194" s="129">
        <v>1420</v>
      </c>
      <c r="C194" s="80">
        <v>-4.05405405E-2</v>
      </c>
      <c r="D194" s="106">
        <v>1405</v>
      </c>
      <c r="E194" s="107">
        <f>IF(ISNUMBER(D194), (D194 - $B194) / $B194, "")</f>
        <v>-1.0563380281690141E-2</v>
      </c>
      <c r="F194" s="108">
        <f>IF(ISNUMBER(D194), $B199 * E194, "")</f>
        <v>-1056.338028169014</v>
      </c>
      <c r="G194" s="109">
        <v>1405</v>
      </c>
      <c r="H194" s="107">
        <f>IF(ISNUMBER(G194), (G194 - $B194) / $B194, "")</f>
        <v>-1.0563380281690141E-2</v>
      </c>
      <c r="I194" s="110">
        <f>IF(ISNUMBER(G194), $B199 * H194, "")</f>
        <v>-1056.338028169014</v>
      </c>
      <c r="J194" s="106">
        <v>1400</v>
      </c>
      <c r="K194" s="107">
        <f>IF(ISNUMBER(J194), (J194 - $B194) / $B194, "")</f>
        <v>-1.4084507042253521E-2</v>
      </c>
      <c r="L194" s="108">
        <f>IF(ISNUMBER(J194), $B199 * K194, "")</f>
        <v>-1408.4507042253522</v>
      </c>
      <c r="M194" s="109">
        <v>1400</v>
      </c>
      <c r="N194" s="107">
        <f>IF(ISNUMBER(M194), (M194 - $B194) / $B194, "")</f>
        <v>-1.4084507042253521E-2</v>
      </c>
      <c r="O194" s="108">
        <f>IF(ISNUMBER(M194), $B199 * N194, "")</f>
        <v>-1408.4507042253522</v>
      </c>
      <c r="Q194" s="227"/>
      <c r="R194" s="227"/>
      <c r="S194" s="227"/>
    </row>
    <row r="195" spans="1:19" ht="17.25" thickBot="1">
      <c r="A195" s="125" t="s">
        <v>74</v>
      </c>
      <c r="B195" s="126">
        <v>27630</v>
      </c>
      <c r="C195" s="77">
        <v>-5.9244126699999997E-2</v>
      </c>
      <c r="D195" s="15">
        <v>28390</v>
      </c>
      <c r="E195" s="32">
        <f t="shared" ref="E195:E198" si="106">IF(ISNUMBER(D195), (D195 - $B195) / $B195, "")</f>
        <v>2.7506333695258775E-2</v>
      </c>
      <c r="F195" s="18">
        <f>IF(ISNUMBER(D195), $B199 * E195, "")</f>
        <v>2750.6333695258777</v>
      </c>
      <c r="G195" s="31">
        <v>28290</v>
      </c>
      <c r="H195" s="32">
        <f t="shared" ref="H195:H198" si="107">IF(ISNUMBER(G195), (G195 - $B195) / $B195, "")</f>
        <v>2.3887079261672096E-2</v>
      </c>
      <c r="I195" s="101">
        <f>IF(ISNUMBER(G195), $B199 * H195, "")</f>
        <v>2388.7079261672097</v>
      </c>
      <c r="J195" s="15">
        <v>27720</v>
      </c>
      <c r="K195" s="32">
        <f t="shared" ref="K195:K198" si="108">IF(ISNUMBER(J195), (J195 - $B195) / $B195, "")</f>
        <v>3.2573289902280132E-3</v>
      </c>
      <c r="L195" s="18">
        <f>IF(ISNUMBER(J195), $B199 * K195, "")</f>
        <v>325.73289902280129</v>
      </c>
      <c r="M195" s="31">
        <v>27980</v>
      </c>
      <c r="N195" s="32">
        <f t="shared" ref="N195:N198" si="109">IF(ISNUMBER(M195), (M195 - $B195) / $B195, "")</f>
        <v>1.2667390517553384E-2</v>
      </c>
      <c r="O195" s="18">
        <f>IF(ISNUMBER(M195), $B199 * N195, "")</f>
        <v>1266.7390517553386</v>
      </c>
      <c r="Q195" s="227"/>
      <c r="R195" s="227"/>
      <c r="S195" s="227"/>
    </row>
    <row r="196" spans="1:19" ht="17.25" thickBot="1">
      <c r="A196" s="125" t="s">
        <v>210</v>
      </c>
      <c r="B196" s="126">
        <v>17.3</v>
      </c>
      <c r="C196" s="77">
        <v>-5.9782608700000003E-2</v>
      </c>
      <c r="D196" s="15">
        <v>16.600000000000001</v>
      </c>
      <c r="E196" s="32">
        <f t="shared" si="106"/>
        <v>-4.0462427745664699E-2</v>
      </c>
      <c r="F196" s="18">
        <f>IF(ISNUMBER(D196), $B199 * E196, "")</f>
        <v>-4046.24277456647</v>
      </c>
      <c r="G196" s="31">
        <v>16.7</v>
      </c>
      <c r="H196" s="32">
        <f t="shared" si="107"/>
        <v>-3.4682080924855571E-2</v>
      </c>
      <c r="I196" s="101">
        <f>IF(ISNUMBER(G196), $B199 * H196, "")</f>
        <v>-3468.2080924855572</v>
      </c>
      <c r="J196" s="15">
        <v>16.600000000000001</v>
      </c>
      <c r="K196" s="32">
        <f t="shared" si="108"/>
        <v>-4.0462427745664699E-2</v>
      </c>
      <c r="L196" s="18">
        <f>IF(ISNUMBER(J196), $B199 * K196, "")</f>
        <v>-4046.24277456647</v>
      </c>
      <c r="M196" s="31">
        <v>16.7</v>
      </c>
      <c r="N196" s="32">
        <f t="shared" si="109"/>
        <v>-3.4682080924855571E-2</v>
      </c>
      <c r="O196" s="18">
        <f>IF(ISNUMBER(M196), $B199 * N196, "")</f>
        <v>-3468.2080924855572</v>
      </c>
      <c r="Q196" s="227"/>
      <c r="R196" s="227"/>
      <c r="S196" s="227"/>
    </row>
    <row r="197" spans="1:19">
      <c r="A197" s="125" t="s">
        <v>172</v>
      </c>
      <c r="B197" s="126">
        <v>4945</v>
      </c>
      <c r="C197" s="77">
        <v>-7.5700934600000006E-2</v>
      </c>
      <c r="D197" s="15">
        <v>4855</v>
      </c>
      <c r="E197" s="32">
        <f t="shared" si="106"/>
        <v>-1.8200202224469161E-2</v>
      </c>
      <c r="F197" s="18">
        <f>IF(ISNUMBER(D197), $B199 * E197, "")</f>
        <v>-1820.020222446916</v>
      </c>
      <c r="G197" s="31">
        <v>5010</v>
      </c>
      <c r="H197" s="32">
        <f t="shared" si="107"/>
        <v>1.314459049544995E-2</v>
      </c>
      <c r="I197" s="101">
        <f>IF(ISNUMBER(G197), $B199 * H197, "")</f>
        <v>1314.459049544995</v>
      </c>
      <c r="J197" s="15">
        <v>4880</v>
      </c>
      <c r="K197" s="32">
        <f t="shared" si="108"/>
        <v>-1.314459049544995E-2</v>
      </c>
      <c r="L197" s="18">
        <f>IF(ISNUMBER(J197), $B199 * K197, "")</f>
        <v>-1314.459049544995</v>
      </c>
      <c r="M197" s="31">
        <v>4880</v>
      </c>
      <c r="N197" s="32">
        <f t="shared" si="109"/>
        <v>-1.314459049544995E-2</v>
      </c>
      <c r="O197" s="18">
        <f>IF(ISNUMBER(M197), $B199 * N197, "")</f>
        <v>-1314.459049544995</v>
      </c>
      <c r="Q197" s="249"/>
      <c r="R197" s="250"/>
      <c r="S197" s="251"/>
    </row>
    <row r="198" spans="1:19" ht="17.25" thickBot="1">
      <c r="A198" s="130" t="s">
        <v>176</v>
      </c>
      <c r="B198" s="131">
        <v>1685</v>
      </c>
      <c r="C198" s="79">
        <v>-7.9234972700000003E-2</v>
      </c>
      <c r="D198" s="24">
        <v>1880</v>
      </c>
      <c r="E198" s="25">
        <f t="shared" si="106"/>
        <v>0.11572700296735905</v>
      </c>
      <c r="F198" s="104">
        <f>IF(ISNUMBER(D198), $B199 * E198, "")</f>
        <v>11572.700296735906</v>
      </c>
      <c r="G198" s="102">
        <v>1790</v>
      </c>
      <c r="H198" s="25">
        <f t="shared" si="107"/>
        <v>6.2314540059347182E-2</v>
      </c>
      <c r="I198" s="103">
        <f>IF(ISNUMBER(G198), $B199 * H198, "")</f>
        <v>6231.4540059347182</v>
      </c>
      <c r="J198" s="24">
        <v>1800</v>
      </c>
      <c r="K198" s="25">
        <f t="shared" si="108"/>
        <v>6.8249258160237386E-2</v>
      </c>
      <c r="L198" s="104">
        <f>IF(ISNUMBER(J198), $B199 * K198, "")</f>
        <v>6824.9258160237387</v>
      </c>
      <c r="M198" s="102">
        <v>1800</v>
      </c>
      <c r="N198" s="25">
        <f t="shared" si="109"/>
        <v>6.8249258160237386E-2</v>
      </c>
      <c r="O198" s="104">
        <f>IF(ISNUMBER(M198), $B199 * N198, "")</f>
        <v>6824.9258160237387</v>
      </c>
      <c r="Q198" s="252"/>
      <c r="R198" s="253"/>
      <c r="S198" s="254"/>
    </row>
    <row r="199" spans="1:19" ht="17.25" thickBot="1">
      <c r="A199" s="132" t="s">
        <v>270</v>
      </c>
      <c r="B199" s="260">
        <f>$B$37</f>
        <v>100000</v>
      </c>
      <c r="C199" s="261"/>
      <c r="D199" s="26" t="s">
        <v>271</v>
      </c>
      <c r="E199" s="27">
        <f>IF(COUNT(E179:E198), SUM(E179:E198) / COUNT(E179:E198), 0)</f>
        <v>1.1152975368213743E-2</v>
      </c>
      <c r="F199" s="28">
        <f>SUM(F179:F198)</f>
        <v>22305.950736427483</v>
      </c>
      <c r="G199" s="26" t="s">
        <v>271</v>
      </c>
      <c r="H199" s="27">
        <f>IF(COUNT(H179:H198), SUM(H179:H198) / COUNT(H179:H198), 0)</f>
        <v>1.6333551700394931E-2</v>
      </c>
      <c r="I199" s="28">
        <f>SUM(I179:I198)</f>
        <v>32667.103400789863</v>
      </c>
      <c r="J199" s="26" t="s">
        <v>271</v>
      </c>
      <c r="K199" s="27">
        <f>IF(COUNT(K179:K198), SUM(K179:K198) / COUNT(K179:K198), 0)</f>
        <v>1.2432829263290411E-2</v>
      </c>
      <c r="L199" s="28">
        <f>SUM(L179:L198)</f>
        <v>24865.658526580824</v>
      </c>
      <c r="M199" s="26" t="s">
        <v>271</v>
      </c>
      <c r="N199" s="27">
        <f>IF(COUNT(N179:N198), SUM(N179:N198) / COUNT(N179:N198), 0)</f>
        <v>1.7939086876582105E-2</v>
      </c>
      <c r="O199" s="28">
        <f>SUM(O179:O198)</f>
        <v>35878.173753164221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625D7-C5BB-47D8-AC68-DD794580FC9A}">
  <sheetPr codeName="Sheet1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44443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320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328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337,323 KRW (16.87%)</v>
      </c>
      <c r="H3" s="217"/>
      <c r="I3" s="218"/>
      <c r="J3" s="4" t="s">
        <v>7</v>
      </c>
      <c r="K3" s="213" t="s">
        <v>321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322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319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142,415 KRW (8.90%)</v>
      </c>
      <c r="H5" s="217"/>
      <c r="I5" s="218"/>
      <c r="J5" s="4" t="s">
        <v>15</v>
      </c>
      <c r="K5" s="213" t="s">
        <v>323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324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384,800 KRW (19.24%)</v>
      </c>
      <c r="H7" s="217"/>
      <c r="I7" s="218"/>
      <c r="J7" s="4" t="s">
        <v>21</v>
      </c>
      <c r="K7" s="213" t="s">
        <v>325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255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108,124 KRW (5.41%)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326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327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318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69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55149000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2.1442459999999998E-3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2021-09-04(토) 오전 00:00</v>
      </c>
      <c r="C15" s="268"/>
      <c r="D15" s="224" t="str">
        <f>TEXT($G$1, "[$-ko-KR]yyyy-mm-dd(ddd) ") &amp; "오후 14:00"</f>
        <v>2021-09-04(토) 오후 14:00</v>
      </c>
      <c r="E15" s="225"/>
      <c r="F15" s="226"/>
      <c r="G15" s="224" t="str">
        <f>TEXT($G$1, "[$-ko-KR]yyyy-mm-dd(ddd) ") &amp; "오후 19:00"</f>
        <v>2021-09-04(토) 오후 19:00</v>
      </c>
      <c r="H15" s="225"/>
      <c r="I15" s="226"/>
      <c r="J15" s="224" t="str">
        <f>TEXT($G$1, "[$-ko-KR]yyyy-mm-dd(ddd) ") &amp; "오후 21:00"</f>
        <v>2021-09-04(토) 오후 21:00</v>
      </c>
      <c r="K15" s="225"/>
      <c r="L15" s="226"/>
      <c r="M15" s="224" t="str">
        <f>TEXT($G$1+1, "[$-ko-KR]yyyy-mm-dd(ddd) ") &amp; "오전 00:00"</f>
        <v>2021-09-05(일)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69" t="s">
        <v>267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55149000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2.1442459999999998E-3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2021-09-04(토) 오전 00:00</v>
      </c>
      <c r="C42" s="265"/>
      <c r="D42" s="224" t="str">
        <f>TEXT($G$1, "[$-ko-KR]yyyy-mm-dd(ddd) ") &amp; "오후 14:00"</f>
        <v>2021-09-04(토) 오후 14:00</v>
      </c>
      <c r="E42" s="225"/>
      <c r="F42" s="226"/>
      <c r="G42" s="224" t="str">
        <f>TEXT($G$1, "[$-ko-KR]yyyy-mm-dd(ddd) ") &amp; "오후 19:00"</f>
        <v>2021-09-04(토) 오후 19:00</v>
      </c>
      <c r="H42" s="225"/>
      <c r="I42" s="226"/>
      <c r="J42" s="224" t="str">
        <f>TEXT($G$1, "[$-ko-KR]yyyy-mm-dd(ddd) ") &amp; "오후 21:00"</f>
        <v>2021-09-04(토) 오후 21:00</v>
      </c>
      <c r="K42" s="225"/>
      <c r="L42" s="226"/>
      <c r="M42" s="224" t="str">
        <f>TEXT($G$1+1, "[$-ko-KR]yyyy-mm-dd(ddd) ") &amp; "오전 00:00"</f>
        <v>2021-09-05(일)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7"/>
      <c r="R43" s="227"/>
      <c r="S43" s="227"/>
    </row>
    <row r="44" spans="1:19" ht="17.25" customHeight="1" thickBot="1">
      <c r="A44" s="123" t="s">
        <v>65</v>
      </c>
      <c r="B44" s="124">
        <v>56.2</v>
      </c>
      <c r="C44" s="76">
        <v>8.0769230799999994E-2</v>
      </c>
      <c r="D44" s="13">
        <v>70.5</v>
      </c>
      <c r="E44" s="14">
        <f>IF(ISNUMBER(D44), (D44 - $B44) / $B44, "")</f>
        <v>0.25444839857651241</v>
      </c>
      <c r="F44" s="16">
        <f>IF(ISNUMBER(D44), $B64 * E44, "")</f>
        <v>25444.839857651241</v>
      </c>
      <c r="G44" s="29">
        <v>71.599999999999994</v>
      </c>
      <c r="H44" s="14">
        <f>IF(ISNUMBER(G44), (G44 - $B44) / $B44, "")</f>
        <v>0.2740213523131671</v>
      </c>
      <c r="I44" s="100">
        <f>IF(ISNUMBER(G44), $B64 * H44, "")</f>
        <v>27402.135231316712</v>
      </c>
      <c r="J44" s="13">
        <v>68.400000000000006</v>
      </c>
      <c r="K44" s="14">
        <f>IF(ISNUMBER(J44), (J44 - $B44) / $B44, "")</f>
        <v>0.21708185053380788</v>
      </c>
      <c r="L44" s="16">
        <f>IF(ISNUMBER(J44), $B64 * K44, "")</f>
        <v>21708.185053380788</v>
      </c>
      <c r="M44" s="29">
        <v>67.3</v>
      </c>
      <c r="N44" s="14">
        <f>IF(ISNUMBER(M44), (M44 - $B44) / $B44, "")</f>
        <v>0.19750889679715292</v>
      </c>
      <c r="O44" s="16">
        <f>IF(ISNUMBER(M44), $B64 * N44, "")</f>
        <v>19750.889679715292</v>
      </c>
      <c r="Q44" s="222"/>
      <c r="R44" s="222"/>
      <c r="S44" s="222"/>
    </row>
    <row r="45" spans="1:19" ht="17.25" customHeight="1" thickBot="1">
      <c r="A45" s="125" t="s">
        <v>98</v>
      </c>
      <c r="B45" s="126">
        <v>5.67</v>
      </c>
      <c r="C45" s="77">
        <v>3.4671532800000002E-2</v>
      </c>
      <c r="D45" s="15">
        <v>5.61</v>
      </c>
      <c r="E45" s="32">
        <f t="shared" ref="E45:E48" si="14">IF(ISNUMBER(D45), (D45 - $B45) / $B45, "")</f>
        <v>-1.0582010582010514E-2</v>
      </c>
      <c r="F45" s="18">
        <f>IF(ISNUMBER(D45), $B64 * E45, "")</f>
        <v>-1058.2010582010514</v>
      </c>
      <c r="G45" s="31">
        <v>5.63</v>
      </c>
      <c r="H45" s="32">
        <f t="shared" ref="H45:H48" si="15">IF(ISNUMBER(G45), (G45 - $B45) / $B45, "")</f>
        <v>-7.0546737213403946E-3</v>
      </c>
      <c r="I45" s="101">
        <f>IF(ISNUMBER(G45), $B64 * H45, "")</f>
        <v>-705.46737213403946</v>
      </c>
      <c r="J45" s="15">
        <v>5.54</v>
      </c>
      <c r="K45" s="32">
        <f t="shared" ref="K45:K48" si="16">IF(ISNUMBER(J45), (J45 - $B45) / $B45, "")</f>
        <v>-2.2927689594356242E-2</v>
      </c>
      <c r="L45" s="18">
        <f>IF(ISNUMBER(J45), $B64 * K45, "")</f>
        <v>-2292.7689594356243</v>
      </c>
      <c r="M45" s="31">
        <v>5.56</v>
      </c>
      <c r="N45" s="32">
        <f t="shared" ref="N45:N48" si="17">IF(ISNUMBER(M45), (M45 - $B45) / $B45, "")</f>
        <v>-1.9400352733686125E-2</v>
      </c>
      <c r="O45" s="18">
        <f>IF(ISNUMBER(M45), $B64 * N45, "")</f>
        <v>-1940.0352733686125</v>
      </c>
      <c r="Q45" s="222"/>
      <c r="R45" s="222"/>
      <c r="S45" s="222"/>
    </row>
    <row r="46" spans="1:19" ht="17.25" customHeight="1" thickBot="1">
      <c r="A46" s="125" t="s">
        <v>148</v>
      </c>
      <c r="B46" s="126">
        <v>24.8</v>
      </c>
      <c r="C46" s="77">
        <v>2.9045643199999999E-2</v>
      </c>
      <c r="D46" s="15">
        <v>25.6</v>
      </c>
      <c r="E46" s="32">
        <f t="shared" si="14"/>
        <v>3.2258064516129059E-2</v>
      </c>
      <c r="F46" s="18">
        <f>IF(ISNUMBER(D46), $B64 * E46, "")</f>
        <v>3225.8064516129061</v>
      </c>
      <c r="G46" s="31">
        <v>26.4</v>
      </c>
      <c r="H46" s="32">
        <f t="shared" si="15"/>
        <v>6.4516129032257979E-2</v>
      </c>
      <c r="I46" s="101">
        <f>IF(ISNUMBER(G46), $B64 * H46, "")</f>
        <v>6451.6129032257977</v>
      </c>
      <c r="J46" s="15">
        <v>25.6</v>
      </c>
      <c r="K46" s="32">
        <f t="shared" si="16"/>
        <v>3.2258064516129059E-2</v>
      </c>
      <c r="L46" s="18">
        <f>IF(ISNUMBER(J46), $B64 * K46, "")</f>
        <v>3225.8064516129061</v>
      </c>
      <c r="M46" s="31">
        <v>26.1</v>
      </c>
      <c r="N46" s="32">
        <f t="shared" si="17"/>
        <v>5.2419354838709707E-2</v>
      </c>
      <c r="O46" s="18">
        <f>IF(ISNUMBER(M46), $B64 * N46, "")</f>
        <v>5241.9354838709705</v>
      </c>
      <c r="Q46" s="227"/>
      <c r="R46" s="227"/>
      <c r="S46" s="227"/>
    </row>
    <row r="47" spans="1:19" ht="17.25" customHeight="1" thickBot="1">
      <c r="A47" s="125" t="s">
        <v>202</v>
      </c>
      <c r="B47" s="126">
        <v>96.6</v>
      </c>
      <c r="C47" s="77">
        <v>2.5477706999999999E-2</v>
      </c>
      <c r="D47" s="15">
        <v>101</v>
      </c>
      <c r="E47" s="32">
        <f t="shared" si="14"/>
        <v>4.5548654244306479E-2</v>
      </c>
      <c r="F47" s="18">
        <f>IF(ISNUMBER(D47), $B64 * E47, "")</f>
        <v>4554.8654244306481</v>
      </c>
      <c r="G47" s="31">
        <v>102</v>
      </c>
      <c r="H47" s="32">
        <f t="shared" si="15"/>
        <v>5.5900621118012486E-2</v>
      </c>
      <c r="I47" s="101">
        <f>IF(ISNUMBER(G47), $B64 * H47, "")</f>
        <v>5590.0621118012486</v>
      </c>
      <c r="J47" s="15">
        <v>100</v>
      </c>
      <c r="K47" s="32">
        <f t="shared" si="16"/>
        <v>3.5196687370600478E-2</v>
      </c>
      <c r="L47" s="18">
        <f>IF(ISNUMBER(J47), $B64 * K47, "")</f>
        <v>3519.668737060048</v>
      </c>
      <c r="M47" s="31">
        <v>104</v>
      </c>
      <c r="N47" s="32">
        <f t="shared" si="17"/>
        <v>7.6604554865424487E-2</v>
      </c>
      <c r="O47" s="18">
        <f>IF(ISNUMBER(M47), $B64 * N47, "")</f>
        <v>7660.4554865424489</v>
      </c>
      <c r="Q47" s="227"/>
      <c r="R47" s="227"/>
      <c r="S47" s="227"/>
    </row>
    <row r="48" spans="1:19" ht="17.25" customHeight="1" thickBot="1">
      <c r="A48" s="127" t="s">
        <v>178</v>
      </c>
      <c r="B48" s="128">
        <v>20.399999999999999</v>
      </c>
      <c r="C48" s="78">
        <v>2.5125628099999998E-2</v>
      </c>
      <c r="D48" s="20">
        <v>21.5</v>
      </c>
      <c r="E48" s="21">
        <f t="shared" si="14"/>
        <v>5.3921568627451053E-2</v>
      </c>
      <c r="F48" s="22">
        <f>IF(ISNUMBER(D48), $B64 * E48, "")</f>
        <v>5392.1568627451052</v>
      </c>
      <c r="G48" s="30">
        <v>22.6</v>
      </c>
      <c r="H48" s="21">
        <f t="shared" si="15"/>
        <v>0.10784313725490211</v>
      </c>
      <c r="I48" s="105">
        <f>IF(ISNUMBER(G48), $B64 * H48, "")</f>
        <v>10784.31372549021</v>
      </c>
      <c r="J48" s="20">
        <v>21.7</v>
      </c>
      <c r="K48" s="21">
        <f t="shared" si="16"/>
        <v>6.3725490196078469E-2</v>
      </c>
      <c r="L48" s="22">
        <f>IF(ISNUMBER(J48), $B64 * K48, "")</f>
        <v>6372.5490196078472</v>
      </c>
      <c r="M48" s="30">
        <v>22.2</v>
      </c>
      <c r="N48" s="21">
        <f t="shared" si="17"/>
        <v>8.8235294117647106E-2</v>
      </c>
      <c r="O48" s="22">
        <f>IF(ISNUMBER(M48), $B64 * N48, "")</f>
        <v>8823.5294117647099</v>
      </c>
      <c r="Q48" s="227"/>
      <c r="R48" s="227"/>
      <c r="S48" s="227"/>
    </row>
    <row r="49" spans="1:19" ht="17.25" customHeight="1" thickBot="1">
      <c r="A49" s="125" t="s">
        <v>72</v>
      </c>
      <c r="B49" s="129">
        <v>27.5</v>
      </c>
      <c r="C49" s="80">
        <v>2.2304832699999999E-2</v>
      </c>
      <c r="D49" s="106">
        <v>30.5</v>
      </c>
      <c r="E49" s="107">
        <f>IF(ISNUMBER(D49), (D49 - $B49) / $B49, "")</f>
        <v>0.10909090909090909</v>
      </c>
      <c r="F49" s="108">
        <f>IF(ISNUMBER(D49), $B64 * E49, "")</f>
        <v>10909.090909090908</v>
      </c>
      <c r="G49" s="109">
        <v>31.9</v>
      </c>
      <c r="H49" s="107">
        <f>IF(ISNUMBER(G49), (G49 - $B49) / $B49, "")</f>
        <v>0.15999999999999995</v>
      </c>
      <c r="I49" s="110">
        <f>IF(ISNUMBER(G49), $B64 * H49, "")</f>
        <v>15999.999999999995</v>
      </c>
      <c r="J49" s="106">
        <v>29.8</v>
      </c>
      <c r="K49" s="107">
        <f>IF(ISNUMBER(J49), (J49 - $B49) / $B49, "")</f>
        <v>8.3636363636363661E-2</v>
      </c>
      <c r="L49" s="108">
        <f>IF(ISNUMBER(J49), $B64 * K49, "")</f>
        <v>8363.6363636363658</v>
      </c>
      <c r="M49" s="109">
        <v>30.1</v>
      </c>
      <c r="N49" s="107">
        <f>IF(ISNUMBER(M49), (M49 - $B49) / $B49, "")</f>
        <v>9.4545454545454599E-2</v>
      </c>
      <c r="O49" s="108">
        <f>IF(ISNUMBER(M49), $B64 * N49, "")</f>
        <v>9454.5454545454595</v>
      </c>
      <c r="Q49" s="227"/>
      <c r="R49" s="227"/>
      <c r="S49" s="227"/>
    </row>
    <row r="50" spans="1:19" ht="17.25" customHeight="1" thickBot="1">
      <c r="A50" s="125" t="s">
        <v>188</v>
      </c>
      <c r="B50" s="126">
        <v>14.2</v>
      </c>
      <c r="C50" s="77">
        <v>2.15827338E-2</v>
      </c>
      <c r="D50" s="15">
        <v>15.3</v>
      </c>
      <c r="E50" s="32">
        <f t="shared" ref="E50:E53" si="18">IF(ISNUMBER(D50), (D50 - $B50) / $B50, "")</f>
        <v>7.7464788732394471E-2</v>
      </c>
      <c r="F50" s="18">
        <f>IF(ISNUMBER(D50), $B64 * E50, "")</f>
        <v>7746.4788732394472</v>
      </c>
      <c r="G50" s="31">
        <v>16.100000000000001</v>
      </c>
      <c r="H50" s="32">
        <f t="shared" ref="H50:H53" si="19">IF(ISNUMBER(G50), (G50 - $B50) / $B50, "")</f>
        <v>0.13380281690140861</v>
      </c>
      <c r="I50" s="101">
        <f>IF(ISNUMBER(G50), $B64 * H50, "")</f>
        <v>13380.281690140861</v>
      </c>
      <c r="J50" s="15">
        <v>15.4</v>
      </c>
      <c r="K50" s="32">
        <f t="shared" ref="K50:K53" si="20">IF(ISNUMBER(J50), (J50 - $B50) / $B50, "")</f>
        <v>8.4507042253521208E-2</v>
      </c>
      <c r="L50" s="18">
        <f>IF(ISNUMBER(J50), $B64 * K50, "")</f>
        <v>8450.7042253521213</v>
      </c>
      <c r="M50" s="31">
        <v>15.6</v>
      </c>
      <c r="N50" s="32">
        <f t="shared" ref="N50:N53" si="21">IF(ISNUMBER(M50), (M50 - $B50) / $B50, "")</f>
        <v>9.8591549295774683E-2</v>
      </c>
      <c r="O50" s="18">
        <f>IF(ISNUMBER(M50), $B64 * N50, "")</f>
        <v>9859.1549295774676</v>
      </c>
      <c r="Q50" s="227"/>
      <c r="R50" s="227"/>
      <c r="S50" s="227"/>
    </row>
    <row r="51" spans="1:19" ht="17.25" customHeight="1" thickBot="1">
      <c r="A51" s="125" t="s">
        <v>234</v>
      </c>
      <c r="B51" s="126">
        <v>89.4</v>
      </c>
      <c r="C51" s="77">
        <v>1.47559591E-2</v>
      </c>
      <c r="D51" s="15">
        <v>93.5</v>
      </c>
      <c r="E51" s="32">
        <f t="shared" si="18"/>
        <v>4.5861297539149824E-2</v>
      </c>
      <c r="F51" s="18">
        <f>IF(ISNUMBER(D51), $B64 * E51, "")</f>
        <v>4586.1297539149828</v>
      </c>
      <c r="G51" s="31">
        <v>95.3</v>
      </c>
      <c r="H51" s="32">
        <f t="shared" si="19"/>
        <v>6.5995525727069251E-2</v>
      </c>
      <c r="I51" s="101">
        <f>IF(ISNUMBER(G51), $B64 * H51, "")</f>
        <v>6599.5525727069253</v>
      </c>
      <c r="J51" s="15">
        <v>93.8</v>
      </c>
      <c r="K51" s="32">
        <f t="shared" si="20"/>
        <v>4.9217002237136369E-2</v>
      </c>
      <c r="L51" s="18">
        <f>IF(ISNUMBER(J51), $B64 * K51, "")</f>
        <v>4921.7002237136367</v>
      </c>
      <c r="M51" s="31">
        <v>95.3</v>
      </c>
      <c r="N51" s="32">
        <f t="shared" si="21"/>
        <v>6.5995525727069251E-2</v>
      </c>
      <c r="O51" s="18">
        <f>IF(ISNUMBER(M51), $B64 * N51, "")</f>
        <v>6599.5525727069253</v>
      </c>
      <c r="Q51" s="227"/>
      <c r="R51" s="227"/>
      <c r="S51" s="227"/>
    </row>
    <row r="52" spans="1:19" ht="17.25" customHeight="1" thickBot="1">
      <c r="A52" s="125" t="s">
        <v>208</v>
      </c>
      <c r="B52" s="126">
        <v>14.8</v>
      </c>
      <c r="C52" s="77">
        <v>1.3698630099999999E-2</v>
      </c>
      <c r="D52" s="15">
        <v>15.7</v>
      </c>
      <c r="E52" s="32">
        <f t="shared" si="18"/>
        <v>6.081081081081071E-2</v>
      </c>
      <c r="F52" s="18">
        <f>IF(ISNUMBER(D52), $B64 * E52, "")</f>
        <v>6081.0810810810708</v>
      </c>
      <c r="G52" s="31">
        <v>17.100000000000001</v>
      </c>
      <c r="H52" s="32">
        <f t="shared" si="19"/>
        <v>0.15540540540540546</v>
      </c>
      <c r="I52" s="101">
        <f>IF(ISNUMBER(G52), $B64 * H52, "")</f>
        <v>15540.540540540545</v>
      </c>
      <c r="J52" s="15">
        <v>16</v>
      </c>
      <c r="K52" s="32">
        <f t="shared" si="20"/>
        <v>8.108108108108103E-2</v>
      </c>
      <c r="L52" s="18">
        <f>IF(ISNUMBER(J52), $B64 * K52, "")</f>
        <v>8108.1081081081029</v>
      </c>
      <c r="M52" s="31">
        <v>16.2</v>
      </c>
      <c r="N52" s="32">
        <f t="shared" si="21"/>
        <v>9.4594594594594489E-2</v>
      </c>
      <c r="O52" s="18">
        <f>IF(ISNUMBER(M52), $B64 * N52, "")</f>
        <v>9459.4594594594491</v>
      </c>
      <c r="Q52" s="33"/>
      <c r="R52" s="33"/>
    </row>
    <row r="53" spans="1:19" ht="17.25" customHeight="1" thickBot="1">
      <c r="A53" s="130" t="s">
        <v>240</v>
      </c>
      <c r="B53" s="131">
        <v>77.400000000000006</v>
      </c>
      <c r="C53" s="79">
        <v>1.17647059E-2</v>
      </c>
      <c r="D53" s="24">
        <v>82.9</v>
      </c>
      <c r="E53" s="25">
        <f t="shared" si="18"/>
        <v>7.10594315245478E-2</v>
      </c>
      <c r="F53" s="104">
        <f>IF(ISNUMBER(D53), $B64 * E53, "")</f>
        <v>7105.9431524547799</v>
      </c>
      <c r="G53" s="102">
        <v>83.5</v>
      </c>
      <c r="H53" s="25">
        <f t="shared" si="19"/>
        <v>7.8811369509043855E-2</v>
      </c>
      <c r="I53" s="103">
        <f>IF(ISNUMBER(G53), $B64 * H53, "")</f>
        <v>7881.1369509043852</v>
      </c>
      <c r="J53" s="24">
        <v>81.599999999999994</v>
      </c>
      <c r="K53" s="25">
        <f t="shared" si="20"/>
        <v>5.4263565891472715E-2</v>
      </c>
      <c r="L53" s="104">
        <f>IF(ISNUMBER(J53), $B64 * K53, "")</f>
        <v>5426.3565891472717</v>
      </c>
      <c r="M53" s="102">
        <v>81.8</v>
      </c>
      <c r="N53" s="25">
        <f t="shared" si="21"/>
        <v>5.6847545219638126E-2</v>
      </c>
      <c r="O53" s="104">
        <f>IF(ISNUMBER(M53), $B64 * N53, "")</f>
        <v>5684.7545219638123</v>
      </c>
      <c r="Q53" s="236"/>
      <c r="R53" s="237"/>
      <c r="S53" s="238"/>
    </row>
    <row r="54" spans="1:19" ht="17.25" customHeight="1">
      <c r="A54" s="123" t="s">
        <v>190</v>
      </c>
      <c r="B54" s="124">
        <v>20.399999999999999</v>
      </c>
      <c r="C54" s="76">
        <v>9.9009900999999997E-3</v>
      </c>
      <c r="D54" s="13">
        <v>21.4</v>
      </c>
      <c r="E54" s="14">
        <f>IF(ISNUMBER(D54), (D54 - $B54) / $B54, "")</f>
        <v>4.9019607843137261E-2</v>
      </c>
      <c r="F54" s="16">
        <f>IF(ISNUMBER(D54), $B64 * E54, "")</f>
        <v>4901.9607843137264</v>
      </c>
      <c r="G54" s="29">
        <v>22.1</v>
      </c>
      <c r="H54" s="14">
        <f>IF(ISNUMBER(G54), (G54 - $B54) / $B54, "")</f>
        <v>8.3333333333333481E-2</v>
      </c>
      <c r="I54" s="100">
        <f>IF(ISNUMBER(G54), $B64 * H54, "")</f>
        <v>8333.3333333333485</v>
      </c>
      <c r="J54" s="13">
        <v>21.4</v>
      </c>
      <c r="K54" s="14">
        <f>IF(ISNUMBER(J54), (J54 - $B54) / $B54, "")</f>
        <v>4.9019607843137261E-2</v>
      </c>
      <c r="L54" s="16">
        <f>IF(ISNUMBER(J54), $B64 * K54, "")</f>
        <v>4901.9607843137264</v>
      </c>
      <c r="M54" s="29">
        <v>21.9</v>
      </c>
      <c r="N54" s="14">
        <f>IF(ISNUMBER(M54), (M54 - $B54) / $B54, "")</f>
        <v>7.3529411764705885E-2</v>
      </c>
      <c r="O54" s="16">
        <f>IF(ISNUMBER(M54), $B64 * N54, "")</f>
        <v>7352.9411764705883</v>
      </c>
      <c r="Q54" s="239"/>
      <c r="R54" s="240"/>
      <c r="S54" s="241"/>
    </row>
    <row r="55" spans="1:19" ht="17.25" customHeight="1" thickBot="1">
      <c r="A55" s="125" t="s">
        <v>216</v>
      </c>
      <c r="B55" s="126">
        <v>12.3</v>
      </c>
      <c r="C55" s="77">
        <v>8.1967212999999994E-3</v>
      </c>
      <c r="D55" s="15">
        <v>13</v>
      </c>
      <c r="E55" s="32">
        <f t="shared" ref="E55:E58" si="22">IF(ISNUMBER(D55), (D55 - $B55) / $B55, "")</f>
        <v>5.6910569105690999E-2</v>
      </c>
      <c r="F55" s="18">
        <f>IF(ISNUMBER(D55), $B64 * E55, "")</f>
        <v>5691.0569105691002</v>
      </c>
      <c r="G55" s="31">
        <v>13.2</v>
      </c>
      <c r="H55" s="32">
        <f t="shared" ref="H55:H58" si="23">IF(ISNUMBER(G55), (G55 - $B55) / $B55, "")</f>
        <v>7.3170731707316958E-2</v>
      </c>
      <c r="I55" s="101">
        <f>IF(ISNUMBER(G55), $B64 * H55, "")</f>
        <v>7317.0731707316954</v>
      </c>
      <c r="J55" s="15">
        <v>12.9</v>
      </c>
      <c r="K55" s="32">
        <f t="shared" ref="K55:K58" si="24">IF(ISNUMBER(J55), (J55 - $B55) / $B55, "")</f>
        <v>4.8780487804878016E-2</v>
      </c>
      <c r="L55" s="18">
        <f>IF(ISNUMBER(J55), $B64 * K55, "")</f>
        <v>4878.0487804878012</v>
      </c>
      <c r="M55" s="31">
        <v>13.2</v>
      </c>
      <c r="N55" s="32">
        <f t="shared" ref="N55:N58" si="25">IF(ISNUMBER(M55), (M55 - $B55) / $B55, "")</f>
        <v>7.3170731707316958E-2</v>
      </c>
      <c r="O55" s="18">
        <f>IF(ISNUMBER(M55), $B64 * N55, "")</f>
        <v>7317.0731707316954</v>
      </c>
      <c r="Q55" s="242"/>
      <c r="R55" s="243"/>
      <c r="S55" s="244"/>
    </row>
    <row r="56" spans="1:19" ht="17.25" customHeight="1" thickBot="1">
      <c r="A56" s="125" t="s">
        <v>150</v>
      </c>
      <c r="B56" s="126">
        <v>14.2</v>
      </c>
      <c r="C56" s="77">
        <v>7.0921986000000003E-3</v>
      </c>
      <c r="D56" s="15">
        <v>15.3</v>
      </c>
      <c r="E56" s="32">
        <f t="shared" si="22"/>
        <v>7.7464788732394471E-2</v>
      </c>
      <c r="F56" s="18">
        <f>IF(ISNUMBER(D56), $B64 * E56, "")</f>
        <v>7746.4788732394472</v>
      </c>
      <c r="G56" s="31">
        <v>15.8</v>
      </c>
      <c r="H56" s="32">
        <f t="shared" si="23"/>
        <v>0.11267605633802827</v>
      </c>
      <c r="I56" s="101">
        <f>IF(ISNUMBER(G56), $B64 * H56, "")</f>
        <v>11267.605633802827</v>
      </c>
      <c r="J56" s="15">
        <v>15.4</v>
      </c>
      <c r="K56" s="32">
        <f t="shared" si="24"/>
        <v>8.4507042253521208E-2</v>
      </c>
      <c r="L56" s="18">
        <f>IF(ISNUMBER(J56), $B64 * K56, "")</f>
        <v>8450.7042253521213</v>
      </c>
      <c r="M56" s="31">
        <v>16</v>
      </c>
      <c r="N56" s="32">
        <f t="shared" si="25"/>
        <v>0.12676056338028174</v>
      </c>
      <c r="O56" s="18">
        <f>IF(ISNUMBER(M56), $B64 * N56, "")</f>
        <v>12676.056338028175</v>
      </c>
      <c r="Q56" s="227"/>
      <c r="R56" s="227"/>
      <c r="S56" s="227"/>
    </row>
    <row r="57" spans="1:19" ht="17.25" customHeight="1" thickBot="1">
      <c r="A57" s="125" t="s">
        <v>204</v>
      </c>
      <c r="B57" s="126">
        <v>17.2</v>
      </c>
      <c r="C57" s="77">
        <v>5.8479532000000004E-3</v>
      </c>
      <c r="D57" s="15">
        <v>17.8</v>
      </c>
      <c r="E57" s="32">
        <f t="shared" si="22"/>
        <v>3.4883720930232641E-2</v>
      </c>
      <c r="F57" s="18">
        <f>IF(ISNUMBER(D57), $B64 * E57, "")</f>
        <v>3488.3720930232639</v>
      </c>
      <c r="G57" s="31">
        <v>18.100000000000001</v>
      </c>
      <c r="H57" s="32">
        <f t="shared" si="23"/>
        <v>5.2325581395348965E-2</v>
      </c>
      <c r="I57" s="101">
        <f>IF(ISNUMBER(G57), $B64 * H57, "")</f>
        <v>5232.5581395348963</v>
      </c>
      <c r="J57" s="15">
        <v>17.8</v>
      </c>
      <c r="K57" s="32">
        <f t="shared" si="24"/>
        <v>3.4883720930232641E-2</v>
      </c>
      <c r="L57" s="18">
        <f>IF(ISNUMBER(J57), $B64 * K57, "")</f>
        <v>3488.3720930232639</v>
      </c>
      <c r="M57" s="31">
        <v>18.100000000000001</v>
      </c>
      <c r="N57" s="32">
        <f t="shared" si="25"/>
        <v>5.2325581395348965E-2</v>
      </c>
      <c r="O57" s="18">
        <f>IF(ISNUMBER(M57), $B64 * N57, "")</f>
        <v>5232.5581395348963</v>
      </c>
      <c r="Q57" s="222"/>
      <c r="R57" s="222"/>
      <c r="S57" s="222"/>
    </row>
    <row r="58" spans="1:19" ht="17.25" customHeight="1" thickBot="1">
      <c r="A58" s="127" t="s">
        <v>122</v>
      </c>
      <c r="B58" s="128">
        <v>40.6</v>
      </c>
      <c r="C58" s="78">
        <v>4.9504950000000001E-3</v>
      </c>
      <c r="D58" s="20">
        <v>46.1</v>
      </c>
      <c r="E58" s="21">
        <f t="shared" si="22"/>
        <v>0.1354679802955665</v>
      </c>
      <c r="F58" s="22">
        <f>IF(ISNUMBER(D58), $B64 * E58, "")</f>
        <v>13546.79802955665</v>
      </c>
      <c r="G58" s="30">
        <v>56.5</v>
      </c>
      <c r="H58" s="21">
        <f t="shared" si="23"/>
        <v>0.39162561576354676</v>
      </c>
      <c r="I58" s="105">
        <f>IF(ISNUMBER(G58), $B64 * H58, "")</f>
        <v>39162.561576354674</v>
      </c>
      <c r="J58" s="20">
        <v>51.8</v>
      </c>
      <c r="K58" s="21">
        <f t="shared" si="24"/>
        <v>0.27586206896551713</v>
      </c>
      <c r="L58" s="22">
        <f>IF(ISNUMBER(J58), $B64 * K58, "")</f>
        <v>27586.206896551714</v>
      </c>
      <c r="M58" s="30">
        <v>51.5</v>
      </c>
      <c r="N58" s="21">
        <f t="shared" si="25"/>
        <v>0.26847290640394084</v>
      </c>
      <c r="O58" s="22">
        <f>IF(ISNUMBER(M58), $B64 * N58, "")</f>
        <v>26847.290640394083</v>
      </c>
      <c r="Q58" s="222"/>
      <c r="R58" s="222"/>
      <c r="S58" s="222"/>
    </row>
    <row r="59" spans="1:19" ht="17.25" customHeight="1" thickBot="1">
      <c r="A59" s="125" t="s">
        <v>210</v>
      </c>
      <c r="B59" s="129">
        <v>16.7</v>
      </c>
      <c r="C59" s="80">
        <v>-2.9069767400000002E-2</v>
      </c>
      <c r="D59" s="106">
        <v>17</v>
      </c>
      <c r="E59" s="107">
        <f>IF(ISNUMBER(D59), (D59 - $B59) / $B59, "")</f>
        <v>1.796407185628747E-2</v>
      </c>
      <c r="F59" s="108">
        <f>IF(ISNUMBER(D59), $B64 * E59, "")</f>
        <v>1796.4071856287469</v>
      </c>
      <c r="G59" s="109">
        <v>17.100000000000001</v>
      </c>
      <c r="H59" s="107">
        <f>IF(ISNUMBER(G59), (G59 - $B59) / $B59, "")</f>
        <v>2.3952095808383363E-2</v>
      </c>
      <c r="I59" s="110">
        <f>IF(ISNUMBER(G59), $B64 * H59, "")</f>
        <v>2395.2095808383365</v>
      </c>
      <c r="J59" s="106">
        <v>16.899999999999999</v>
      </c>
      <c r="K59" s="107">
        <f>IF(ISNUMBER(J59), (J59 - $B59) / $B59, "")</f>
        <v>1.1976047904191574E-2</v>
      </c>
      <c r="L59" s="108">
        <f>IF(ISNUMBER(J59), $B64 * K59, "")</f>
        <v>1197.6047904191573</v>
      </c>
      <c r="M59" s="109">
        <v>17.100000000000001</v>
      </c>
      <c r="N59" s="107">
        <f>IF(ISNUMBER(M59), (M59 - $B59) / $B59, "")</f>
        <v>2.3952095808383363E-2</v>
      </c>
      <c r="O59" s="108">
        <f>IF(ISNUMBER(M59), $B64 * N59, "")</f>
        <v>2395.2095808383365</v>
      </c>
      <c r="Q59" s="227"/>
      <c r="R59" s="227"/>
      <c r="S59" s="227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7"/>
      <c r="R60" s="227"/>
      <c r="S60" s="22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132" t="s">
        <v>270</v>
      </c>
      <c r="B64" s="260">
        <f>$B$37</f>
        <v>100000</v>
      </c>
      <c r="C64" s="261"/>
      <c r="D64" s="26" t="s">
        <v>271</v>
      </c>
      <c r="E64" s="27">
        <f>IF(COUNT(E44:E63), SUM(E44:E63) / COUNT(E44:E63), 0)</f>
        <v>6.9474540740219359E-2</v>
      </c>
      <c r="F64" s="28">
        <f>SUM(F44:F63)</f>
        <v>111159.26518435098</v>
      </c>
      <c r="G64" s="26" t="s">
        <v>271</v>
      </c>
      <c r="H64" s="27">
        <f>IF(COUNT(H44:H63), SUM(H44:H63) / COUNT(H44:H63), 0)</f>
        <v>0.11414531861786774</v>
      </c>
      <c r="I64" s="28">
        <f>SUM(I44:I63)</f>
        <v>182632.50978858842</v>
      </c>
      <c r="J64" s="26" t="s">
        <v>271</v>
      </c>
      <c r="K64" s="27">
        <f>IF(COUNT(K44:K63), SUM(K44:K63) / COUNT(K44:K63), 0)</f>
        <v>7.3941777113957025E-2</v>
      </c>
      <c r="L64" s="28">
        <f>SUM(L44:L63)</f>
        <v>118306.84338233124</v>
      </c>
      <c r="M64" s="26" t="s">
        <v>271</v>
      </c>
      <c r="N64" s="27">
        <f>IF(COUNT(N44:N63), SUM(N44:N63) / COUNT(N44:N63), 0)</f>
        <v>8.9009606732984803E-2</v>
      </c>
      <c r="O64" s="28">
        <f>SUM(O44:O63)</f>
        <v>142415.3707727757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69" t="s">
        <v>267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55149000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2.1442459999999998E-3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2021-09-04(토) 오전 00:00</v>
      </c>
      <c r="C69" s="265"/>
      <c r="D69" s="224" t="str">
        <f>TEXT($G$1, "[$-ko-KR]yyyy-mm-dd(ddd) ") &amp; "오후 14:00"</f>
        <v>2021-09-04(토) 오후 14:00</v>
      </c>
      <c r="E69" s="225"/>
      <c r="F69" s="226"/>
      <c r="G69" s="224" t="str">
        <f>TEXT($G$1, "[$-ko-KR]yyyy-mm-dd(ddd) ") &amp; "오후 19:00"</f>
        <v>2021-09-04(토) 오후 19:00</v>
      </c>
      <c r="H69" s="225"/>
      <c r="I69" s="226"/>
      <c r="J69" s="224" t="str">
        <f>TEXT($G$1, "[$-ko-KR]yyyy-mm-dd(ddd) ") &amp; "오후 21:00"</f>
        <v>2021-09-04(토) 오후 21:00</v>
      </c>
      <c r="K69" s="225"/>
      <c r="L69" s="226"/>
      <c r="M69" s="224" t="str">
        <f>TEXT($G$1+1, "[$-ko-KR]yyyy-mm-dd(ddd) ") &amp; "오전 00:00"</f>
        <v>2021-09-05(일)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7"/>
      <c r="R70" s="227"/>
      <c r="S70" s="227"/>
    </row>
    <row r="71" spans="1:19" ht="17.25" thickBot="1">
      <c r="A71" s="123" t="s">
        <v>164</v>
      </c>
      <c r="B71" s="124">
        <v>845</v>
      </c>
      <c r="C71" s="76">
        <v>0.44197952219999997</v>
      </c>
      <c r="D71" s="13">
        <v>1000</v>
      </c>
      <c r="E71" s="14">
        <f>IF(ISNUMBER(D71), (D71 - $B71) / $B71, "")</f>
        <v>0.18343195266272189</v>
      </c>
      <c r="F71" s="16">
        <f>IF(ISNUMBER(D71), $B91 * E71, "")</f>
        <v>18343.195266272189</v>
      </c>
      <c r="G71" s="29">
        <v>964</v>
      </c>
      <c r="H71" s="14">
        <f>IF(ISNUMBER(G71), (G71 - $B71) / $B71, "")</f>
        <v>0.14082840236686389</v>
      </c>
      <c r="I71" s="100">
        <f>IF(ISNUMBER(G71), $B91 * H71, "")</f>
        <v>14082.840236686388</v>
      </c>
      <c r="J71" s="13">
        <v>915</v>
      </c>
      <c r="K71" s="14">
        <f>IF(ISNUMBER(J71), (J71 - $B71) / $B71, "")</f>
        <v>8.2840236686390539E-2</v>
      </c>
      <c r="L71" s="16">
        <f>IF(ISNUMBER(J71), $B91 * K71, "")</f>
        <v>8284.0236686390544</v>
      </c>
      <c r="M71" s="29">
        <v>905</v>
      </c>
      <c r="N71" s="14">
        <f>IF(ISNUMBER(M71), (M71 - $B71) / $B71, "")</f>
        <v>7.1005917159763315E-2</v>
      </c>
      <c r="O71" s="16">
        <f>IF(ISNUMBER(M71), $B91 * N71, "")</f>
        <v>7100.5917159763312</v>
      </c>
      <c r="Q71" s="222"/>
      <c r="R71" s="222"/>
      <c r="S71" s="222"/>
    </row>
    <row r="72" spans="1:19" ht="17.25" thickBot="1">
      <c r="A72" s="125" t="s">
        <v>206</v>
      </c>
      <c r="B72" s="126">
        <v>555</v>
      </c>
      <c r="C72" s="77">
        <v>0.2333333333</v>
      </c>
      <c r="D72" s="15">
        <v>1365</v>
      </c>
      <c r="E72" s="32">
        <f t="shared" ref="E72:E75" si="30">IF(ISNUMBER(D72), (D72 - $B72) / $B72, "")</f>
        <v>1.4594594594594594</v>
      </c>
      <c r="F72" s="18">
        <f>IF(ISNUMBER(D72), $B91 * E72, "")</f>
        <v>145945.94594594595</v>
      </c>
      <c r="G72" s="31">
        <v>1290</v>
      </c>
      <c r="H72" s="32">
        <f t="shared" ref="H72:H75" si="31">IF(ISNUMBER(G72), (G72 - $B72) / $B72, "")</f>
        <v>1.3243243243243243</v>
      </c>
      <c r="I72" s="101">
        <f>IF(ISNUMBER(G72), $B91 * H72, "")</f>
        <v>132432.43243243243</v>
      </c>
      <c r="J72" s="15">
        <v>1200</v>
      </c>
      <c r="K72" s="32">
        <f t="shared" ref="K72:K75" si="32">IF(ISNUMBER(J72), (J72 - $B72) / $B72, "")</f>
        <v>1.1621621621621621</v>
      </c>
      <c r="L72" s="18">
        <f>IF(ISNUMBER(J72), $B91 * K72, "")</f>
        <v>116216.21621621621</v>
      </c>
      <c r="M72" s="31">
        <v>1215</v>
      </c>
      <c r="N72" s="32">
        <f t="shared" ref="N72:N75" si="33">IF(ISNUMBER(M72), (M72 - $B72) / $B72, "")</f>
        <v>1.1891891891891893</v>
      </c>
      <c r="O72" s="18">
        <f>IF(ISNUMBER(M72), $B91 * N72, "")</f>
        <v>118918.91891891892</v>
      </c>
      <c r="Q72" s="222"/>
      <c r="R72" s="222"/>
      <c r="S72" s="222"/>
    </row>
    <row r="73" spans="1:19" ht="17.25" thickBot="1">
      <c r="A73" s="125" t="s">
        <v>242</v>
      </c>
      <c r="B73" s="126">
        <v>731</v>
      </c>
      <c r="C73" s="77">
        <v>0.1439749609</v>
      </c>
      <c r="D73" s="15">
        <v>833</v>
      </c>
      <c r="E73" s="32">
        <f t="shared" si="30"/>
        <v>0.13953488372093023</v>
      </c>
      <c r="F73" s="18">
        <f>IF(ISNUMBER(D73), $B91 * E73, "")</f>
        <v>13953.488372093023</v>
      </c>
      <c r="G73" s="31">
        <v>829</v>
      </c>
      <c r="H73" s="32">
        <f t="shared" si="31"/>
        <v>0.13406292749658003</v>
      </c>
      <c r="I73" s="101">
        <f>IF(ISNUMBER(G73), $B91 * H73, "")</f>
        <v>13406.292749658003</v>
      </c>
      <c r="J73" s="15">
        <v>787</v>
      </c>
      <c r="K73" s="32">
        <f t="shared" si="32"/>
        <v>7.6607387140902872E-2</v>
      </c>
      <c r="L73" s="18">
        <f>IF(ISNUMBER(J73), $B91 * K73, "")</f>
        <v>7660.7387140902874</v>
      </c>
      <c r="M73" s="31">
        <v>786</v>
      </c>
      <c r="N73" s="32">
        <f t="shared" si="33"/>
        <v>7.523939808481532E-2</v>
      </c>
      <c r="O73" s="18">
        <f>IF(ISNUMBER(M73), $B91 * N73, "")</f>
        <v>7523.9398084815321</v>
      </c>
      <c r="Q73" s="227"/>
      <c r="R73" s="227"/>
      <c r="S73" s="227"/>
    </row>
    <row r="74" spans="1:19" ht="17.25" thickBot="1">
      <c r="A74" s="125" t="s">
        <v>200</v>
      </c>
      <c r="B74" s="126">
        <v>189</v>
      </c>
      <c r="C74" s="77">
        <v>0.1052631579</v>
      </c>
      <c r="D74" s="15">
        <v>205</v>
      </c>
      <c r="E74" s="32">
        <f t="shared" si="30"/>
        <v>8.4656084656084651E-2</v>
      </c>
      <c r="F74" s="18">
        <f>IF(ISNUMBER(D74), $B91 * E74, "")</f>
        <v>8465.6084656084658</v>
      </c>
      <c r="G74" s="31">
        <v>210</v>
      </c>
      <c r="H74" s="32">
        <f t="shared" si="31"/>
        <v>0.1111111111111111</v>
      </c>
      <c r="I74" s="101">
        <f>IF(ISNUMBER(G74), $B91 * H74, "")</f>
        <v>11111.111111111111</v>
      </c>
      <c r="J74" s="15">
        <v>200</v>
      </c>
      <c r="K74" s="32">
        <f t="shared" si="32"/>
        <v>5.8201058201058198E-2</v>
      </c>
      <c r="L74" s="18">
        <f>IF(ISNUMBER(J74), $B91 * K74, "")</f>
        <v>5820.1058201058195</v>
      </c>
      <c r="M74" s="31">
        <v>201</v>
      </c>
      <c r="N74" s="32">
        <f t="shared" si="33"/>
        <v>6.3492063492063489E-2</v>
      </c>
      <c r="O74" s="18">
        <f>IF(ISNUMBER(M74), $B91 * N74, "")</f>
        <v>6349.2063492063489</v>
      </c>
      <c r="Q74" s="227"/>
      <c r="R74" s="227"/>
      <c r="S74" s="227"/>
    </row>
    <row r="75" spans="1:19" ht="17.25" thickBot="1">
      <c r="A75" s="127" t="s">
        <v>232</v>
      </c>
      <c r="B75" s="128">
        <v>743</v>
      </c>
      <c r="C75" s="78">
        <v>0.10401188710000001</v>
      </c>
      <c r="D75" s="20">
        <v>1160</v>
      </c>
      <c r="E75" s="21">
        <f t="shared" si="30"/>
        <v>0.56123822341857332</v>
      </c>
      <c r="F75" s="22">
        <f>IF(ISNUMBER(D75), $B91 * E75, "")</f>
        <v>56123.822341857333</v>
      </c>
      <c r="G75" s="30">
        <v>1090</v>
      </c>
      <c r="H75" s="21">
        <f t="shared" si="31"/>
        <v>0.46702557200538358</v>
      </c>
      <c r="I75" s="105">
        <f>IF(ISNUMBER(G75), $B91 * H75, "")</f>
        <v>46702.557200538358</v>
      </c>
      <c r="J75" s="20">
        <v>1015</v>
      </c>
      <c r="K75" s="21">
        <f t="shared" si="32"/>
        <v>0.36608344549125166</v>
      </c>
      <c r="L75" s="22">
        <f>IF(ISNUMBER(J75), $B91 * K75, "")</f>
        <v>36608.344549125162</v>
      </c>
      <c r="M75" s="30">
        <v>1020</v>
      </c>
      <c r="N75" s="21">
        <f t="shared" si="33"/>
        <v>0.37281292059219379</v>
      </c>
      <c r="O75" s="22">
        <f>IF(ISNUMBER(M75), $B91 * N75, "")</f>
        <v>37281.292059219377</v>
      </c>
      <c r="Q75" s="227"/>
      <c r="R75" s="227"/>
      <c r="S75" s="227"/>
    </row>
    <row r="76" spans="1:19" ht="17.25" thickBot="1">
      <c r="A76" s="125" t="s">
        <v>174</v>
      </c>
      <c r="B76" s="129">
        <v>442</v>
      </c>
      <c r="C76" s="80">
        <v>9.9502487599999995E-2</v>
      </c>
      <c r="D76" s="106">
        <v>565</v>
      </c>
      <c r="E76" s="107">
        <f>IF(ISNUMBER(D76), (D76 - $B76) / $B76, "")</f>
        <v>0.27828054298642535</v>
      </c>
      <c r="F76" s="108">
        <f>IF(ISNUMBER(D76), $B91 * E76, "")</f>
        <v>27828.054298642535</v>
      </c>
      <c r="G76" s="109">
        <v>571</v>
      </c>
      <c r="H76" s="107">
        <f>IF(ISNUMBER(G76), (G76 - $B76) / $B76, "")</f>
        <v>0.29185520361990952</v>
      </c>
      <c r="I76" s="110">
        <f>IF(ISNUMBER(G76), $B91 * H76, "")</f>
        <v>29185.520361990952</v>
      </c>
      <c r="J76" s="106">
        <v>531</v>
      </c>
      <c r="K76" s="107">
        <f>IF(ISNUMBER(J76), (J76 - $B76) / $B76, "")</f>
        <v>0.20135746606334842</v>
      </c>
      <c r="L76" s="108">
        <f>IF(ISNUMBER(J76), $B91 * K76, "")</f>
        <v>20135.746606334844</v>
      </c>
      <c r="M76" s="109">
        <v>540</v>
      </c>
      <c r="N76" s="107">
        <f>IF(ISNUMBER(M76), (M76 - $B76) / $B76, "")</f>
        <v>0.22171945701357465</v>
      </c>
      <c r="O76" s="108">
        <f>IF(ISNUMBER(M76), $B91 * N76, "")</f>
        <v>22171.945701357465</v>
      </c>
      <c r="Q76" s="227"/>
      <c r="R76" s="227"/>
      <c r="S76" s="227"/>
    </row>
    <row r="77" spans="1:19" ht="17.25" thickBot="1">
      <c r="A77" s="125" t="s">
        <v>130</v>
      </c>
      <c r="B77" s="126">
        <v>147</v>
      </c>
      <c r="C77" s="77">
        <v>5.75539568E-2</v>
      </c>
      <c r="D77" s="15">
        <v>158</v>
      </c>
      <c r="E77" s="32">
        <f t="shared" ref="E77:E80" si="34">IF(ISNUMBER(D77), (D77 - $B77) / $B77, "")</f>
        <v>7.4829931972789115E-2</v>
      </c>
      <c r="F77" s="18">
        <f>IF(ISNUMBER(D77), $B91 * E77, "")</f>
        <v>7482.9931972789118</v>
      </c>
      <c r="G77" s="31">
        <v>159</v>
      </c>
      <c r="H77" s="32">
        <f t="shared" ref="H77:H80" si="35">IF(ISNUMBER(G77), (G77 - $B77) / $B77, "")</f>
        <v>8.1632653061224483E-2</v>
      </c>
      <c r="I77" s="101">
        <f>IF(ISNUMBER(G77), $B91 * H77, "")</f>
        <v>8163.2653061224482</v>
      </c>
      <c r="J77" s="15">
        <v>153</v>
      </c>
      <c r="K77" s="32">
        <f t="shared" ref="K77:K80" si="36">IF(ISNUMBER(J77), (J77 - $B77) / $B77, "")</f>
        <v>4.0816326530612242E-2</v>
      </c>
      <c r="L77" s="18">
        <f>IF(ISNUMBER(J77), $B91 * K77, "")</f>
        <v>4081.6326530612241</v>
      </c>
      <c r="M77" s="31">
        <v>155</v>
      </c>
      <c r="N77" s="32">
        <f t="shared" ref="N77:N80" si="37">IF(ISNUMBER(M77), (M77 - $B77) / $B77, "")</f>
        <v>5.4421768707482991E-2</v>
      </c>
      <c r="O77" s="18">
        <f>IF(ISNUMBER(M77), $B91 * N77, "")</f>
        <v>5442.1768707482988</v>
      </c>
      <c r="Q77" s="227"/>
      <c r="R77" s="227"/>
      <c r="S77" s="227"/>
    </row>
    <row r="78" spans="1:19" ht="17.25" thickBot="1">
      <c r="A78" s="125" t="s">
        <v>192</v>
      </c>
      <c r="B78" s="126">
        <v>311</v>
      </c>
      <c r="C78" s="77">
        <v>5.4237288100000003E-2</v>
      </c>
      <c r="D78" s="15">
        <v>352</v>
      </c>
      <c r="E78" s="32">
        <f t="shared" si="34"/>
        <v>0.13183279742765272</v>
      </c>
      <c r="F78" s="18">
        <f>IF(ISNUMBER(D78), $B91 * E78, "")</f>
        <v>13183.279742765271</v>
      </c>
      <c r="G78" s="31">
        <v>361</v>
      </c>
      <c r="H78" s="32">
        <f t="shared" si="35"/>
        <v>0.16077170418006431</v>
      </c>
      <c r="I78" s="101">
        <f>IF(ISNUMBER(G78), $B91 * H78, "")</f>
        <v>16077.170418006432</v>
      </c>
      <c r="J78" s="15">
        <v>339</v>
      </c>
      <c r="K78" s="32">
        <f t="shared" si="36"/>
        <v>9.0032154340836015E-2</v>
      </c>
      <c r="L78" s="18">
        <f>IF(ISNUMBER(J78), $B91 * K78, "")</f>
        <v>9003.2154340836023</v>
      </c>
      <c r="M78" s="31">
        <v>338</v>
      </c>
      <c r="N78" s="32">
        <f t="shared" si="37"/>
        <v>8.6816720257234734E-2</v>
      </c>
      <c r="O78" s="18">
        <f>IF(ISNUMBER(M78), $B91 * N78, "")</f>
        <v>8681.6720257234738</v>
      </c>
      <c r="Q78" s="227"/>
      <c r="R78" s="227"/>
      <c r="S78" s="227"/>
    </row>
    <row r="79" spans="1:19" ht="17.25" thickBot="1">
      <c r="A79" s="125" t="s">
        <v>254</v>
      </c>
      <c r="B79" s="126">
        <v>369</v>
      </c>
      <c r="C79" s="77">
        <v>4.8295454500000001E-2</v>
      </c>
      <c r="D79" s="15">
        <v>489</v>
      </c>
      <c r="E79" s="32">
        <f t="shared" si="34"/>
        <v>0.32520325203252032</v>
      </c>
      <c r="F79" s="18">
        <f>IF(ISNUMBER(D79), $B91 * E79, "")</f>
        <v>32520.325203252032</v>
      </c>
      <c r="G79" s="31">
        <v>497</v>
      </c>
      <c r="H79" s="32">
        <f t="shared" si="35"/>
        <v>0.34688346883468835</v>
      </c>
      <c r="I79" s="101">
        <f>IF(ISNUMBER(G79), $B91 * H79, "")</f>
        <v>34688.346883468832</v>
      </c>
      <c r="J79" s="15">
        <v>480</v>
      </c>
      <c r="K79" s="32">
        <f t="shared" si="36"/>
        <v>0.30081300813008133</v>
      </c>
      <c r="L79" s="18">
        <f>IF(ISNUMBER(J79), $B91 * K79, "")</f>
        <v>30081.300813008133</v>
      </c>
      <c r="M79" s="31">
        <v>487</v>
      </c>
      <c r="N79" s="32">
        <f t="shared" si="37"/>
        <v>0.31978319783197834</v>
      </c>
      <c r="O79" s="18">
        <f>IF(ISNUMBER(M79), $B91 * N79, "")</f>
        <v>31978.319783197832</v>
      </c>
      <c r="Q79" s="33"/>
      <c r="R79" s="33"/>
    </row>
    <row r="80" spans="1:19" ht="17.25" thickBot="1">
      <c r="A80" s="130" t="s">
        <v>250</v>
      </c>
      <c r="B80" s="131">
        <v>101</v>
      </c>
      <c r="C80" s="79">
        <v>4.77178423E-2</v>
      </c>
      <c r="D80" s="24">
        <v>99.9</v>
      </c>
      <c r="E80" s="25">
        <f t="shared" si="34"/>
        <v>-1.0891089108910835E-2</v>
      </c>
      <c r="F80" s="104">
        <f>IF(ISNUMBER(D80), $B91 * E80, "")</f>
        <v>-1089.1089108910835</v>
      </c>
      <c r="G80" s="102">
        <v>102</v>
      </c>
      <c r="H80" s="25">
        <f t="shared" si="35"/>
        <v>9.9009900990099011E-3</v>
      </c>
      <c r="I80" s="103">
        <f>IF(ISNUMBER(G80), $B91 * H80, "")</f>
        <v>990.09900990099015</v>
      </c>
      <c r="J80" s="24">
        <v>101</v>
      </c>
      <c r="K80" s="25">
        <f t="shared" si="36"/>
        <v>0</v>
      </c>
      <c r="L80" s="104">
        <f>IF(ISNUMBER(J80), $B91 * K80, "")</f>
        <v>0</v>
      </c>
      <c r="M80" s="102">
        <v>101</v>
      </c>
      <c r="N80" s="25">
        <f t="shared" si="37"/>
        <v>0</v>
      </c>
      <c r="O80" s="104">
        <f>IF(ISNUMBER(M80), $B91 * N80, "")</f>
        <v>0</v>
      </c>
      <c r="Q80" s="236"/>
      <c r="R80" s="237"/>
      <c r="S80" s="238"/>
    </row>
    <row r="81" spans="1:19">
      <c r="A81" s="123" t="s">
        <v>238</v>
      </c>
      <c r="B81" s="124">
        <v>135</v>
      </c>
      <c r="C81" s="76">
        <v>4.6511627899999998E-2</v>
      </c>
      <c r="D81" s="13">
        <v>154</v>
      </c>
      <c r="E81" s="14">
        <f>IF(ISNUMBER(D81), (D81 - $B81) / $B81, "")</f>
        <v>0.14074074074074075</v>
      </c>
      <c r="F81" s="16">
        <f>IF(ISNUMBER(D81), $B91 * E81, "")</f>
        <v>14074.074074074075</v>
      </c>
      <c r="G81" s="29">
        <v>157</v>
      </c>
      <c r="H81" s="14">
        <f>IF(ISNUMBER(G81), (G81 - $B81) / $B81, "")</f>
        <v>0.16296296296296298</v>
      </c>
      <c r="I81" s="100">
        <f>IF(ISNUMBER(G81), $B91 * H81, "")</f>
        <v>16296.296296296297</v>
      </c>
      <c r="J81" s="13">
        <v>154</v>
      </c>
      <c r="K81" s="14">
        <f>IF(ISNUMBER(J81), (J81 - $B81) / $B81, "")</f>
        <v>0.14074074074074075</v>
      </c>
      <c r="L81" s="16">
        <f>IF(ISNUMBER(J81), $B91 * K81, "")</f>
        <v>14074.074074074075</v>
      </c>
      <c r="M81" s="29">
        <v>161</v>
      </c>
      <c r="N81" s="14">
        <f>IF(ISNUMBER(M81), (M81 - $B81) / $B81, "")</f>
        <v>0.19259259259259259</v>
      </c>
      <c r="O81" s="16">
        <f>IF(ISNUMBER(M81), $B91 * N81, "")</f>
        <v>19259.259259259259</v>
      </c>
      <c r="Q81" s="239"/>
      <c r="R81" s="240"/>
      <c r="S81" s="241"/>
    </row>
    <row r="82" spans="1:19" ht="17.25" thickBot="1">
      <c r="A82" s="125" t="s">
        <v>138</v>
      </c>
      <c r="B82" s="126">
        <v>418</v>
      </c>
      <c r="C82" s="77">
        <v>4.2394015E-2</v>
      </c>
      <c r="D82" s="15">
        <v>435</v>
      </c>
      <c r="E82" s="32">
        <f t="shared" ref="E82:E85" si="38">IF(ISNUMBER(D82), (D82 - $B82) / $B82, "")</f>
        <v>4.0669856459330141E-2</v>
      </c>
      <c r="F82" s="18">
        <f>IF(ISNUMBER(D82), $B91 * E82, "")</f>
        <v>4066.985645933014</v>
      </c>
      <c r="G82" s="31">
        <v>446</v>
      </c>
      <c r="H82" s="32">
        <f t="shared" ref="H82:H85" si="39">IF(ISNUMBER(G82), (G82 - $B82) / $B82, "")</f>
        <v>6.6985645933014357E-2</v>
      </c>
      <c r="I82" s="101">
        <f>IF(ISNUMBER(G82), $B91 * H82, "")</f>
        <v>6698.5645933014357</v>
      </c>
      <c r="J82" s="15">
        <v>434</v>
      </c>
      <c r="K82" s="32">
        <f t="shared" ref="K82:K85" si="40">IF(ISNUMBER(J82), (J82 - $B82) / $B82, "")</f>
        <v>3.8277511961722487E-2</v>
      </c>
      <c r="L82" s="18">
        <f>IF(ISNUMBER(J82), $B91 * K82, "")</f>
        <v>3827.7511961722485</v>
      </c>
      <c r="M82" s="31">
        <v>437</v>
      </c>
      <c r="N82" s="32">
        <f t="shared" ref="N82:N85" si="41">IF(ISNUMBER(M82), (M82 - $B82) / $B82, "")</f>
        <v>4.5454545454545456E-2</v>
      </c>
      <c r="O82" s="18">
        <f>IF(ISNUMBER(M82), $B91 * N82, "")</f>
        <v>4545.454545454546</v>
      </c>
      <c r="Q82" s="242"/>
      <c r="R82" s="243"/>
      <c r="S82" s="244"/>
    </row>
    <row r="83" spans="1:19" ht="17.25" thickBot="1">
      <c r="A83" s="125" t="s">
        <v>132</v>
      </c>
      <c r="B83" s="126">
        <v>138</v>
      </c>
      <c r="C83" s="77">
        <v>3.7593985000000003E-2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145</v>
      </c>
      <c r="H83" s="32">
        <f t="shared" si="39"/>
        <v>5.0724637681159424E-2</v>
      </c>
      <c r="I83" s="101">
        <f>IF(ISNUMBER(G83), $B91 * H83, "")</f>
        <v>5072.463768115942</v>
      </c>
      <c r="J83" s="15">
        <v>144</v>
      </c>
      <c r="K83" s="32">
        <f t="shared" si="40"/>
        <v>4.3478260869565216E-2</v>
      </c>
      <c r="L83" s="18">
        <f>IF(ISNUMBER(J83), $B91 * K83, "")</f>
        <v>4347.826086956522</v>
      </c>
      <c r="M83" s="31">
        <v>144</v>
      </c>
      <c r="N83" s="32">
        <f t="shared" si="41"/>
        <v>4.3478260869565216E-2</v>
      </c>
      <c r="O83" s="18">
        <f>IF(ISNUMBER(M83), $B91 * N83, "")</f>
        <v>4347.826086956522</v>
      </c>
      <c r="Q83" s="227"/>
      <c r="R83" s="227"/>
      <c r="S83" s="227"/>
    </row>
    <row r="84" spans="1:19" ht="17.25" thickBot="1">
      <c r="A84" s="125" t="s">
        <v>118</v>
      </c>
      <c r="B84" s="126">
        <v>195</v>
      </c>
      <c r="C84" s="77">
        <v>3.7234042600000003E-2</v>
      </c>
      <c r="D84" s="15">
        <v>199</v>
      </c>
      <c r="E84" s="32">
        <f t="shared" si="38"/>
        <v>2.0512820512820513E-2</v>
      </c>
      <c r="F84" s="18">
        <f>IF(ISNUMBER(D84), $B91 * E84, "")</f>
        <v>2051.2820512820513</v>
      </c>
      <c r="G84" s="31">
        <v>201</v>
      </c>
      <c r="H84" s="32">
        <f t="shared" si="39"/>
        <v>3.0769230769230771E-2</v>
      </c>
      <c r="I84" s="101">
        <f>IF(ISNUMBER(G84), $B91 * H84, "")</f>
        <v>3076.9230769230771</v>
      </c>
      <c r="J84" s="15">
        <v>199</v>
      </c>
      <c r="K84" s="32">
        <f t="shared" si="40"/>
        <v>2.0512820512820513E-2</v>
      </c>
      <c r="L84" s="18">
        <f>IF(ISNUMBER(J84), $B91 * K84, "")</f>
        <v>2051.2820512820513</v>
      </c>
      <c r="M84" s="31">
        <v>199</v>
      </c>
      <c r="N84" s="32">
        <f t="shared" si="41"/>
        <v>2.0512820512820513E-2</v>
      </c>
      <c r="O84" s="18">
        <f>IF(ISNUMBER(M84), $B91 * N84, "")</f>
        <v>2051.2820512820513</v>
      </c>
      <c r="Q84" s="222"/>
      <c r="R84" s="222"/>
      <c r="S84" s="222"/>
    </row>
    <row r="85" spans="1:19" ht="17.25" thickBot="1">
      <c r="A85" s="127" t="s">
        <v>124</v>
      </c>
      <c r="B85" s="128">
        <v>432</v>
      </c>
      <c r="C85" s="78">
        <v>3.5971222999999997E-2</v>
      </c>
      <c r="D85" s="20">
        <v>515</v>
      </c>
      <c r="E85" s="21">
        <f t="shared" si="38"/>
        <v>0.19212962962962962</v>
      </c>
      <c r="F85" s="22">
        <f>IF(ISNUMBER(D85), $B91 * E85, "")</f>
        <v>19212.962962962964</v>
      </c>
      <c r="G85" s="30">
        <v>696</v>
      </c>
      <c r="H85" s="21">
        <f t="shared" si="39"/>
        <v>0.61111111111111116</v>
      </c>
      <c r="I85" s="105">
        <f>IF(ISNUMBER(G85), $B91 * H85, "")</f>
        <v>61111.111111111117</v>
      </c>
      <c r="J85" s="20">
        <v>640</v>
      </c>
      <c r="K85" s="21">
        <f t="shared" si="40"/>
        <v>0.48148148148148145</v>
      </c>
      <c r="L85" s="22">
        <f>IF(ISNUMBER(J85), $B91 * K85, "")</f>
        <v>48148.148148148146</v>
      </c>
      <c r="M85" s="30">
        <v>721</v>
      </c>
      <c r="N85" s="21">
        <f t="shared" si="41"/>
        <v>0.66898148148148151</v>
      </c>
      <c r="O85" s="22">
        <f>IF(ISNUMBER(M85), $B91 * N85, "")</f>
        <v>66898.148148148146</v>
      </c>
      <c r="Q85" s="222"/>
      <c r="R85" s="222"/>
      <c r="S85" s="222"/>
    </row>
    <row r="86" spans="1:19" ht="17.25" thickBot="1">
      <c r="A86" s="125" t="s">
        <v>236</v>
      </c>
      <c r="B86" s="129">
        <v>734</v>
      </c>
      <c r="C86" s="80">
        <v>3.0898876400000001E-2</v>
      </c>
      <c r="D86" s="106">
        <v>857</v>
      </c>
      <c r="E86" s="107">
        <f>IF(ISNUMBER(D86), (D86 - $B86) / $B86, "")</f>
        <v>0.167574931880109</v>
      </c>
      <c r="F86" s="108">
        <f>IF(ISNUMBER(D86), $B91 * E86, "")</f>
        <v>16757.4931880109</v>
      </c>
      <c r="G86" s="109">
        <v>873</v>
      </c>
      <c r="H86" s="107">
        <f>IF(ISNUMBER(G86), (G86 - $B86) / $B86, "")</f>
        <v>0.18937329700272479</v>
      </c>
      <c r="I86" s="110">
        <f>IF(ISNUMBER(G86), $B91 * H86, "")</f>
        <v>18937.329700272479</v>
      </c>
      <c r="J86" s="106">
        <v>836</v>
      </c>
      <c r="K86" s="107">
        <f>IF(ISNUMBER(J86), (J86 - $B86) / $B86, "")</f>
        <v>0.13896457765667575</v>
      </c>
      <c r="L86" s="108">
        <f>IF(ISNUMBER(J86), $B91 * K86, "")</f>
        <v>13896.457765667576</v>
      </c>
      <c r="M86" s="109">
        <v>848</v>
      </c>
      <c r="N86" s="107">
        <f>IF(ISNUMBER(M86), (M86 - $B86) / $B86, "")</f>
        <v>0.15531335149863759</v>
      </c>
      <c r="O86" s="108">
        <f>IF(ISNUMBER(M86), $B91 * N86, "")</f>
        <v>15531.335149863758</v>
      </c>
      <c r="Q86" s="227"/>
      <c r="R86" s="227"/>
      <c r="S86" s="227"/>
    </row>
    <row r="87" spans="1:19" ht="17.25" thickBot="1">
      <c r="A87" s="125" t="s">
        <v>228</v>
      </c>
      <c r="B87" s="126">
        <v>450</v>
      </c>
      <c r="C87" s="77">
        <v>2.9748283800000001E-2</v>
      </c>
      <c r="D87" s="15">
        <v>538</v>
      </c>
      <c r="E87" s="32">
        <f t="shared" ref="E87:E90" si="42">IF(ISNUMBER(D87), (D87 - $B87) / $B87, "")</f>
        <v>0.19555555555555557</v>
      </c>
      <c r="F87" s="18">
        <f>IF(ISNUMBER(D87), $B91 * E87, "")</f>
        <v>19555.555555555558</v>
      </c>
      <c r="G87" s="31">
        <v>542</v>
      </c>
      <c r="H87" s="32">
        <f t="shared" ref="H87:H90" si="43">IF(ISNUMBER(G87), (G87 - $B87) / $B87, "")</f>
        <v>0.20444444444444446</v>
      </c>
      <c r="I87" s="101">
        <f>IF(ISNUMBER(G87), $B91 * H87, "")</f>
        <v>20444.444444444445</v>
      </c>
      <c r="J87" s="15">
        <v>516</v>
      </c>
      <c r="K87" s="32">
        <f t="shared" ref="K87:K90" si="44">IF(ISNUMBER(J87), (J87 - $B87) / $B87, "")</f>
        <v>0.14666666666666667</v>
      </c>
      <c r="L87" s="18">
        <f>IF(ISNUMBER(J87), $B91 * K87, "")</f>
        <v>14666.666666666666</v>
      </c>
      <c r="M87" s="31">
        <v>521</v>
      </c>
      <c r="N87" s="32">
        <f t="shared" ref="N87:N90" si="45">IF(ISNUMBER(M87), (M87 - $B87) / $B87, "")</f>
        <v>0.15777777777777777</v>
      </c>
      <c r="O87" s="18">
        <f>IF(ISNUMBER(M87), $B91 * N87, "")</f>
        <v>15777.777777777777</v>
      </c>
      <c r="Q87" s="227"/>
      <c r="R87" s="227"/>
      <c r="S87" s="227"/>
    </row>
    <row r="88" spans="1:19" ht="17.25" thickBot="1">
      <c r="A88" s="125" t="s">
        <v>51</v>
      </c>
      <c r="B88" s="126">
        <v>429</v>
      </c>
      <c r="C88" s="77">
        <v>2.6315789499999999E-2</v>
      </c>
      <c r="D88" s="15">
        <v>435</v>
      </c>
      <c r="E88" s="32">
        <f t="shared" si="42"/>
        <v>1.3986013986013986E-2</v>
      </c>
      <c r="F88" s="18">
        <f>IF(ISNUMBER(D88), $B91 * E88, "")</f>
        <v>1398.6013986013986</v>
      </c>
      <c r="G88" s="31">
        <v>439</v>
      </c>
      <c r="H88" s="32">
        <f t="shared" si="43"/>
        <v>2.3310023310023312E-2</v>
      </c>
      <c r="I88" s="101">
        <f>IF(ISNUMBER(G88), $B91 * H88, "")</f>
        <v>2331.0023310023312</v>
      </c>
      <c r="J88" s="15">
        <v>435</v>
      </c>
      <c r="K88" s="32">
        <f t="shared" si="44"/>
        <v>1.3986013986013986E-2</v>
      </c>
      <c r="L88" s="18">
        <f>IF(ISNUMBER(J88), $B91 * K88, "")</f>
        <v>1398.6013986013986</v>
      </c>
      <c r="M88" s="31">
        <v>435</v>
      </c>
      <c r="N88" s="32">
        <f t="shared" si="45"/>
        <v>1.3986013986013986E-2</v>
      </c>
      <c r="O88" s="18">
        <f>IF(ISNUMBER(M88), $B91 * N88, "")</f>
        <v>1398.6013986013986</v>
      </c>
      <c r="Q88" s="227"/>
      <c r="R88" s="227"/>
      <c r="S88" s="227"/>
    </row>
    <row r="89" spans="1:19">
      <c r="A89" s="125" t="s">
        <v>162</v>
      </c>
      <c r="B89" s="126">
        <v>121</v>
      </c>
      <c r="C89" s="77">
        <v>2.54237288E-2</v>
      </c>
      <c r="D89" s="15">
        <v>125</v>
      </c>
      <c r="E89" s="32">
        <f t="shared" si="42"/>
        <v>3.3057851239669422E-2</v>
      </c>
      <c r="F89" s="18">
        <f>IF(ISNUMBER(D89), $B91 * E89, "")</f>
        <v>3305.7851239669421</v>
      </c>
      <c r="G89" s="31">
        <v>129</v>
      </c>
      <c r="H89" s="32">
        <f t="shared" si="43"/>
        <v>6.6115702479338845E-2</v>
      </c>
      <c r="I89" s="101">
        <f>IF(ISNUMBER(G89), $B91 * H89, "")</f>
        <v>6611.5702479338843</v>
      </c>
      <c r="J89" s="15">
        <v>126</v>
      </c>
      <c r="K89" s="32">
        <f t="shared" si="44"/>
        <v>4.1322314049586778E-2</v>
      </c>
      <c r="L89" s="18">
        <f>IF(ISNUMBER(J89), $B91 * K89, "")</f>
        <v>4132.2314049586776</v>
      </c>
      <c r="M89" s="31">
        <v>127</v>
      </c>
      <c r="N89" s="32">
        <f t="shared" si="45"/>
        <v>4.9586776859504134E-2</v>
      </c>
      <c r="O89" s="18">
        <f>IF(ISNUMBER(M89), $B91 * N89, "")</f>
        <v>4958.6776859504134</v>
      </c>
      <c r="Q89" s="249"/>
      <c r="R89" s="250"/>
      <c r="S89" s="251"/>
    </row>
    <row r="90" spans="1:19" ht="17.25" thickBot="1">
      <c r="A90" s="130" t="s">
        <v>57</v>
      </c>
      <c r="B90" s="131">
        <v>240</v>
      </c>
      <c r="C90" s="79">
        <v>2.1276595700000001E-2</v>
      </c>
      <c r="D90" s="24">
        <v>246</v>
      </c>
      <c r="E90" s="25">
        <f t="shared" si="42"/>
        <v>2.5000000000000001E-2</v>
      </c>
      <c r="F90" s="104">
        <f>IF(ISNUMBER(D90), $B91 * E90, "")</f>
        <v>2500</v>
      </c>
      <c r="G90" s="102">
        <v>253</v>
      </c>
      <c r="H90" s="25">
        <f t="shared" si="43"/>
        <v>5.4166666666666669E-2</v>
      </c>
      <c r="I90" s="103">
        <f>IF(ISNUMBER(G90), $B91 * H90, "")</f>
        <v>5416.666666666667</v>
      </c>
      <c r="J90" s="24">
        <v>248</v>
      </c>
      <c r="K90" s="25">
        <f t="shared" si="44"/>
        <v>3.3333333333333333E-2</v>
      </c>
      <c r="L90" s="104">
        <f>IF(ISNUMBER(J90), $B91 * K90, "")</f>
        <v>3333.3333333333335</v>
      </c>
      <c r="M90" s="102">
        <v>251</v>
      </c>
      <c r="N90" s="25">
        <f t="shared" si="45"/>
        <v>4.583333333333333E-2</v>
      </c>
      <c r="O90" s="104">
        <f>IF(ISNUMBER(M90), $B91 * N90, "")</f>
        <v>4583.333333333333</v>
      </c>
      <c r="Q90" s="252"/>
      <c r="R90" s="253"/>
      <c r="S90" s="254"/>
    </row>
    <row r="91" spans="1:19" ht="17.25" thickBot="1">
      <c r="A91" s="132" t="s">
        <v>270</v>
      </c>
      <c r="B91" s="260">
        <f>$B$37</f>
        <v>100000</v>
      </c>
      <c r="C91" s="261"/>
      <c r="D91" s="26" t="s">
        <v>271</v>
      </c>
      <c r="E91" s="27">
        <f>IF(COUNT(E71:E90), SUM(E71:E90) / COUNT(E71:E90), 0)</f>
        <v>0.20356480964276519</v>
      </c>
      <c r="F91" s="28">
        <f>SUM(F71:F90)</f>
        <v>407129.61928553041</v>
      </c>
      <c r="G91" s="26" t="s">
        <v>271</v>
      </c>
      <c r="H91" s="27">
        <f>IF(COUNT(H71:H90), SUM(H71:H90) / COUNT(H71:H90), 0)</f>
        <v>0.2264180039729918</v>
      </c>
      <c r="I91" s="28">
        <f>SUM(I71:I90)</f>
        <v>452836.00794598373</v>
      </c>
      <c r="J91" s="26" t="s">
        <v>271</v>
      </c>
      <c r="K91" s="27">
        <f>IF(COUNT(K71:K90), SUM(K71:K90) / COUNT(K71:K90), 0)</f>
        <v>0.17388384830026254</v>
      </c>
      <c r="L91" s="28">
        <f>SUM(L71:L90)</f>
        <v>347767.696600525</v>
      </c>
      <c r="M91" s="26" t="s">
        <v>271</v>
      </c>
      <c r="N91" s="27">
        <f>IF(COUNT(N71:N90), SUM(N71:N90) / COUNT(N71:N90), 0)</f>
        <v>0.19239987933472841</v>
      </c>
      <c r="O91" s="28">
        <f>SUM(O71:O90)</f>
        <v>384799.7586694567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69" t="s">
        <v>267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55149000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2.1442459999999998E-3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2021-09-04(토) 오전 00:00</v>
      </c>
      <c r="C96" s="265"/>
      <c r="D96" s="224" t="str">
        <f>TEXT($G$1, "[$-ko-KR]yyyy-mm-dd(ddd) ") &amp; "오후 14:00"</f>
        <v>2021-09-04(토) 오후 14:00</v>
      </c>
      <c r="E96" s="225"/>
      <c r="F96" s="226"/>
      <c r="G96" s="224" t="str">
        <f>TEXT($G$1, "[$-ko-KR]yyyy-mm-dd(ddd) ") &amp; "오후 19:00"</f>
        <v>2021-09-04(토) 오후 19:00</v>
      </c>
      <c r="H96" s="225"/>
      <c r="I96" s="226"/>
      <c r="J96" s="224" t="str">
        <f>TEXT($G$1, "[$-ko-KR]yyyy-mm-dd(ddd) ") &amp; "오후 21:00"</f>
        <v>2021-09-04(토) 오후 21:00</v>
      </c>
      <c r="K96" s="225"/>
      <c r="L96" s="226"/>
      <c r="M96" s="224" t="str">
        <f>TEXT($G$1+1, "[$-ko-KR]yyyy-mm-dd(ddd) ") &amp; "오전 00:00"</f>
        <v>2021-09-05(일)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7"/>
      <c r="R97" s="227"/>
      <c r="S97" s="227"/>
    </row>
    <row r="98" spans="1:19" ht="17.25" thickBot="1">
      <c r="A98" s="123" t="s">
        <v>164</v>
      </c>
      <c r="B98" s="124">
        <v>845</v>
      </c>
      <c r="C98" s="76">
        <v>0.44197952219999997</v>
      </c>
      <c r="D98" s="13">
        <v>1000</v>
      </c>
      <c r="E98" s="14">
        <f>IF(ISNUMBER(D98), (D98 - $B98) / $B98, "")</f>
        <v>0.18343195266272189</v>
      </c>
      <c r="F98" s="16">
        <f>IF(ISNUMBER(D98), $B118 * E98, "")</f>
        <v>18343.195266272189</v>
      </c>
      <c r="G98" s="29">
        <v>964</v>
      </c>
      <c r="H98" s="14">
        <f>IF(ISNUMBER(G98), (G98 - $B98) / $B98, "")</f>
        <v>0.14082840236686389</v>
      </c>
      <c r="I98" s="100">
        <f>IF(ISNUMBER(G98), $B118 * H98, "")</f>
        <v>14082.840236686388</v>
      </c>
      <c r="J98" s="13">
        <v>915</v>
      </c>
      <c r="K98" s="14">
        <f>IF(ISNUMBER(J98), (J98 - $B98) / $B98, "")</f>
        <v>8.2840236686390539E-2</v>
      </c>
      <c r="L98" s="16">
        <f>IF(ISNUMBER(J98), $B118 * K98, "")</f>
        <v>8284.0236686390544</v>
      </c>
      <c r="M98" s="29">
        <v>905</v>
      </c>
      <c r="N98" s="14">
        <f>IF(ISNUMBER(M98), (M98 - $B98) / $B98, "")</f>
        <v>7.1005917159763315E-2</v>
      </c>
      <c r="O98" s="16">
        <f>IF(ISNUMBER(M98), $B118 * N98, "")</f>
        <v>7100.5917159763312</v>
      </c>
      <c r="Q98" s="222"/>
      <c r="R98" s="222"/>
      <c r="S98" s="222"/>
    </row>
    <row r="99" spans="1:19" ht="17.25" thickBot="1">
      <c r="A99" s="125" t="s">
        <v>206</v>
      </c>
      <c r="B99" s="126">
        <v>555</v>
      </c>
      <c r="C99" s="77">
        <v>0.2333333333</v>
      </c>
      <c r="D99" s="15">
        <v>1365</v>
      </c>
      <c r="E99" s="32">
        <f t="shared" ref="E99:E102" si="46">IF(ISNUMBER(D99), (D99 - $B99) / $B99, "")</f>
        <v>1.4594594594594594</v>
      </c>
      <c r="F99" s="18">
        <f>IF(ISNUMBER(D99), $B118 * E99, "")</f>
        <v>145945.94594594595</v>
      </c>
      <c r="G99" s="31">
        <v>1290</v>
      </c>
      <c r="H99" s="32">
        <f t="shared" ref="H99:H102" si="47">IF(ISNUMBER(G99), (G99 - $B99) / $B99, "")</f>
        <v>1.3243243243243243</v>
      </c>
      <c r="I99" s="101">
        <f>IF(ISNUMBER(G99), $B118 * H99, "")</f>
        <v>132432.43243243243</v>
      </c>
      <c r="J99" s="15">
        <v>1200</v>
      </c>
      <c r="K99" s="32">
        <f t="shared" ref="K99:K102" si="48">IF(ISNUMBER(J99), (J99 - $B99) / $B99, "")</f>
        <v>1.1621621621621621</v>
      </c>
      <c r="L99" s="18">
        <f>IF(ISNUMBER(J99), $B118 * K99, "")</f>
        <v>116216.21621621621</v>
      </c>
      <c r="M99" s="31">
        <v>1215</v>
      </c>
      <c r="N99" s="32">
        <f t="shared" ref="N99:N102" si="49">IF(ISNUMBER(M99), (M99 - $B99) / $B99, "")</f>
        <v>1.1891891891891893</v>
      </c>
      <c r="O99" s="18">
        <f>IF(ISNUMBER(M99), $B118 * N99, "")</f>
        <v>118918.91891891892</v>
      </c>
      <c r="Q99" s="222"/>
      <c r="R99" s="222"/>
      <c r="S99" s="222"/>
    </row>
    <row r="100" spans="1:19" ht="17.25" thickBot="1">
      <c r="A100" s="125" t="s">
        <v>106</v>
      </c>
      <c r="B100" s="126">
        <v>301150</v>
      </c>
      <c r="C100" s="77">
        <v>0.14658290500000001</v>
      </c>
      <c r="D100" s="15">
        <v>392850</v>
      </c>
      <c r="E100" s="32">
        <f t="shared" si="46"/>
        <v>0.30449941889423876</v>
      </c>
      <c r="F100" s="18">
        <f>IF(ISNUMBER(D100), $B118 * E100, "")</f>
        <v>30449.941889423877</v>
      </c>
      <c r="G100" s="31">
        <v>390350</v>
      </c>
      <c r="H100" s="32">
        <f t="shared" si="47"/>
        <v>0.29619790801925949</v>
      </c>
      <c r="I100" s="101">
        <f>IF(ISNUMBER(G100), $B118 * H100, "")</f>
        <v>29619.790801925948</v>
      </c>
      <c r="J100" s="15">
        <v>376950</v>
      </c>
      <c r="K100" s="32">
        <f t="shared" si="48"/>
        <v>0.25170180972937073</v>
      </c>
      <c r="L100" s="18">
        <f>IF(ISNUMBER(J100), $B118 * K100, "")</f>
        <v>25170.180972937073</v>
      </c>
      <c r="M100" s="31">
        <v>394000</v>
      </c>
      <c r="N100" s="32">
        <f t="shared" si="49"/>
        <v>0.3083181138967292</v>
      </c>
      <c r="O100" s="18">
        <f>IF(ISNUMBER(M100), $B118 * N100, "")</f>
        <v>30831.811389672919</v>
      </c>
      <c r="Q100" s="227"/>
      <c r="R100" s="227"/>
      <c r="S100" s="227"/>
    </row>
    <row r="101" spans="1:19" ht="17.25" thickBot="1">
      <c r="A101" s="125" t="s">
        <v>242</v>
      </c>
      <c r="B101" s="126">
        <v>731</v>
      </c>
      <c r="C101" s="77">
        <v>0.1439749609</v>
      </c>
      <c r="D101" s="15">
        <v>833</v>
      </c>
      <c r="E101" s="32">
        <f t="shared" si="46"/>
        <v>0.13953488372093023</v>
      </c>
      <c r="F101" s="18">
        <f>IF(ISNUMBER(D101), $B118 * E101, "")</f>
        <v>13953.488372093023</v>
      </c>
      <c r="G101" s="31">
        <v>829</v>
      </c>
      <c r="H101" s="32">
        <f t="shared" si="47"/>
        <v>0.13406292749658003</v>
      </c>
      <c r="I101" s="101">
        <f>IF(ISNUMBER(G101), $B118 * H101, "")</f>
        <v>13406.292749658003</v>
      </c>
      <c r="J101" s="15">
        <v>787</v>
      </c>
      <c r="K101" s="32">
        <f t="shared" si="48"/>
        <v>7.6607387140902872E-2</v>
      </c>
      <c r="L101" s="18">
        <f>IF(ISNUMBER(J101), $B118 * K101, "")</f>
        <v>7660.7387140902874</v>
      </c>
      <c r="M101" s="31">
        <v>786</v>
      </c>
      <c r="N101" s="32">
        <f t="shared" si="49"/>
        <v>7.523939808481532E-2</v>
      </c>
      <c r="O101" s="18">
        <f>IF(ISNUMBER(M101), $B118 * N101, "")</f>
        <v>7523.9398084815321</v>
      </c>
      <c r="Q101" s="227"/>
      <c r="R101" s="227"/>
      <c r="S101" s="227"/>
    </row>
    <row r="102" spans="1:19" ht="17.25" thickBot="1">
      <c r="A102" s="127" t="s">
        <v>126</v>
      </c>
      <c r="B102" s="128">
        <v>235550</v>
      </c>
      <c r="C102" s="78">
        <v>0.1058685446</v>
      </c>
      <c r="D102" s="20">
        <v>244000</v>
      </c>
      <c r="E102" s="21">
        <f t="shared" si="46"/>
        <v>3.5873487582254296E-2</v>
      </c>
      <c r="F102" s="22">
        <f>IF(ISNUMBER(D102), $B118 * E102, "")</f>
        <v>3587.3487582254297</v>
      </c>
      <c r="G102" s="30">
        <v>256450</v>
      </c>
      <c r="H102" s="21">
        <f t="shared" si="47"/>
        <v>8.8728507747824245E-2</v>
      </c>
      <c r="I102" s="105">
        <f>IF(ISNUMBER(G102), $B118 * H102, "")</f>
        <v>8872.8507747824242</v>
      </c>
      <c r="J102" s="20">
        <v>251450</v>
      </c>
      <c r="K102" s="21">
        <f t="shared" si="48"/>
        <v>6.7501592018679682E-2</v>
      </c>
      <c r="L102" s="22">
        <f>IF(ISNUMBER(J102), $B118 * K102, "")</f>
        <v>6750.1592018679685</v>
      </c>
      <c r="M102" s="30">
        <v>252950</v>
      </c>
      <c r="N102" s="21">
        <f t="shared" si="49"/>
        <v>7.3869666737423054E-2</v>
      </c>
      <c r="O102" s="22">
        <f>IF(ISNUMBER(M102), $B118 * N102, "")</f>
        <v>7386.9666737423049</v>
      </c>
      <c r="Q102" s="227"/>
      <c r="R102" s="227"/>
      <c r="S102" s="227"/>
    </row>
    <row r="103" spans="1:19" ht="17.25" thickBot="1">
      <c r="A103" s="125" t="s">
        <v>200</v>
      </c>
      <c r="B103" s="129">
        <v>189</v>
      </c>
      <c r="C103" s="80">
        <v>0.1052631579</v>
      </c>
      <c r="D103" s="106">
        <v>205</v>
      </c>
      <c r="E103" s="107">
        <f>IF(ISNUMBER(D103), (D103 - $B103) / $B103, "")</f>
        <v>8.4656084656084651E-2</v>
      </c>
      <c r="F103" s="108">
        <f>IF(ISNUMBER(D103), $B118 * E103, "")</f>
        <v>8465.6084656084658</v>
      </c>
      <c r="G103" s="109">
        <v>210</v>
      </c>
      <c r="H103" s="107">
        <f>IF(ISNUMBER(G103), (G103 - $B103) / $B103, "")</f>
        <v>0.1111111111111111</v>
      </c>
      <c r="I103" s="110">
        <f>IF(ISNUMBER(G103), $B118 * H103, "")</f>
        <v>11111.111111111111</v>
      </c>
      <c r="J103" s="106">
        <v>200</v>
      </c>
      <c r="K103" s="107">
        <f>IF(ISNUMBER(J103), (J103 - $B103) / $B103, "")</f>
        <v>5.8201058201058198E-2</v>
      </c>
      <c r="L103" s="108">
        <f>IF(ISNUMBER(J103), $B118 * K103, "")</f>
        <v>5820.1058201058195</v>
      </c>
      <c r="M103" s="109">
        <v>201</v>
      </c>
      <c r="N103" s="107">
        <f>IF(ISNUMBER(M103), (M103 - $B103) / $B103, "")</f>
        <v>6.3492063492063489E-2</v>
      </c>
      <c r="O103" s="108">
        <f>IF(ISNUMBER(M103), $B118 * N103, "")</f>
        <v>6349.2063492063489</v>
      </c>
      <c r="Q103" s="227"/>
      <c r="R103" s="227"/>
      <c r="S103" s="227"/>
    </row>
    <row r="104" spans="1:19" ht="17.25" thickBot="1">
      <c r="A104" s="125" t="s">
        <v>232</v>
      </c>
      <c r="B104" s="126">
        <v>743</v>
      </c>
      <c r="C104" s="77">
        <v>0.10401188710000001</v>
      </c>
      <c r="D104" s="15">
        <v>1160</v>
      </c>
      <c r="E104" s="32">
        <f t="shared" ref="E104:E107" si="50">IF(ISNUMBER(D104), (D104 - $B104) / $B104, "")</f>
        <v>0.56123822341857332</v>
      </c>
      <c r="F104" s="18">
        <f>IF(ISNUMBER(D104), $B118 * E104, "")</f>
        <v>56123.822341857333</v>
      </c>
      <c r="G104" s="31">
        <v>1090</v>
      </c>
      <c r="H104" s="32">
        <f t="shared" ref="H104:H107" si="51">IF(ISNUMBER(G104), (G104 - $B104) / $B104, "")</f>
        <v>0.46702557200538358</v>
      </c>
      <c r="I104" s="101">
        <f>IF(ISNUMBER(G104), $B118 * H104, "")</f>
        <v>46702.557200538358</v>
      </c>
      <c r="J104" s="15">
        <v>1015</v>
      </c>
      <c r="K104" s="32">
        <f t="shared" ref="K104:K107" si="52">IF(ISNUMBER(J104), (J104 - $B104) / $B104, "")</f>
        <v>0.36608344549125166</v>
      </c>
      <c r="L104" s="18">
        <f>IF(ISNUMBER(J104), $B118 * K104, "")</f>
        <v>36608.344549125162</v>
      </c>
      <c r="M104" s="31">
        <v>1020</v>
      </c>
      <c r="N104" s="32">
        <f t="shared" ref="N104:N107" si="53">IF(ISNUMBER(M104), (M104 - $B104) / $B104, "")</f>
        <v>0.37281292059219379</v>
      </c>
      <c r="O104" s="18">
        <f>IF(ISNUMBER(M104), $B118 * N104, "")</f>
        <v>37281.292059219377</v>
      </c>
      <c r="Q104" s="227"/>
      <c r="R104" s="227"/>
      <c r="S104" s="227"/>
    </row>
    <row r="105" spans="1:19" ht="17.25" thickBot="1">
      <c r="A105" s="125" t="s">
        <v>174</v>
      </c>
      <c r="B105" s="126">
        <v>442</v>
      </c>
      <c r="C105" s="77">
        <v>9.9502487599999995E-2</v>
      </c>
      <c r="D105" s="15">
        <v>565</v>
      </c>
      <c r="E105" s="32">
        <f t="shared" si="50"/>
        <v>0.27828054298642535</v>
      </c>
      <c r="F105" s="18">
        <f>IF(ISNUMBER(D105), $B118 * E105, "")</f>
        <v>27828.054298642535</v>
      </c>
      <c r="G105" s="31">
        <v>571</v>
      </c>
      <c r="H105" s="32">
        <f t="shared" si="51"/>
        <v>0.29185520361990952</v>
      </c>
      <c r="I105" s="101">
        <f>IF(ISNUMBER(G105), $B118 * H105, "")</f>
        <v>29185.520361990952</v>
      </c>
      <c r="J105" s="15">
        <v>531</v>
      </c>
      <c r="K105" s="32">
        <f t="shared" si="52"/>
        <v>0.20135746606334842</v>
      </c>
      <c r="L105" s="18">
        <f>IF(ISNUMBER(J105), $B118 * K105, "")</f>
        <v>20135.746606334844</v>
      </c>
      <c r="M105" s="31">
        <v>540</v>
      </c>
      <c r="N105" s="32">
        <f t="shared" si="53"/>
        <v>0.22171945701357465</v>
      </c>
      <c r="O105" s="18">
        <f>IF(ISNUMBER(M105), $B118 * N105, "")</f>
        <v>22171.945701357465</v>
      </c>
      <c r="Q105" s="227"/>
      <c r="R105" s="227"/>
      <c r="S105" s="227"/>
    </row>
    <row r="106" spans="1:19" ht="17.25" thickBot="1">
      <c r="A106" s="125" t="s">
        <v>65</v>
      </c>
      <c r="B106" s="126">
        <v>56.2</v>
      </c>
      <c r="C106" s="77">
        <v>8.0769230799999994E-2</v>
      </c>
      <c r="D106" s="15">
        <v>70.5</v>
      </c>
      <c r="E106" s="32">
        <f t="shared" si="50"/>
        <v>0.25444839857651241</v>
      </c>
      <c r="F106" s="18">
        <f>IF(ISNUMBER(D106), $B118 * E106, "")</f>
        <v>25444.839857651241</v>
      </c>
      <c r="G106" s="31">
        <v>71.599999999999994</v>
      </c>
      <c r="H106" s="32">
        <f t="shared" si="51"/>
        <v>0.2740213523131671</v>
      </c>
      <c r="I106" s="101">
        <f>IF(ISNUMBER(G106), $B118 * H106, "")</f>
        <v>27402.135231316712</v>
      </c>
      <c r="J106" s="15">
        <v>68.400000000000006</v>
      </c>
      <c r="K106" s="32">
        <f t="shared" si="52"/>
        <v>0.21708185053380788</v>
      </c>
      <c r="L106" s="18">
        <f>IF(ISNUMBER(J106), $B118 * K106, "")</f>
        <v>21708.185053380788</v>
      </c>
      <c r="M106" s="31">
        <v>67.3</v>
      </c>
      <c r="N106" s="32">
        <f t="shared" si="53"/>
        <v>0.19750889679715292</v>
      </c>
      <c r="O106" s="18">
        <f>IF(ISNUMBER(M106), $B118 * N106, "")</f>
        <v>19750.889679715292</v>
      </c>
      <c r="Q106" s="33"/>
      <c r="R106" s="33"/>
    </row>
    <row r="107" spans="1:19" ht="17.25" thickBot="1">
      <c r="A107" s="130" t="s">
        <v>120</v>
      </c>
      <c r="B107" s="131">
        <v>5680</v>
      </c>
      <c r="C107" s="79">
        <v>6.5666041300000005E-2</v>
      </c>
      <c r="D107" s="24">
        <v>6115</v>
      </c>
      <c r="E107" s="25">
        <f t="shared" si="50"/>
        <v>7.6584507042253516E-2</v>
      </c>
      <c r="F107" s="104">
        <f>IF(ISNUMBER(D107), $B118 * E107, "")</f>
        <v>7658.4507042253517</v>
      </c>
      <c r="G107" s="102">
        <v>6140</v>
      </c>
      <c r="H107" s="25">
        <f t="shared" si="51"/>
        <v>8.098591549295775E-2</v>
      </c>
      <c r="I107" s="103">
        <f>IF(ISNUMBER(G107), $B118 * H107, "")</f>
        <v>8098.5915492957747</v>
      </c>
      <c r="J107" s="24">
        <v>5890</v>
      </c>
      <c r="K107" s="25">
        <f t="shared" si="52"/>
        <v>3.6971830985915492E-2</v>
      </c>
      <c r="L107" s="104">
        <f>IF(ISNUMBER(J107), $B118 * K107, "")</f>
        <v>3697.1830985915494</v>
      </c>
      <c r="M107" s="102">
        <v>6010</v>
      </c>
      <c r="N107" s="25">
        <f t="shared" si="53"/>
        <v>5.8098591549295774E-2</v>
      </c>
      <c r="O107" s="104">
        <f>IF(ISNUMBER(M107), $B118 * N107, "")</f>
        <v>5809.859154929577</v>
      </c>
      <c r="Q107" s="236"/>
      <c r="R107" s="237"/>
      <c r="S107" s="238"/>
    </row>
    <row r="108" spans="1:19">
      <c r="A108" s="123" t="s">
        <v>186</v>
      </c>
      <c r="B108" s="124">
        <v>11370</v>
      </c>
      <c r="C108" s="76">
        <v>6.1624649900000002E-2</v>
      </c>
      <c r="D108" s="13">
        <v>12150</v>
      </c>
      <c r="E108" s="14">
        <f>IF(ISNUMBER(D108), (D108 - $B108) / $B108, "")</f>
        <v>6.860158311345646E-2</v>
      </c>
      <c r="F108" s="16">
        <f>IF(ISNUMBER(D108), $B118 * E108, "")</f>
        <v>6860.1583113456463</v>
      </c>
      <c r="G108" s="29">
        <v>12050</v>
      </c>
      <c r="H108" s="14">
        <f>IF(ISNUMBER(G108), (G108 - $B108) / $B108, "")</f>
        <v>5.9806508355321017E-2</v>
      </c>
      <c r="I108" s="100">
        <f>IF(ISNUMBER(G108), $B118 * H108, "")</f>
        <v>5980.6508355321021</v>
      </c>
      <c r="J108" s="13">
        <v>11830</v>
      </c>
      <c r="K108" s="14">
        <f>IF(ISNUMBER(J108), (J108 - $B108) / $B108, "")</f>
        <v>4.0457343887423045E-2</v>
      </c>
      <c r="L108" s="16">
        <f>IF(ISNUMBER(J108), $B118 * K108, "")</f>
        <v>4045.7343887423044</v>
      </c>
      <c r="M108" s="29">
        <v>11890</v>
      </c>
      <c r="N108" s="14">
        <f>IF(ISNUMBER(M108), (M108 - $B108) / $B108, "")</f>
        <v>4.5734388742304309E-2</v>
      </c>
      <c r="O108" s="16">
        <f>IF(ISNUMBER(M108), $B118 * N108, "")</f>
        <v>4573.4388742304309</v>
      </c>
      <c r="Q108" s="239"/>
      <c r="R108" s="240"/>
      <c r="S108" s="241"/>
    </row>
    <row r="109" spans="1:19" ht="17.25" thickBot="1">
      <c r="A109" s="125" t="s">
        <v>130</v>
      </c>
      <c r="B109" s="126">
        <v>147</v>
      </c>
      <c r="C109" s="77">
        <v>5.75539568E-2</v>
      </c>
      <c r="D109" s="15">
        <v>158</v>
      </c>
      <c r="E109" s="32">
        <f t="shared" ref="E109:E112" si="54">IF(ISNUMBER(D109), (D109 - $B109) / $B109, "")</f>
        <v>7.4829931972789115E-2</v>
      </c>
      <c r="F109" s="18">
        <f>IF(ISNUMBER(D109), $B118 * E109, "")</f>
        <v>7482.9931972789118</v>
      </c>
      <c r="G109" s="31">
        <v>159</v>
      </c>
      <c r="H109" s="32">
        <f t="shared" ref="H109:H112" si="55">IF(ISNUMBER(G109), (G109 - $B109) / $B109, "")</f>
        <v>8.1632653061224483E-2</v>
      </c>
      <c r="I109" s="101">
        <f>IF(ISNUMBER(G109), $B118 * H109, "")</f>
        <v>8163.2653061224482</v>
      </c>
      <c r="J109" s="15">
        <v>153</v>
      </c>
      <c r="K109" s="32">
        <f t="shared" ref="K109:K112" si="56">IF(ISNUMBER(J109), (J109 - $B109) / $B109, "")</f>
        <v>4.0816326530612242E-2</v>
      </c>
      <c r="L109" s="18">
        <f>IF(ISNUMBER(J109), $B118 * K109, "")</f>
        <v>4081.6326530612241</v>
      </c>
      <c r="M109" s="31">
        <v>155</v>
      </c>
      <c r="N109" s="32">
        <f t="shared" ref="N109:N112" si="57">IF(ISNUMBER(M109), (M109 - $B109) / $B109, "")</f>
        <v>5.4421768707482991E-2</v>
      </c>
      <c r="O109" s="18">
        <f>IF(ISNUMBER(M109), $B118 * N109, "")</f>
        <v>5442.1768707482988</v>
      </c>
      <c r="Q109" s="242"/>
      <c r="R109" s="243"/>
      <c r="S109" s="244"/>
    </row>
    <row r="110" spans="1:19" ht="17.25" thickBot="1">
      <c r="A110" s="125" t="s">
        <v>192</v>
      </c>
      <c r="B110" s="126">
        <v>311</v>
      </c>
      <c r="C110" s="77">
        <v>5.4237288100000003E-2</v>
      </c>
      <c r="D110" s="15">
        <v>352</v>
      </c>
      <c r="E110" s="32">
        <f t="shared" si="54"/>
        <v>0.13183279742765272</v>
      </c>
      <c r="F110" s="18">
        <f>IF(ISNUMBER(D110), $B118 * E110, "")</f>
        <v>13183.279742765271</v>
      </c>
      <c r="G110" s="31">
        <v>361</v>
      </c>
      <c r="H110" s="32">
        <f t="shared" si="55"/>
        <v>0.16077170418006431</v>
      </c>
      <c r="I110" s="101">
        <f>IF(ISNUMBER(G110), $B118 * H110, "")</f>
        <v>16077.170418006432</v>
      </c>
      <c r="J110" s="15">
        <v>339</v>
      </c>
      <c r="K110" s="32">
        <f t="shared" si="56"/>
        <v>9.0032154340836015E-2</v>
      </c>
      <c r="L110" s="18">
        <f>IF(ISNUMBER(J110), $B118 * K110, "")</f>
        <v>9003.2154340836023</v>
      </c>
      <c r="M110" s="31">
        <v>338</v>
      </c>
      <c r="N110" s="32">
        <f t="shared" si="57"/>
        <v>8.6816720257234734E-2</v>
      </c>
      <c r="O110" s="18">
        <f>IF(ISNUMBER(M110), $B118 * N110, "")</f>
        <v>8681.6720257234738</v>
      </c>
      <c r="Q110" s="227"/>
      <c r="R110" s="227"/>
      <c r="S110" s="227"/>
    </row>
    <row r="111" spans="1:19" ht="17.25" thickBot="1">
      <c r="A111" s="125" t="s">
        <v>100</v>
      </c>
      <c r="B111" s="126">
        <v>82820</v>
      </c>
      <c r="C111" s="77">
        <v>5.1549009600000001E-2</v>
      </c>
      <c r="D111" s="15">
        <v>80250</v>
      </c>
      <c r="E111" s="32">
        <f t="shared" si="54"/>
        <v>-3.1031151895677372E-2</v>
      </c>
      <c r="F111" s="18">
        <f>IF(ISNUMBER(D111), $B118 * E111, "")</f>
        <v>-3103.1151895677372</v>
      </c>
      <c r="G111" s="31">
        <v>81550</v>
      </c>
      <c r="H111" s="32">
        <f t="shared" si="55"/>
        <v>-1.5334460275295822E-2</v>
      </c>
      <c r="I111" s="101">
        <f>IF(ISNUMBER(G111), $B118 * H111, "")</f>
        <v>-1533.4460275295821</v>
      </c>
      <c r="J111" s="15">
        <v>80160</v>
      </c>
      <c r="K111" s="32">
        <f t="shared" si="56"/>
        <v>-3.2117845930934558E-2</v>
      </c>
      <c r="L111" s="18">
        <f>IF(ISNUMBER(J111), $B118 * K111, "")</f>
        <v>-3211.7845930934559</v>
      </c>
      <c r="M111" s="31">
        <v>80400</v>
      </c>
      <c r="N111" s="32">
        <f t="shared" si="57"/>
        <v>-2.9219995170248734E-2</v>
      </c>
      <c r="O111" s="18">
        <f>IF(ISNUMBER(M111), $B118 * N111, "")</f>
        <v>-2921.9995170248735</v>
      </c>
      <c r="Q111" s="222"/>
      <c r="R111" s="222"/>
      <c r="S111" s="222"/>
    </row>
    <row r="112" spans="1:19" ht="17.25" thickBot="1">
      <c r="A112" s="127" t="s">
        <v>78</v>
      </c>
      <c r="B112" s="128">
        <v>812000</v>
      </c>
      <c r="C112" s="78">
        <v>5.0316906000000002E-2</v>
      </c>
      <c r="D112" s="20">
        <v>817000</v>
      </c>
      <c r="E112" s="21">
        <f t="shared" si="54"/>
        <v>6.1576354679802959E-3</v>
      </c>
      <c r="F112" s="22">
        <f>IF(ISNUMBER(D112), $B118 * E112, "")</f>
        <v>615.76354679802955</v>
      </c>
      <c r="G112" s="30">
        <v>838700</v>
      </c>
      <c r="H112" s="21">
        <f t="shared" si="55"/>
        <v>3.2881773399014776E-2</v>
      </c>
      <c r="I112" s="105">
        <f>IF(ISNUMBER(G112), $B118 * H112, "")</f>
        <v>3288.1773399014774</v>
      </c>
      <c r="J112" s="20">
        <v>817000</v>
      </c>
      <c r="K112" s="21">
        <f t="shared" si="56"/>
        <v>6.1576354679802959E-3</v>
      </c>
      <c r="L112" s="22">
        <f>IF(ISNUMBER(J112), $B118 * K112, "")</f>
        <v>615.76354679802955</v>
      </c>
      <c r="M112" s="30">
        <v>819500</v>
      </c>
      <c r="N112" s="21">
        <f t="shared" si="57"/>
        <v>9.2364532019704442E-3</v>
      </c>
      <c r="O112" s="22">
        <f>IF(ISNUMBER(M112), $B118 * N112, "")</f>
        <v>923.64532019704438</v>
      </c>
      <c r="Q112" s="222"/>
      <c r="R112" s="222"/>
      <c r="S112" s="222"/>
    </row>
    <row r="113" spans="1:19" ht="17.25" thickBot="1">
      <c r="A113" s="125" t="s">
        <v>254</v>
      </c>
      <c r="B113" s="129">
        <v>369</v>
      </c>
      <c r="C113" s="80">
        <v>4.8295454500000001E-2</v>
      </c>
      <c r="D113" s="106">
        <v>489</v>
      </c>
      <c r="E113" s="107">
        <f>IF(ISNUMBER(D113), (D113 - $B113) / $B113, "")</f>
        <v>0.32520325203252032</v>
      </c>
      <c r="F113" s="108">
        <f>IF(ISNUMBER(D113), $B118 * E113, "")</f>
        <v>32520.325203252032</v>
      </c>
      <c r="G113" s="109">
        <v>497</v>
      </c>
      <c r="H113" s="107">
        <f>IF(ISNUMBER(G113), (G113 - $B113) / $B113, "")</f>
        <v>0.34688346883468835</v>
      </c>
      <c r="I113" s="110">
        <f>IF(ISNUMBER(G113), $B118 * H113, "")</f>
        <v>34688.346883468832</v>
      </c>
      <c r="J113" s="106">
        <v>480</v>
      </c>
      <c r="K113" s="107">
        <f>IF(ISNUMBER(J113), (J113 - $B113) / $B113, "")</f>
        <v>0.30081300813008133</v>
      </c>
      <c r="L113" s="108">
        <f>IF(ISNUMBER(J113), $B118 * K113, "")</f>
        <v>30081.300813008133</v>
      </c>
      <c r="M113" s="109">
        <v>487</v>
      </c>
      <c r="N113" s="107">
        <f>IF(ISNUMBER(M113), (M113 - $B113) / $B113, "")</f>
        <v>0.31978319783197834</v>
      </c>
      <c r="O113" s="108">
        <f>IF(ISNUMBER(M113), $B118 * N113, "")</f>
        <v>31978.319783197832</v>
      </c>
      <c r="Q113" s="227"/>
      <c r="R113" s="227"/>
      <c r="S113" s="227"/>
    </row>
    <row r="114" spans="1:19" ht="17.25" thickBot="1">
      <c r="A114" s="125" t="s">
        <v>84</v>
      </c>
      <c r="B114" s="126">
        <v>6410</v>
      </c>
      <c r="C114" s="77">
        <v>4.8242027799999997E-2</v>
      </c>
      <c r="D114" s="15">
        <v>6515</v>
      </c>
      <c r="E114" s="32">
        <f t="shared" ref="E114:E117" si="58">IF(ISNUMBER(D114), (D114 - $B114) / $B114, "")</f>
        <v>1.6380655226209049E-2</v>
      </c>
      <c r="F114" s="18">
        <f>IF(ISNUMBER(D114), $B118 * E114, "")</f>
        <v>1638.0655226209049</v>
      </c>
      <c r="G114" s="31">
        <v>6625</v>
      </c>
      <c r="H114" s="32">
        <f t="shared" ref="H114:H117" si="59">IF(ISNUMBER(G114), (G114 - $B114) / $B114, "")</f>
        <v>3.3541341653666144E-2</v>
      </c>
      <c r="I114" s="101">
        <f>IF(ISNUMBER(G114), $B118 * H114, "")</f>
        <v>3354.1341653666145</v>
      </c>
      <c r="J114" s="15">
        <v>6495</v>
      </c>
      <c r="K114" s="32">
        <f t="shared" ref="K114:K117" si="60">IF(ISNUMBER(J114), (J114 - $B114) / $B114, "")</f>
        <v>1.3260530421216849E-2</v>
      </c>
      <c r="L114" s="18">
        <f>IF(ISNUMBER(J114), $B118 * K114, "")</f>
        <v>1326.0530421216849</v>
      </c>
      <c r="M114" s="31">
        <v>6520</v>
      </c>
      <c r="N114" s="32">
        <f t="shared" ref="N114:N117" si="61">IF(ISNUMBER(M114), (M114 - $B114) / $B114, "")</f>
        <v>1.7160686427457099E-2</v>
      </c>
      <c r="O114" s="18">
        <f>IF(ISNUMBER(M114), $B118 * N114, "")</f>
        <v>1716.0686427457099</v>
      </c>
      <c r="Q114" s="227"/>
      <c r="R114" s="227"/>
      <c r="S114" s="227"/>
    </row>
    <row r="115" spans="1:19" ht="17.25" thickBot="1">
      <c r="A115" s="125" t="s">
        <v>250</v>
      </c>
      <c r="B115" s="126">
        <v>101</v>
      </c>
      <c r="C115" s="77">
        <v>4.77178423E-2</v>
      </c>
      <c r="D115" s="15">
        <v>99.9</v>
      </c>
      <c r="E115" s="32">
        <f t="shared" si="58"/>
        <v>-1.0891089108910835E-2</v>
      </c>
      <c r="F115" s="18">
        <f>IF(ISNUMBER(D115), $B118 * E115, "")</f>
        <v>-1089.1089108910835</v>
      </c>
      <c r="G115" s="31">
        <v>102</v>
      </c>
      <c r="H115" s="32">
        <f t="shared" si="59"/>
        <v>9.9009900990099011E-3</v>
      </c>
      <c r="I115" s="101">
        <f>IF(ISNUMBER(G115), $B118 * H115, "")</f>
        <v>990.09900990099015</v>
      </c>
      <c r="J115" s="15">
        <v>101</v>
      </c>
      <c r="K115" s="32">
        <f t="shared" si="60"/>
        <v>0</v>
      </c>
      <c r="L115" s="18">
        <f>IF(ISNUMBER(J115), $B118 * K115, "")</f>
        <v>0</v>
      </c>
      <c r="M115" s="31">
        <v>101</v>
      </c>
      <c r="N115" s="32">
        <f t="shared" si="61"/>
        <v>0</v>
      </c>
      <c r="O115" s="18">
        <f>IF(ISNUMBER(M115), $B118 * N115, "")</f>
        <v>0</v>
      </c>
      <c r="Q115" s="227"/>
      <c r="R115" s="227"/>
      <c r="S115" s="227"/>
    </row>
    <row r="116" spans="1:19">
      <c r="A116" s="125" t="s">
        <v>238</v>
      </c>
      <c r="B116" s="126">
        <v>135</v>
      </c>
      <c r="C116" s="77">
        <v>4.6511627899999998E-2</v>
      </c>
      <c r="D116" s="15">
        <v>154</v>
      </c>
      <c r="E116" s="32">
        <f t="shared" si="58"/>
        <v>0.14074074074074075</v>
      </c>
      <c r="F116" s="18">
        <f>IF(ISNUMBER(D116), $B118 * E116, "")</f>
        <v>14074.074074074075</v>
      </c>
      <c r="G116" s="31">
        <v>157</v>
      </c>
      <c r="H116" s="32">
        <f t="shared" si="59"/>
        <v>0.16296296296296298</v>
      </c>
      <c r="I116" s="101">
        <f>IF(ISNUMBER(G116), $B118 * H116, "")</f>
        <v>16296.296296296297</v>
      </c>
      <c r="J116" s="15">
        <v>154</v>
      </c>
      <c r="K116" s="32">
        <f t="shared" si="60"/>
        <v>0.14074074074074075</v>
      </c>
      <c r="L116" s="18">
        <f>IF(ISNUMBER(J116), $B118 * K116, "")</f>
        <v>14074.074074074075</v>
      </c>
      <c r="M116" s="31">
        <v>161</v>
      </c>
      <c r="N116" s="32">
        <f t="shared" si="61"/>
        <v>0.19259259259259259</v>
      </c>
      <c r="O116" s="18">
        <f>IF(ISNUMBER(M116), $B118 * N116, "")</f>
        <v>19259.259259259259</v>
      </c>
      <c r="Q116" s="249"/>
      <c r="R116" s="250"/>
      <c r="S116" s="251"/>
    </row>
    <row r="117" spans="1:19" ht="17.25" thickBot="1">
      <c r="A117" s="130" t="s">
        <v>138</v>
      </c>
      <c r="B117" s="131">
        <v>418</v>
      </c>
      <c r="C117" s="79">
        <v>4.2394015E-2</v>
      </c>
      <c r="D117" s="24">
        <v>435</v>
      </c>
      <c r="E117" s="25">
        <f t="shared" si="58"/>
        <v>4.0669856459330141E-2</v>
      </c>
      <c r="F117" s="104">
        <f>IF(ISNUMBER(D117), $B118 * E117, "")</f>
        <v>4066.985645933014</v>
      </c>
      <c r="G117" s="102">
        <v>446</v>
      </c>
      <c r="H117" s="25">
        <f t="shared" si="59"/>
        <v>6.6985645933014357E-2</v>
      </c>
      <c r="I117" s="103">
        <f>IF(ISNUMBER(G117), $B118 * H117, "")</f>
        <v>6698.5645933014357</v>
      </c>
      <c r="J117" s="24">
        <v>434</v>
      </c>
      <c r="K117" s="25">
        <f t="shared" si="60"/>
        <v>3.8277511961722487E-2</v>
      </c>
      <c r="L117" s="104">
        <f>IF(ISNUMBER(J117), $B118 * K117, "")</f>
        <v>3827.7511961722485</v>
      </c>
      <c r="M117" s="102">
        <v>437</v>
      </c>
      <c r="N117" s="25">
        <f t="shared" si="61"/>
        <v>4.5454545454545456E-2</v>
      </c>
      <c r="O117" s="104">
        <f>IF(ISNUMBER(M117), $B118 * N117, "")</f>
        <v>4545.454545454546</v>
      </c>
      <c r="Q117" s="252"/>
      <c r="R117" s="253"/>
      <c r="S117" s="254"/>
    </row>
    <row r="118" spans="1:19" ht="17.25" thickBot="1">
      <c r="A118" s="132" t="s">
        <v>270</v>
      </c>
      <c r="B118" s="260">
        <f>$B$37</f>
        <v>100000</v>
      </c>
      <c r="C118" s="261"/>
      <c r="D118" s="26" t="s">
        <v>271</v>
      </c>
      <c r="E118" s="27">
        <f>IF(COUNT(E98:E117), SUM(E98:E117) / COUNT(E98:E117), 0)</f>
        <v>0.20702505852177716</v>
      </c>
      <c r="F118" s="28">
        <f>SUM(F98:F117)</f>
        <v>414050.11704355461</v>
      </c>
      <c r="G118" s="26" t="s">
        <v>271</v>
      </c>
      <c r="H118" s="27">
        <f>IF(COUNT(H98:H117), SUM(H98:H117) / COUNT(H98:H117), 0)</f>
        <v>0.20745869063505257</v>
      </c>
      <c r="I118" s="28">
        <f>SUM(I98:I117)</f>
        <v>414917.38127010508</v>
      </c>
      <c r="J118" s="26" t="s">
        <v>271</v>
      </c>
      <c r="K118" s="27">
        <f>IF(COUNT(K98:K117), SUM(K98:K117) / COUNT(K98:K117), 0)</f>
        <v>0.15794731222812833</v>
      </c>
      <c r="L118" s="28">
        <f>SUM(L98:L117)</f>
        <v>315894.62445625669</v>
      </c>
      <c r="M118" s="26" t="s">
        <v>271</v>
      </c>
      <c r="N118" s="27">
        <f>IF(COUNT(N98:N117), SUM(N98:N117) / COUNT(N98:N117), 0)</f>
        <v>0.16866172862787593</v>
      </c>
      <c r="O118" s="28">
        <f>SUM(O98:O117)</f>
        <v>337323.45725575177</v>
      </c>
      <c r="Q118" s="255"/>
      <c r="R118" s="256"/>
      <c r="S118" s="257"/>
    </row>
    <row r="120" spans="1:19" ht="17.25" thickBot="1"/>
    <row r="121" spans="1:19" ht="17.25" thickBot="1">
      <c r="A121" s="201" t="s">
        <v>258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69" t="s">
        <v>267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55149000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2.1442459999999998E-3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2021-09-04(토) 오전 00:00</v>
      </c>
      <c r="C123" s="265"/>
      <c r="D123" s="224" t="str">
        <f>TEXT($G$1, "[$-ko-KR]yyyy-mm-dd(ddd) ") &amp; "오후 14:00"</f>
        <v>2021-09-04(토) 오후 14:00</v>
      </c>
      <c r="E123" s="225"/>
      <c r="F123" s="226"/>
      <c r="G123" s="224" t="str">
        <f>TEXT($G$1, "[$-ko-KR]yyyy-mm-dd(ddd) ") &amp; "오후 19:00"</f>
        <v>2021-09-04(토) 오후 19:00</v>
      </c>
      <c r="H123" s="225"/>
      <c r="I123" s="226"/>
      <c r="J123" s="224" t="str">
        <f>TEXT($G$1, "[$-ko-KR]yyyy-mm-dd(ddd) ") &amp; "오후 21:00"</f>
        <v>2021-09-04(토) 오후 21:00</v>
      </c>
      <c r="K123" s="225"/>
      <c r="L123" s="226"/>
      <c r="M123" s="224" t="str">
        <f>TEXT($G$1+1, "[$-ko-KR]yyyy-mm-dd(ddd) ") &amp; "오전 00:00"</f>
        <v>2021-09-05(일)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7"/>
      <c r="R124" s="227"/>
      <c r="S124" s="227"/>
    </row>
    <row r="125" spans="1:19" ht="17.25" thickBot="1">
      <c r="A125" s="123" t="s">
        <v>65</v>
      </c>
      <c r="B125" s="124">
        <v>56.2</v>
      </c>
      <c r="C125" s="76">
        <v>8.0769230799999994E-2</v>
      </c>
      <c r="D125" s="13">
        <v>70.5</v>
      </c>
      <c r="E125" s="14">
        <f>IF(ISNUMBER(D125), (D125 - $B125) / $B125, "")</f>
        <v>0.25444839857651241</v>
      </c>
      <c r="F125" s="16">
        <f>IF(ISNUMBER(D125), $B145 * E125, "")</f>
        <v>25444.839857651241</v>
      </c>
      <c r="G125" s="29">
        <v>71.599999999999994</v>
      </c>
      <c r="H125" s="14">
        <f>IF(ISNUMBER(G125), (G125 - $B125) / $B125, "")</f>
        <v>0.2740213523131671</v>
      </c>
      <c r="I125" s="100">
        <f>IF(ISNUMBER(G125), $B145 * H125, "")</f>
        <v>27402.135231316712</v>
      </c>
      <c r="J125" s="13">
        <v>68.400000000000006</v>
      </c>
      <c r="K125" s="14">
        <f>IF(ISNUMBER(J125), (J125 - $B125) / $B125, "")</f>
        <v>0.21708185053380788</v>
      </c>
      <c r="L125" s="16">
        <f>IF(ISNUMBER(J125), $B145 * K125, "")</f>
        <v>21708.185053380788</v>
      </c>
      <c r="M125" s="29">
        <v>67.3</v>
      </c>
      <c r="N125" s="14">
        <f>IF(ISNUMBER(M125), (M125 - $B125) / $B125, "")</f>
        <v>0.19750889679715292</v>
      </c>
      <c r="O125" s="16">
        <f>IF(ISNUMBER(M125), $B145 * N125, "")</f>
        <v>19750.889679715292</v>
      </c>
      <c r="Q125" s="222"/>
      <c r="R125" s="222"/>
      <c r="S125" s="222"/>
    </row>
    <row r="126" spans="1:19" ht="17.25" thickBot="1">
      <c r="A126" s="125" t="s">
        <v>98</v>
      </c>
      <c r="B126" s="126">
        <v>5.67</v>
      </c>
      <c r="C126" s="77">
        <v>3.4671532800000002E-2</v>
      </c>
      <c r="D126" s="15">
        <v>5.61</v>
      </c>
      <c r="E126" s="32">
        <f t="shared" ref="E126:E129" si="62">IF(ISNUMBER(D126), (D126 - $B126) / $B126, "")</f>
        <v>-1.0582010582010514E-2</v>
      </c>
      <c r="F126" s="18">
        <f>IF(ISNUMBER(D126), $B145 * E126, "")</f>
        <v>-1058.2010582010514</v>
      </c>
      <c r="G126" s="31">
        <v>5.63</v>
      </c>
      <c r="H126" s="32">
        <f t="shared" ref="H126:H129" si="63">IF(ISNUMBER(G126), (G126 - $B126) / $B126, "")</f>
        <v>-7.0546737213403946E-3</v>
      </c>
      <c r="I126" s="101">
        <f>IF(ISNUMBER(G126), $B145 * H126, "")</f>
        <v>-705.46737213403946</v>
      </c>
      <c r="J126" s="15">
        <v>5.54</v>
      </c>
      <c r="K126" s="32">
        <f t="shared" ref="K126:K129" si="64">IF(ISNUMBER(J126), (J126 - $B126) / $B126, "")</f>
        <v>-2.2927689594356242E-2</v>
      </c>
      <c r="L126" s="18">
        <f>IF(ISNUMBER(J126), $B145 * K126, "")</f>
        <v>-2292.7689594356243</v>
      </c>
      <c r="M126" s="31">
        <v>5.56</v>
      </c>
      <c r="N126" s="32">
        <f t="shared" ref="N126:N129" si="65">IF(ISNUMBER(M126), (M126 - $B126) / $B126, "")</f>
        <v>-1.9400352733686125E-2</v>
      </c>
      <c r="O126" s="18">
        <f>IF(ISNUMBER(M126), $B145 * N126, "")</f>
        <v>-1940.0352733686125</v>
      </c>
      <c r="Q126" s="222"/>
      <c r="R126" s="222"/>
      <c r="S126" s="222"/>
    </row>
    <row r="127" spans="1:19" ht="17.25" thickBot="1">
      <c r="A127" s="125" t="s">
        <v>148</v>
      </c>
      <c r="B127" s="126">
        <v>24.8</v>
      </c>
      <c r="C127" s="77">
        <v>2.9045643199999999E-2</v>
      </c>
      <c r="D127" s="15">
        <v>25.6</v>
      </c>
      <c r="E127" s="32">
        <f t="shared" si="62"/>
        <v>3.2258064516129059E-2</v>
      </c>
      <c r="F127" s="18">
        <f>IF(ISNUMBER(D127), $B145 * E127, "")</f>
        <v>3225.8064516129061</v>
      </c>
      <c r="G127" s="31">
        <v>26.4</v>
      </c>
      <c r="H127" s="32">
        <f t="shared" si="63"/>
        <v>6.4516129032257979E-2</v>
      </c>
      <c r="I127" s="101">
        <f>IF(ISNUMBER(G127), $B145 * H127, "")</f>
        <v>6451.6129032257977</v>
      </c>
      <c r="J127" s="15">
        <v>25.6</v>
      </c>
      <c r="K127" s="32">
        <f t="shared" si="64"/>
        <v>3.2258064516129059E-2</v>
      </c>
      <c r="L127" s="18">
        <f>IF(ISNUMBER(J127), $B145 * K127, "")</f>
        <v>3225.8064516129061</v>
      </c>
      <c r="M127" s="31">
        <v>26.1</v>
      </c>
      <c r="N127" s="32">
        <f t="shared" si="65"/>
        <v>5.2419354838709707E-2</v>
      </c>
      <c r="O127" s="18">
        <f>IF(ISNUMBER(M127), $B145 * N127, "")</f>
        <v>5241.9354838709705</v>
      </c>
      <c r="Q127" s="227"/>
      <c r="R127" s="227"/>
      <c r="S127" s="227"/>
    </row>
    <row r="128" spans="1:19" ht="17.25" thickBot="1">
      <c r="A128" s="125" t="s">
        <v>202</v>
      </c>
      <c r="B128" s="126">
        <v>96.6</v>
      </c>
      <c r="C128" s="77">
        <v>2.5477706999999999E-2</v>
      </c>
      <c r="D128" s="15">
        <v>101</v>
      </c>
      <c r="E128" s="32">
        <f t="shared" si="62"/>
        <v>4.5548654244306479E-2</v>
      </c>
      <c r="F128" s="18">
        <f>IF(ISNUMBER(D128), $B145 * E128, "")</f>
        <v>4554.8654244306481</v>
      </c>
      <c r="G128" s="31">
        <v>102</v>
      </c>
      <c r="H128" s="32">
        <f t="shared" si="63"/>
        <v>5.5900621118012486E-2</v>
      </c>
      <c r="I128" s="101">
        <f>IF(ISNUMBER(G128), $B145 * H128, "")</f>
        <v>5590.0621118012486</v>
      </c>
      <c r="J128" s="15">
        <v>100</v>
      </c>
      <c r="K128" s="32">
        <f t="shared" si="64"/>
        <v>3.5196687370600478E-2</v>
      </c>
      <c r="L128" s="18">
        <f>IF(ISNUMBER(J128), $B145 * K128, "")</f>
        <v>3519.668737060048</v>
      </c>
      <c r="M128" s="31">
        <v>104</v>
      </c>
      <c r="N128" s="32">
        <f t="shared" si="65"/>
        <v>7.6604554865424487E-2</v>
      </c>
      <c r="O128" s="18">
        <f>IF(ISNUMBER(M128), $B145 * N128, "")</f>
        <v>7660.4554865424489</v>
      </c>
      <c r="Q128" s="227"/>
      <c r="R128" s="227"/>
      <c r="S128" s="227"/>
    </row>
    <row r="129" spans="1:19" ht="17.25" thickBot="1">
      <c r="A129" s="127" t="s">
        <v>178</v>
      </c>
      <c r="B129" s="128">
        <v>20.399999999999999</v>
      </c>
      <c r="C129" s="78">
        <v>2.5125628099999998E-2</v>
      </c>
      <c r="D129" s="20">
        <v>21.5</v>
      </c>
      <c r="E129" s="21">
        <f t="shared" si="62"/>
        <v>5.3921568627451053E-2</v>
      </c>
      <c r="F129" s="22">
        <f>IF(ISNUMBER(D129), $B145 * E129, "")</f>
        <v>5392.1568627451052</v>
      </c>
      <c r="G129" s="30">
        <v>22.6</v>
      </c>
      <c r="H129" s="21">
        <f t="shared" si="63"/>
        <v>0.10784313725490211</v>
      </c>
      <c r="I129" s="105">
        <f>IF(ISNUMBER(G129), $B145 * H129, "")</f>
        <v>10784.31372549021</v>
      </c>
      <c r="J129" s="20">
        <v>21.7</v>
      </c>
      <c r="K129" s="21">
        <f t="shared" si="64"/>
        <v>6.3725490196078469E-2</v>
      </c>
      <c r="L129" s="22">
        <f>IF(ISNUMBER(J129), $B145 * K129, "")</f>
        <v>6372.5490196078472</v>
      </c>
      <c r="M129" s="30">
        <v>22.2</v>
      </c>
      <c r="N129" s="21">
        <f t="shared" si="65"/>
        <v>8.8235294117647106E-2</v>
      </c>
      <c r="O129" s="22">
        <f>IF(ISNUMBER(M129), $B145 * N129, "")</f>
        <v>8823.5294117647099</v>
      </c>
      <c r="Q129" s="227"/>
      <c r="R129" s="227"/>
      <c r="S129" s="227"/>
    </row>
    <row r="130" spans="1:19" ht="17.25" thickBot="1">
      <c r="A130" s="125" t="s">
        <v>72</v>
      </c>
      <c r="B130" s="129">
        <v>27.5</v>
      </c>
      <c r="C130" s="80">
        <v>2.2304832699999999E-2</v>
      </c>
      <c r="D130" s="106">
        <v>30.5</v>
      </c>
      <c r="E130" s="107">
        <f>IF(ISNUMBER(D130), (D130 - $B130) / $B130, "")</f>
        <v>0.10909090909090909</v>
      </c>
      <c r="F130" s="108">
        <f>IF(ISNUMBER(D130), $B145 * E130, "")</f>
        <v>10909.090909090908</v>
      </c>
      <c r="G130" s="109">
        <v>31.9</v>
      </c>
      <c r="H130" s="107">
        <f>IF(ISNUMBER(G130), (G130 - $B130) / $B130, "")</f>
        <v>0.15999999999999995</v>
      </c>
      <c r="I130" s="110">
        <f>IF(ISNUMBER(G130), $B145 * H130, "")</f>
        <v>15999.999999999995</v>
      </c>
      <c r="J130" s="106">
        <v>29.8</v>
      </c>
      <c r="K130" s="107">
        <f>IF(ISNUMBER(J130), (J130 - $B130) / $B130, "")</f>
        <v>8.3636363636363661E-2</v>
      </c>
      <c r="L130" s="108">
        <f>IF(ISNUMBER(J130), $B145 * K130, "")</f>
        <v>8363.6363636363658</v>
      </c>
      <c r="M130" s="109">
        <v>30.1</v>
      </c>
      <c r="N130" s="107">
        <f>IF(ISNUMBER(M130), (M130 - $B130) / $B130, "")</f>
        <v>9.4545454545454599E-2</v>
      </c>
      <c r="O130" s="108">
        <f>IF(ISNUMBER(M130), $B145 * N130, "")</f>
        <v>9454.5454545454595</v>
      </c>
      <c r="Q130" s="227"/>
      <c r="R130" s="227"/>
      <c r="S130" s="227"/>
    </row>
    <row r="131" spans="1:19" ht="17.25" thickBot="1">
      <c r="A131" s="125" t="s">
        <v>188</v>
      </c>
      <c r="B131" s="126">
        <v>14.2</v>
      </c>
      <c r="C131" s="77">
        <v>2.15827338E-2</v>
      </c>
      <c r="D131" s="15">
        <v>15.3</v>
      </c>
      <c r="E131" s="32">
        <f t="shared" ref="E131:E134" si="66">IF(ISNUMBER(D131), (D131 - $B131) / $B131, "")</f>
        <v>7.7464788732394471E-2</v>
      </c>
      <c r="F131" s="18">
        <f>IF(ISNUMBER(D131), $B145 * E131, "")</f>
        <v>7746.4788732394472</v>
      </c>
      <c r="G131" s="31">
        <v>16.100000000000001</v>
      </c>
      <c r="H131" s="32">
        <f t="shared" ref="H131:H134" si="67">IF(ISNUMBER(G131), (G131 - $B131) / $B131, "")</f>
        <v>0.13380281690140861</v>
      </c>
      <c r="I131" s="101">
        <f>IF(ISNUMBER(G131), $B145 * H131, "")</f>
        <v>13380.281690140861</v>
      </c>
      <c r="J131" s="15">
        <v>15.4</v>
      </c>
      <c r="K131" s="32">
        <f t="shared" ref="K131:K134" si="68">IF(ISNUMBER(J131), (J131 - $B131) / $B131, "")</f>
        <v>8.4507042253521208E-2</v>
      </c>
      <c r="L131" s="18">
        <f>IF(ISNUMBER(J131), $B145 * K131, "")</f>
        <v>8450.7042253521213</v>
      </c>
      <c r="M131" s="31">
        <v>15.6</v>
      </c>
      <c r="N131" s="32">
        <f t="shared" ref="N131:N134" si="69">IF(ISNUMBER(M131), (M131 - $B131) / $B131, "")</f>
        <v>9.8591549295774683E-2</v>
      </c>
      <c r="O131" s="18">
        <f>IF(ISNUMBER(M131), $B145 * N131, "")</f>
        <v>9859.1549295774676</v>
      </c>
      <c r="Q131" s="227"/>
      <c r="R131" s="227"/>
      <c r="S131" s="227"/>
    </row>
    <row r="132" spans="1:19" ht="17.25" thickBot="1">
      <c r="A132" s="125" t="s">
        <v>234</v>
      </c>
      <c r="B132" s="126">
        <v>89.4</v>
      </c>
      <c r="C132" s="77">
        <v>1.47559591E-2</v>
      </c>
      <c r="D132" s="15">
        <v>93.5</v>
      </c>
      <c r="E132" s="32">
        <f t="shared" si="66"/>
        <v>4.5861297539149824E-2</v>
      </c>
      <c r="F132" s="18">
        <f>IF(ISNUMBER(D132), $B145 * E132, "")</f>
        <v>4586.1297539149828</v>
      </c>
      <c r="G132" s="31">
        <v>95.3</v>
      </c>
      <c r="H132" s="32">
        <f t="shared" si="67"/>
        <v>6.5995525727069251E-2</v>
      </c>
      <c r="I132" s="101">
        <f>IF(ISNUMBER(G132), $B145 * H132, "")</f>
        <v>6599.5525727069253</v>
      </c>
      <c r="J132" s="15">
        <v>93.8</v>
      </c>
      <c r="K132" s="32">
        <f t="shared" si="68"/>
        <v>4.9217002237136369E-2</v>
      </c>
      <c r="L132" s="18">
        <f>IF(ISNUMBER(J132), $B145 * K132, "")</f>
        <v>4921.7002237136367</v>
      </c>
      <c r="M132" s="31">
        <v>95.3</v>
      </c>
      <c r="N132" s="32">
        <f t="shared" si="69"/>
        <v>6.5995525727069251E-2</v>
      </c>
      <c r="O132" s="18">
        <f>IF(ISNUMBER(M132), $B145 * N132, "")</f>
        <v>6599.5525727069253</v>
      </c>
      <c r="Q132" s="227"/>
      <c r="R132" s="227"/>
      <c r="S132" s="227"/>
    </row>
    <row r="133" spans="1:19" ht="17.25" thickBot="1">
      <c r="A133" s="125" t="s">
        <v>208</v>
      </c>
      <c r="B133" s="126">
        <v>14.8</v>
      </c>
      <c r="C133" s="77">
        <v>1.3698630099999999E-2</v>
      </c>
      <c r="D133" s="15">
        <v>15.7</v>
      </c>
      <c r="E133" s="32">
        <f t="shared" si="66"/>
        <v>6.081081081081071E-2</v>
      </c>
      <c r="F133" s="18">
        <f>IF(ISNUMBER(D133), $B145 * E133, "")</f>
        <v>6081.0810810810708</v>
      </c>
      <c r="G133" s="31">
        <v>17.100000000000001</v>
      </c>
      <c r="H133" s="32">
        <f t="shared" si="67"/>
        <v>0.15540540540540546</v>
      </c>
      <c r="I133" s="101">
        <f>IF(ISNUMBER(G133), $B145 * H133, "")</f>
        <v>15540.540540540545</v>
      </c>
      <c r="J133" s="15">
        <v>16</v>
      </c>
      <c r="K133" s="32">
        <f t="shared" si="68"/>
        <v>8.108108108108103E-2</v>
      </c>
      <c r="L133" s="18">
        <f>IF(ISNUMBER(J133), $B145 * K133, "")</f>
        <v>8108.1081081081029</v>
      </c>
      <c r="M133" s="31">
        <v>16.2</v>
      </c>
      <c r="N133" s="32">
        <f t="shared" si="69"/>
        <v>9.4594594594594489E-2</v>
      </c>
      <c r="O133" s="18">
        <f>IF(ISNUMBER(M133), $B145 * N133, "")</f>
        <v>9459.4594594594491</v>
      </c>
      <c r="Q133" s="33"/>
      <c r="R133" s="33"/>
    </row>
    <row r="134" spans="1:19" ht="17.25" thickBot="1">
      <c r="A134" s="130" t="s">
        <v>240</v>
      </c>
      <c r="B134" s="131">
        <v>77.400000000000006</v>
      </c>
      <c r="C134" s="79">
        <v>1.17647059E-2</v>
      </c>
      <c r="D134" s="24">
        <v>82.9</v>
      </c>
      <c r="E134" s="25">
        <f t="shared" si="66"/>
        <v>7.10594315245478E-2</v>
      </c>
      <c r="F134" s="104">
        <f>IF(ISNUMBER(D134), $B145 * E134, "")</f>
        <v>7105.9431524547799</v>
      </c>
      <c r="G134" s="102">
        <v>83.5</v>
      </c>
      <c r="H134" s="25">
        <f t="shared" si="67"/>
        <v>7.8811369509043855E-2</v>
      </c>
      <c r="I134" s="103">
        <f>IF(ISNUMBER(G134), $B145 * H134, "")</f>
        <v>7881.1369509043852</v>
      </c>
      <c r="J134" s="24">
        <v>81.599999999999994</v>
      </c>
      <c r="K134" s="25">
        <f t="shared" si="68"/>
        <v>5.4263565891472715E-2</v>
      </c>
      <c r="L134" s="104">
        <f>IF(ISNUMBER(J134), $B145 * K134, "")</f>
        <v>5426.3565891472717</v>
      </c>
      <c r="M134" s="102">
        <v>81.8</v>
      </c>
      <c r="N134" s="25">
        <f t="shared" si="69"/>
        <v>5.6847545219638126E-2</v>
      </c>
      <c r="O134" s="104">
        <f>IF(ISNUMBER(M134), $B145 * N134, "")</f>
        <v>5684.7545219638123</v>
      </c>
      <c r="Q134" s="236"/>
      <c r="R134" s="237"/>
      <c r="S134" s="238"/>
    </row>
    <row r="135" spans="1:19">
      <c r="A135" s="123" t="s">
        <v>190</v>
      </c>
      <c r="B135" s="124">
        <v>20.399999999999999</v>
      </c>
      <c r="C135" s="76">
        <v>9.9009900999999997E-3</v>
      </c>
      <c r="D135" s="13">
        <v>21.4</v>
      </c>
      <c r="E135" s="14">
        <f>IF(ISNUMBER(D135), (D135 - $B135) / $B135, "")</f>
        <v>4.9019607843137261E-2</v>
      </c>
      <c r="F135" s="16">
        <f>IF(ISNUMBER(D135), $B145 * E135, "")</f>
        <v>4901.9607843137264</v>
      </c>
      <c r="G135" s="29">
        <v>22.1</v>
      </c>
      <c r="H135" s="14">
        <f>IF(ISNUMBER(G135), (G135 - $B135) / $B135, "")</f>
        <v>8.3333333333333481E-2</v>
      </c>
      <c r="I135" s="100">
        <f>IF(ISNUMBER(G135), $B145 * H135, "")</f>
        <v>8333.3333333333485</v>
      </c>
      <c r="J135" s="13">
        <v>21.4</v>
      </c>
      <c r="K135" s="14">
        <f>IF(ISNUMBER(J135), (J135 - $B135) / $B135, "")</f>
        <v>4.9019607843137261E-2</v>
      </c>
      <c r="L135" s="16">
        <f>IF(ISNUMBER(J135), $B145 * K135, "")</f>
        <v>4901.9607843137264</v>
      </c>
      <c r="M135" s="29">
        <v>21.9</v>
      </c>
      <c r="N135" s="14">
        <f>IF(ISNUMBER(M135), (M135 - $B135) / $B135, "")</f>
        <v>7.3529411764705885E-2</v>
      </c>
      <c r="O135" s="16">
        <f>IF(ISNUMBER(M135), $B145 * N135, "")</f>
        <v>7352.9411764705883</v>
      </c>
      <c r="Q135" s="239"/>
      <c r="R135" s="240"/>
      <c r="S135" s="241"/>
    </row>
    <row r="136" spans="1:19" ht="17.25" thickBot="1">
      <c r="A136" s="125" t="s">
        <v>216</v>
      </c>
      <c r="B136" s="126">
        <v>12.3</v>
      </c>
      <c r="C136" s="77">
        <v>8.1967212999999994E-3</v>
      </c>
      <c r="D136" s="15">
        <v>13</v>
      </c>
      <c r="E136" s="32">
        <f t="shared" ref="E136:E139" si="70">IF(ISNUMBER(D136), (D136 - $B136) / $B136, "")</f>
        <v>5.6910569105690999E-2</v>
      </c>
      <c r="F136" s="18">
        <f>IF(ISNUMBER(D136), $B145 * E136, "")</f>
        <v>5691.0569105691002</v>
      </c>
      <c r="G136" s="31">
        <v>13.2</v>
      </c>
      <c r="H136" s="32">
        <f t="shared" ref="H136:H139" si="71">IF(ISNUMBER(G136), (G136 - $B136) / $B136, "")</f>
        <v>7.3170731707316958E-2</v>
      </c>
      <c r="I136" s="101">
        <f>IF(ISNUMBER(G136), $B145 * H136, "")</f>
        <v>7317.0731707316954</v>
      </c>
      <c r="J136" s="15">
        <v>12.9</v>
      </c>
      <c r="K136" s="32">
        <f t="shared" ref="K136:K139" si="72">IF(ISNUMBER(J136), (J136 - $B136) / $B136, "")</f>
        <v>4.8780487804878016E-2</v>
      </c>
      <c r="L136" s="18">
        <f>IF(ISNUMBER(J136), $B145 * K136, "")</f>
        <v>4878.0487804878012</v>
      </c>
      <c r="M136" s="31">
        <v>13.2</v>
      </c>
      <c r="N136" s="32">
        <f t="shared" ref="N136:N139" si="73">IF(ISNUMBER(M136), (M136 - $B136) / $B136, "")</f>
        <v>7.3170731707316958E-2</v>
      </c>
      <c r="O136" s="18">
        <f>IF(ISNUMBER(M136), $B145 * N136, "")</f>
        <v>7317.0731707316954</v>
      </c>
      <c r="Q136" s="242"/>
      <c r="R136" s="243"/>
      <c r="S136" s="244"/>
    </row>
    <row r="137" spans="1:19" ht="17.25" thickBot="1">
      <c r="A137" s="125" t="s">
        <v>150</v>
      </c>
      <c r="B137" s="126">
        <v>14.2</v>
      </c>
      <c r="C137" s="77">
        <v>7.0921986000000003E-3</v>
      </c>
      <c r="D137" s="15">
        <v>15.3</v>
      </c>
      <c r="E137" s="32">
        <f t="shared" si="70"/>
        <v>7.7464788732394471E-2</v>
      </c>
      <c r="F137" s="18">
        <f>IF(ISNUMBER(D137), $B145 * E137, "")</f>
        <v>7746.4788732394472</v>
      </c>
      <c r="G137" s="31">
        <v>15.8</v>
      </c>
      <c r="H137" s="32">
        <f t="shared" si="71"/>
        <v>0.11267605633802827</v>
      </c>
      <c r="I137" s="101">
        <f>IF(ISNUMBER(G137), $B145 * H137, "")</f>
        <v>11267.605633802827</v>
      </c>
      <c r="J137" s="15">
        <v>15.4</v>
      </c>
      <c r="K137" s="32">
        <f t="shared" si="72"/>
        <v>8.4507042253521208E-2</v>
      </c>
      <c r="L137" s="18">
        <f>IF(ISNUMBER(J137), $B145 * K137, "")</f>
        <v>8450.7042253521213</v>
      </c>
      <c r="M137" s="31">
        <v>16</v>
      </c>
      <c r="N137" s="32">
        <f t="shared" si="73"/>
        <v>0.12676056338028174</v>
      </c>
      <c r="O137" s="18">
        <f>IF(ISNUMBER(M137), $B145 * N137, "")</f>
        <v>12676.056338028175</v>
      </c>
      <c r="Q137" s="227"/>
      <c r="R137" s="227"/>
      <c r="S137" s="227"/>
    </row>
    <row r="138" spans="1:19" ht="17.25" thickBot="1">
      <c r="A138" s="125" t="s">
        <v>204</v>
      </c>
      <c r="B138" s="126">
        <v>17.2</v>
      </c>
      <c r="C138" s="77">
        <v>5.8479532000000004E-3</v>
      </c>
      <c r="D138" s="15">
        <v>17.8</v>
      </c>
      <c r="E138" s="32">
        <f t="shared" si="70"/>
        <v>3.4883720930232641E-2</v>
      </c>
      <c r="F138" s="18">
        <f>IF(ISNUMBER(D138), $B145 * E138, "")</f>
        <v>3488.3720930232639</v>
      </c>
      <c r="G138" s="31">
        <v>18.100000000000001</v>
      </c>
      <c r="H138" s="32">
        <f t="shared" si="71"/>
        <v>5.2325581395348965E-2</v>
      </c>
      <c r="I138" s="101">
        <f>IF(ISNUMBER(G138), $B145 * H138, "")</f>
        <v>5232.5581395348963</v>
      </c>
      <c r="J138" s="15">
        <v>17.8</v>
      </c>
      <c r="K138" s="32">
        <f t="shared" si="72"/>
        <v>3.4883720930232641E-2</v>
      </c>
      <c r="L138" s="18">
        <f>IF(ISNUMBER(J138), $B145 * K138, "")</f>
        <v>3488.3720930232639</v>
      </c>
      <c r="M138" s="31">
        <v>18.100000000000001</v>
      </c>
      <c r="N138" s="32">
        <f t="shared" si="73"/>
        <v>5.2325581395348965E-2</v>
      </c>
      <c r="O138" s="18">
        <f>IF(ISNUMBER(M138), $B145 * N138, "")</f>
        <v>5232.5581395348963</v>
      </c>
      <c r="Q138" s="222"/>
      <c r="R138" s="222"/>
      <c r="S138" s="222"/>
    </row>
    <row r="139" spans="1:19" ht="17.25" thickBot="1">
      <c r="A139" s="127" t="s">
        <v>122</v>
      </c>
      <c r="B139" s="128">
        <v>40.6</v>
      </c>
      <c r="C139" s="78">
        <v>4.9504950000000001E-3</v>
      </c>
      <c r="D139" s="20">
        <v>46.1</v>
      </c>
      <c r="E139" s="21">
        <f t="shared" si="70"/>
        <v>0.1354679802955665</v>
      </c>
      <c r="F139" s="22">
        <f>IF(ISNUMBER(D139), $B145 * E139, "")</f>
        <v>13546.79802955665</v>
      </c>
      <c r="G139" s="30">
        <v>56.5</v>
      </c>
      <c r="H139" s="21">
        <f t="shared" si="71"/>
        <v>0.39162561576354676</v>
      </c>
      <c r="I139" s="105">
        <f>IF(ISNUMBER(G139), $B145 * H139, "")</f>
        <v>39162.561576354674</v>
      </c>
      <c r="J139" s="20">
        <v>51.8</v>
      </c>
      <c r="K139" s="21">
        <f t="shared" si="72"/>
        <v>0.27586206896551713</v>
      </c>
      <c r="L139" s="22">
        <f>IF(ISNUMBER(J139), $B145 * K139, "")</f>
        <v>27586.206896551714</v>
      </c>
      <c r="M139" s="30">
        <v>51.5</v>
      </c>
      <c r="N139" s="21">
        <f t="shared" si="73"/>
        <v>0.26847290640394084</v>
      </c>
      <c r="O139" s="22">
        <f>IF(ISNUMBER(M139), $B145 * N139, "")</f>
        <v>26847.290640394083</v>
      </c>
      <c r="Q139" s="222"/>
      <c r="R139" s="222"/>
      <c r="S139" s="222"/>
    </row>
    <row r="140" spans="1:19" ht="17.25" thickBot="1">
      <c r="A140" s="125" t="s">
        <v>210</v>
      </c>
      <c r="B140" s="129">
        <v>16.7</v>
      </c>
      <c r="C140" s="80">
        <v>-2.9069767400000002E-2</v>
      </c>
      <c r="D140" s="106">
        <v>17</v>
      </c>
      <c r="E140" s="107">
        <f>IF(ISNUMBER(D140), (D140 - $B140) / $B140, "")</f>
        <v>1.796407185628747E-2</v>
      </c>
      <c r="F140" s="108">
        <f>IF(ISNUMBER(D140), $B145 * E140, "")</f>
        <v>1796.4071856287469</v>
      </c>
      <c r="G140" s="109">
        <v>17.100000000000001</v>
      </c>
      <c r="H140" s="107">
        <f>IF(ISNUMBER(G140), (G140 - $B140) / $B140, "")</f>
        <v>2.3952095808383363E-2</v>
      </c>
      <c r="I140" s="110">
        <f>IF(ISNUMBER(G140), $B145 * H140, "")</f>
        <v>2395.2095808383365</v>
      </c>
      <c r="J140" s="106">
        <v>16.899999999999999</v>
      </c>
      <c r="K140" s="107">
        <f>IF(ISNUMBER(J140), (J140 - $B140) / $B140, "")</f>
        <v>1.1976047904191574E-2</v>
      </c>
      <c r="L140" s="108">
        <f>IF(ISNUMBER(J140), $B145 * K140, "")</f>
        <v>1197.6047904191573</v>
      </c>
      <c r="M140" s="109">
        <v>17.100000000000001</v>
      </c>
      <c r="N140" s="107">
        <f>IF(ISNUMBER(M140), (M140 - $B140) / $B140, "")</f>
        <v>2.3952095808383363E-2</v>
      </c>
      <c r="O140" s="108">
        <f>IF(ISNUMBER(M140), $B145 * N140, "")</f>
        <v>2395.2095808383365</v>
      </c>
      <c r="Q140" s="227"/>
      <c r="R140" s="227"/>
      <c r="S140" s="227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7"/>
      <c r="R141" s="227"/>
      <c r="S141" s="22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132" t="s">
        <v>270</v>
      </c>
      <c r="B145" s="260">
        <f>$B$37</f>
        <v>100000</v>
      </c>
      <c r="C145" s="261"/>
      <c r="D145" s="26" t="s">
        <v>271</v>
      </c>
      <c r="E145" s="27">
        <f>IF(COUNT(E125:E144), SUM(E125:E144) / COUNT(E125:E144), 0)</f>
        <v>6.9474540740219359E-2</v>
      </c>
      <c r="F145" s="28">
        <f>SUM(F125:F144)</f>
        <v>111159.26518435098</v>
      </c>
      <c r="G145" s="26" t="s">
        <v>271</v>
      </c>
      <c r="H145" s="27">
        <f>IF(COUNT(H125:H144), SUM(H125:H144) / COUNT(H125:H144), 0)</f>
        <v>0.11414531861786774</v>
      </c>
      <c r="I145" s="28">
        <f>SUM(I125:I144)</f>
        <v>182632.50978858842</v>
      </c>
      <c r="J145" s="26" t="s">
        <v>271</v>
      </c>
      <c r="K145" s="27">
        <f>IF(COUNT(K125:K144), SUM(K125:K144) / COUNT(K125:K144), 0)</f>
        <v>7.3941777113957025E-2</v>
      </c>
      <c r="L145" s="28">
        <f>SUM(L125:L144)</f>
        <v>118306.84338233124</v>
      </c>
      <c r="M145" s="26" t="s">
        <v>271</v>
      </c>
      <c r="N145" s="27">
        <f>IF(COUNT(N125:N144), SUM(N125:N144) / COUNT(N125:N144), 0)</f>
        <v>8.9009606732984803E-2</v>
      </c>
      <c r="O145" s="28">
        <f>SUM(O125:O144)</f>
        <v>142415.3707727757</v>
      </c>
      <c r="Q145" s="255"/>
      <c r="R145" s="256"/>
      <c r="S145" s="257"/>
    </row>
    <row r="147" spans="1:19" ht="17.25" thickBot="1"/>
    <row r="148" spans="1:19" ht="17.25" thickBot="1">
      <c r="A148" s="201" t="s">
        <v>259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69" t="s">
        <v>267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55149000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2.1442459999999998E-3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2021-09-04(토) 오전 00:00</v>
      </c>
      <c r="C150" s="265"/>
      <c r="D150" s="224" t="str">
        <f>TEXT($G$1, "[$-ko-KR]yyyy-mm-dd(ddd) ") &amp; "오후 14:00"</f>
        <v>2021-09-04(토) 오후 14:00</v>
      </c>
      <c r="E150" s="225"/>
      <c r="F150" s="226"/>
      <c r="G150" s="224" t="str">
        <f>TEXT($G$1, "[$-ko-KR]yyyy-mm-dd(ddd) ") &amp; "오후 19:00"</f>
        <v>2021-09-04(토) 오후 19:00</v>
      </c>
      <c r="H150" s="225"/>
      <c r="I150" s="226"/>
      <c r="J150" s="224" t="str">
        <f>TEXT($G$1, "[$-ko-KR]yyyy-mm-dd(ddd) ") &amp; "오후 21:00"</f>
        <v>2021-09-04(토) 오후 21:00</v>
      </c>
      <c r="K150" s="225"/>
      <c r="L150" s="226"/>
      <c r="M150" s="224" t="str">
        <f>TEXT($G$1+1, "[$-ko-KR]yyyy-mm-dd(ddd) ") &amp; "오전 00:00"</f>
        <v>2021-09-05(일)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7"/>
      <c r="R151" s="227"/>
      <c r="S151" s="227"/>
    </row>
    <row r="152" spans="1:19" ht="17.25" thickBot="1">
      <c r="A152" s="123" t="s">
        <v>118</v>
      </c>
      <c r="B152" s="124">
        <v>195</v>
      </c>
      <c r="C152" s="76">
        <v>3.7234042600000003E-2</v>
      </c>
      <c r="D152" s="13">
        <v>199</v>
      </c>
      <c r="E152" s="14">
        <f>IF(ISNUMBER(D152), (D152 - $B152) / $B152, "")</f>
        <v>2.0512820512820513E-2</v>
      </c>
      <c r="F152" s="16">
        <f>IF(ISNUMBER(D152), $B172 * E152, "")</f>
        <v>2051.2820512820513</v>
      </c>
      <c r="G152" s="29">
        <v>201</v>
      </c>
      <c r="H152" s="14">
        <f>IF(ISNUMBER(G152), (G152 - $B152) / $B152, "")</f>
        <v>3.0769230769230771E-2</v>
      </c>
      <c r="I152" s="100">
        <f>IF(ISNUMBER(G152), $B172 * H152, "")</f>
        <v>3076.9230769230771</v>
      </c>
      <c r="J152" s="13">
        <v>199</v>
      </c>
      <c r="K152" s="14">
        <f>IF(ISNUMBER(J152), (J152 - $B152) / $B152, "")</f>
        <v>2.0512820512820513E-2</v>
      </c>
      <c r="L152" s="16">
        <f>IF(ISNUMBER(J152), $B172 * K152, "")</f>
        <v>2051.2820512820513</v>
      </c>
      <c r="M152" s="29">
        <v>199</v>
      </c>
      <c r="N152" s="14">
        <f>IF(ISNUMBER(M152), (M152 - $B152) / $B152, "")</f>
        <v>2.0512820512820513E-2</v>
      </c>
      <c r="O152" s="16">
        <f>IF(ISNUMBER(M152), $B172 * N152, "")</f>
        <v>2051.2820512820513</v>
      </c>
      <c r="Q152" s="222"/>
      <c r="R152" s="222"/>
      <c r="S152" s="222"/>
    </row>
    <row r="153" spans="1:19" ht="17.25" thickBot="1">
      <c r="A153" s="125" t="s">
        <v>124</v>
      </c>
      <c r="B153" s="126">
        <v>432</v>
      </c>
      <c r="C153" s="77">
        <v>3.5971222999999997E-2</v>
      </c>
      <c r="D153" s="15">
        <v>515</v>
      </c>
      <c r="E153" s="32">
        <f t="shared" ref="E153:E156" si="78">IF(ISNUMBER(D153), (D153 - $B153) / $B153, "")</f>
        <v>0.19212962962962962</v>
      </c>
      <c r="F153" s="18">
        <f>IF(ISNUMBER(D153), $B172 * E153, "")</f>
        <v>19212.962962962964</v>
      </c>
      <c r="G153" s="31">
        <v>696</v>
      </c>
      <c r="H153" s="32">
        <f t="shared" ref="H153:H156" si="79">IF(ISNUMBER(G153), (G153 - $B153) / $B153, "")</f>
        <v>0.61111111111111116</v>
      </c>
      <c r="I153" s="101">
        <f>IF(ISNUMBER(G153), $B172 * H153, "")</f>
        <v>61111.111111111117</v>
      </c>
      <c r="J153" s="15">
        <v>640</v>
      </c>
      <c r="K153" s="32">
        <f t="shared" ref="K153:K156" si="80">IF(ISNUMBER(J153), (J153 - $B153) / $B153, "")</f>
        <v>0.48148148148148145</v>
      </c>
      <c r="L153" s="18">
        <f>IF(ISNUMBER(J153), $B172 * K153, "")</f>
        <v>48148.148148148146</v>
      </c>
      <c r="M153" s="31">
        <v>721</v>
      </c>
      <c r="N153" s="32">
        <f t="shared" ref="N153:N156" si="81">IF(ISNUMBER(M153), (M153 - $B153) / $B153, "")</f>
        <v>0.66898148148148151</v>
      </c>
      <c r="O153" s="18">
        <f>IF(ISNUMBER(M153), $B172 * N153, "")</f>
        <v>66898.148148148146</v>
      </c>
      <c r="Q153" s="222"/>
      <c r="R153" s="222"/>
      <c r="S153" s="222"/>
    </row>
    <row r="154" spans="1:19" ht="17.25" thickBot="1">
      <c r="A154" s="125" t="s">
        <v>236</v>
      </c>
      <c r="B154" s="126">
        <v>734</v>
      </c>
      <c r="C154" s="77">
        <v>3.0898876400000001E-2</v>
      </c>
      <c r="D154" s="15">
        <v>857</v>
      </c>
      <c r="E154" s="32">
        <f t="shared" si="78"/>
        <v>0.167574931880109</v>
      </c>
      <c r="F154" s="18">
        <f>IF(ISNUMBER(D154), $B172 * E154, "")</f>
        <v>16757.4931880109</v>
      </c>
      <c r="G154" s="31">
        <v>873</v>
      </c>
      <c r="H154" s="32">
        <f t="shared" si="79"/>
        <v>0.18937329700272479</v>
      </c>
      <c r="I154" s="101">
        <f>IF(ISNUMBER(G154), $B172 * H154, "")</f>
        <v>18937.329700272479</v>
      </c>
      <c r="J154" s="15">
        <v>836</v>
      </c>
      <c r="K154" s="32">
        <f t="shared" si="80"/>
        <v>0.13896457765667575</v>
      </c>
      <c r="L154" s="18">
        <f>IF(ISNUMBER(J154), $B172 * K154, "")</f>
        <v>13896.457765667576</v>
      </c>
      <c r="M154" s="31">
        <v>848</v>
      </c>
      <c r="N154" s="32">
        <f t="shared" si="81"/>
        <v>0.15531335149863759</v>
      </c>
      <c r="O154" s="18">
        <f>IF(ISNUMBER(M154), $B172 * N154, "")</f>
        <v>15531.335149863758</v>
      </c>
      <c r="Q154" s="227"/>
      <c r="R154" s="227"/>
      <c r="S154" s="227"/>
    </row>
    <row r="155" spans="1:19" ht="17.25" thickBot="1">
      <c r="A155" s="125" t="s">
        <v>228</v>
      </c>
      <c r="B155" s="126">
        <v>450</v>
      </c>
      <c r="C155" s="77">
        <v>2.9748283800000001E-2</v>
      </c>
      <c r="D155" s="15">
        <v>538</v>
      </c>
      <c r="E155" s="32">
        <f t="shared" si="78"/>
        <v>0.19555555555555557</v>
      </c>
      <c r="F155" s="18">
        <f>IF(ISNUMBER(D155), $B172 * E155, "")</f>
        <v>19555.555555555558</v>
      </c>
      <c r="G155" s="31">
        <v>542</v>
      </c>
      <c r="H155" s="32">
        <f t="shared" si="79"/>
        <v>0.20444444444444446</v>
      </c>
      <c r="I155" s="101">
        <f>IF(ISNUMBER(G155), $B172 * H155, "")</f>
        <v>20444.444444444445</v>
      </c>
      <c r="J155" s="15">
        <v>516</v>
      </c>
      <c r="K155" s="32">
        <f t="shared" si="80"/>
        <v>0.14666666666666667</v>
      </c>
      <c r="L155" s="18">
        <f>IF(ISNUMBER(J155), $B172 * K155, "")</f>
        <v>14666.666666666666</v>
      </c>
      <c r="M155" s="31">
        <v>521</v>
      </c>
      <c r="N155" s="32">
        <f t="shared" si="81"/>
        <v>0.15777777777777777</v>
      </c>
      <c r="O155" s="18">
        <f>IF(ISNUMBER(M155), $B172 * N155, "")</f>
        <v>15777.777777777777</v>
      </c>
      <c r="Q155" s="227"/>
      <c r="R155" s="227"/>
      <c r="S155" s="227"/>
    </row>
    <row r="156" spans="1:19" ht="17.25" thickBot="1">
      <c r="A156" s="127" t="s">
        <v>51</v>
      </c>
      <c r="B156" s="128">
        <v>429</v>
      </c>
      <c r="C156" s="78">
        <v>2.6315789499999999E-2</v>
      </c>
      <c r="D156" s="20">
        <v>435</v>
      </c>
      <c r="E156" s="21">
        <f t="shared" si="78"/>
        <v>1.3986013986013986E-2</v>
      </c>
      <c r="F156" s="22">
        <f>IF(ISNUMBER(D156), $B172 * E156, "")</f>
        <v>1398.6013986013986</v>
      </c>
      <c r="G156" s="30">
        <v>439</v>
      </c>
      <c r="H156" s="21">
        <f t="shared" si="79"/>
        <v>2.3310023310023312E-2</v>
      </c>
      <c r="I156" s="105">
        <f>IF(ISNUMBER(G156), $B172 * H156, "")</f>
        <v>2331.0023310023312</v>
      </c>
      <c r="J156" s="20">
        <v>435</v>
      </c>
      <c r="K156" s="21">
        <f t="shared" si="80"/>
        <v>1.3986013986013986E-2</v>
      </c>
      <c r="L156" s="22">
        <f>IF(ISNUMBER(J156), $B172 * K156, "")</f>
        <v>1398.6013986013986</v>
      </c>
      <c r="M156" s="30">
        <v>435</v>
      </c>
      <c r="N156" s="21">
        <f t="shared" si="81"/>
        <v>1.3986013986013986E-2</v>
      </c>
      <c r="O156" s="22">
        <f>IF(ISNUMBER(M156), $B172 * N156, "")</f>
        <v>1398.6013986013986</v>
      </c>
      <c r="Q156" s="227"/>
      <c r="R156" s="227"/>
      <c r="S156" s="227"/>
    </row>
    <row r="157" spans="1:19" ht="17.25" thickBot="1">
      <c r="A157" s="125" t="s">
        <v>162</v>
      </c>
      <c r="B157" s="129">
        <v>121</v>
      </c>
      <c r="C157" s="80">
        <v>2.54237288E-2</v>
      </c>
      <c r="D157" s="106">
        <v>125</v>
      </c>
      <c r="E157" s="107">
        <f>IF(ISNUMBER(D157), (D157 - $B157) / $B157, "")</f>
        <v>3.3057851239669422E-2</v>
      </c>
      <c r="F157" s="108">
        <f>IF(ISNUMBER(D157), $B172 * E157, "")</f>
        <v>3305.7851239669421</v>
      </c>
      <c r="G157" s="109">
        <v>129</v>
      </c>
      <c r="H157" s="107">
        <f>IF(ISNUMBER(G157), (G157 - $B157) / $B157, "")</f>
        <v>6.6115702479338845E-2</v>
      </c>
      <c r="I157" s="110">
        <f>IF(ISNUMBER(G157), $B172 * H157, "")</f>
        <v>6611.5702479338843</v>
      </c>
      <c r="J157" s="106">
        <v>126</v>
      </c>
      <c r="K157" s="107">
        <f>IF(ISNUMBER(J157), (J157 - $B157) / $B157, "")</f>
        <v>4.1322314049586778E-2</v>
      </c>
      <c r="L157" s="108">
        <f>IF(ISNUMBER(J157), $B172 * K157, "")</f>
        <v>4132.2314049586776</v>
      </c>
      <c r="M157" s="109">
        <v>127</v>
      </c>
      <c r="N157" s="107">
        <f>IF(ISNUMBER(M157), (M157 - $B157) / $B157, "")</f>
        <v>4.9586776859504134E-2</v>
      </c>
      <c r="O157" s="108">
        <f>IF(ISNUMBER(M157), $B172 * N157, "")</f>
        <v>4958.6776859504134</v>
      </c>
      <c r="Q157" s="227"/>
      <c r="R157" s="227"/>
      <c r="S157" s="227"/>
    </row>
    <row r="158" spans="1:19" ht="17.25" thickBot="1">
      <c r="A158" s="125" t="s">
        <v>57</v>
      </c>
      <c r="B158" s="126">
        <v>240</v>
      </c>
      <c r="C158" s="77">
        <v>2.1276595700000001E-2</v>
      </c>
      <c r="D158" s="15">
        <v>246</v>
      </c>
      <c r="E158" s="32">
        <f t="shared" ref="E158:E161" si="82">IF(ISNUMBER(D158), (D158 - $B158) / $B158, "")</f>
        <v>2.5000000000000001E-2</v>
      </c>
      <c r="F158" s="18">
        <f>IF(ISNUMBER(D158), $B172 * E158, "")</f>
        <v>2500</v>
      </c>
      <c r="G158" s="31">
        <v>253</v>
      </c>
      <c r="H158" s="32">
        <f t="shared" ref="H158:H161" si="83">IF(ISNUMBER(G158), (G158 - $B158) / $B158, "")</f>
        <v>5.4166666666666669E-2</v>
      </c>
      <c r="I158" s="101">
        <f>IF(ISNUMBER(G158), $B172 * H158, "")</f>
        <v>5416.666666666667</v>
      </c>
      <c r="J158" s="15">
        <v>248</v>
      </c>
      <c r="K158" s="32">
        <f t="shared" ref="K158:K161" si="84">IF(ISNUMBER(J158), (J158 - $B158) / $B158, "")</f>
        <v>3.3333333333333333E-2</v>
      </c>
      <c r="L158" s="18">
        <f>IF(ISNUMBER(J158), $B172 * K158, "")</f>
        <v>3333.3333333333335</v>
      </c>
      <c r="M158" s="31">
        <v>251</v>
      </c>
      <c r="N158" s="32">
        <f t="shared" ref="N158:N161" si="85">IF(ISNUMBER(M158), (M158 - $B158) / $B158, "")</f>
        <v>4.583333333333333E-2</v>
      </c>
      <c r="O158" s="18">
        <f>IF(ISNUMBER(M158), $B172 * N158, "")</f>
        <v>4583.333333333333</v>
      </c>
      <c r="Q158" s="227"/>
      <c r="R158" s="227"/>
      <c r="S158" s="227"/>
    </row>
    <row r="159" spans="1:19" ht="17.25" thickBot="1">
      <c r="A159" s="125" t="s">
        <v>218</v>
      </c>
      <c r="B159" s="126">
        <v>151</v>
      </c>
      <c r="C159" s="77">
        <v>2.02702703E-2</v>
      </c>
      <c r="D159" s="15">
        <v>160</v>
      </c>
      <c r="E159" s="32">
        <f t="shared" si="82"/>
        <v>5.9602649006622516E-2</v>
      </c>
      <c r="F159" s="18">
        <f>IF(ISNUMBER(D159), $B172 * E159, "")</f>
        <v>5960.2649006622514</v>
      </c>
      <c r="G159" s="31">
        <v>179</v>
      </c>
      <c r="H159" s="32">
        <f t="shared" si="83"/>
        <v>0.18543046357615894</v>
      </c>
      <c r="I159" s="101">
        <f>IF(ISNUMBER(G159), $B172 * H159, "")</f>
        <v>18543.046357615895</v>
      </c>
      <c r="J159" s="15">
        <v>164</v>
      </c>
      <c r="K159" s="32">
        <f t="shared" si="84"/>
        <v>8.6092715231788075E-2</v>
      </c>
      <c r="L159" s="18">
        <f>IF(ISNUMBER(J159), $B172 * K159, "")</f>
        <v>8609.2715231788079</v>
      </c>
      <c r="M159" s="31">
        <v>166</v>
      </c>
      <c r="N159" s="32">
        <f t="shared" si="85"/>
        <v>9.9337748344370855E-2</v>
      </c>
      <c r="O159" s="18">
        <f>IF(ISNUMBER(M159), $B172 * N159, "")</f>
        <v>9933.7748344370848</v>
      </c>
      <c r="Q159" s="227"/>
      <c r="R159" s="227"/>
      <c r="S159" s="227"/>
    </row>
    <row r="160" spans="1:19" ht="17.25" thickBot="1">
      <c r="A160" s="125" t="s">
        <v>194</v>
      </c>
      <c r="B160" s="126">
        <v>152</v>
      </c>
      <c r="C160" s="77">
        <v>2.01342282E-2</v>
      </c>
      <c r="D160" s="15">
        <v>160</v>
      </c>
      <c r="E160" s="32">
        <f t="shared" si="82"/>
        <v>5.2631578947368418E-2</v>
      </c>
      <c r="F160" s="18">
        <f>IF(ISNUMBER(D160), $B172 * E160, "")</f>
        <v>5263.1578947368416</v>
      </c>
      <c r="G160" s="31">
        <v>164</v>
      </c>
      <c r="H160" s="32">
        <f t="shared" si="83"/>
        <v>7.8947368421052627E-2</v>
      </c>
      <c r="I160" s="101">
        <f>IF(ISNUMBER(G160), $B172 * H160, "")</f>
        <v>7894.7368421052624</v>
      </c>
      <c r="J160" s="15">
        <v>159</v>
      </c>
      <c r="K160" s="32">
        <f t="shared" si="84"/>
        <v>4.6052631578947366E-2</v>
      </c>
      <c r="L160" s="18">
        <f>IF(ISNUMBER(J160), $B172 * K160, "")</f>
        <v>4605.2631578947367</v>
      </c>
      <c r="M160" s="31">
        <v>163</v>
      </c>
      <c r="N160" s="32">
        <f t="shared" si="85"/>
        <v>7.2368421052631582E-2</v>
      </c>
      <c r="O160" s="18">
        <f>IF(ISNUMBER(M160), $B172 * N160, "")</f>
        <v>7236.8421052631584</v>
      </c>
      <c r="Q160" s="33"/>
      <c r="R160" s="33"/>
    </row>
    <row r="161" spans="1:19" ht="17.25" thickBot="1">
      <c r="A161" s="130" t="s">
        <v>86</v>
      </c>
      <c r="B161" s="131">
        <v>454</v>
      </c>
      <c r="C161" s="79">
        <v>1.79372197E-2</v>
      </c>
      <c r="D161" s="24">
        <v>466</v>
      </c>
      <c r="E161" s="25">
        <f t="shared" si="82"/>
        <v>2.643171806167401E-2</v>
      </c>
      <c r="F161" s="104">
        <f>IF(ISNUMBER(D161), $B172 * E161, "")</f>
        <v>2643.171806167401</v>
      </c>
      <c r="G161" s="102">
        <v>500</v>
      </c>
      <c r="H161" s="25">
        <f t="shared" si="83"/>
        <v>0.1013215859030837</v>
      </c>
      <c r="I161" s="103">
        <f>IF(ISNUMBER(G161), $B172 * H161, "")</f>
        <v>10132.158590308371</v>
      </c>
      <c r="J161" s="24">
        <v>492</v>
      </c>
      <c r="K161" s="25">
        <f t="shared" si="84"/>
        <v>8.3700440528634359E-2</v>
      </c>
      <c r="L161" s="104">
        <f>IF(ISNUMBER(J161), $B172 * K161, "")</f>
        <v>8370.0440528634354</v>
      </c>
      <c r="M161" s="102">
        <v>483</v>
      </c>
      <c r="N161" s="25">
        <f t="shared" si="85"/>
        <v>6.3876651982378851E-2</v>
      </c>
      <c r="O161" s="104">
        <f>IF(ISNUMBER(M161), $B172 * N161, "")</f>
        <v>6387.6651982378853</v>
      </c>
      <c r="Q161" s="236"/>
      <c r="R161" s="237"/>
      <c r="S161" s="238"/>
    </row>
    <row r="162" spans="1:19">
      <c r="A162" s="123" t="s">
        <v>152</v>
      </c>
      <c r="B162" s="124">
        <v>117</v>
      </c>
      <c r="C162" s="76">
        <v>1.73913043E-2</v>
      </c>
      <c r="D162" s="13">
        <v>117</v>
      </c>
      <c r="E162" s="14">
        <f>IF(ISNUMBER(D162), (D162 - $B162) / $B162, "")</f>
        <v>0</v>
      </c>
      <c r="F162" s="16">
        <f>IF(ISNUMBER(D162), $B172 * E162, "")</f>
        <v>0</v>
      </c>
      <c r="G162" s="29">
        <v>120</v>
      </c>
      <c r="H162" s="14">
        <f>IF(ISNUMBER(G162), (G162 - $B162) / $B162, "")</f>
        <v>2.564102564102564E-2</v>
      </c>
      <c r="I162" s="100">
        <f>IF(ISNUMBER(G162), $B172 * H162, "")</f>
        <v>2564.102564102564</v>
      </c>
      <c r="J162" s="13">
        <v>118</v>
      </c>
      <c r="K162" s="14">
        <f>IF(ISNUMBER(J162), (J162 - $B162) / $B162, "")</f>
        <v>8.5470085470085479E-3</v>
      </c>
      <c r="L162" s="16">
        <f>IF(ISNUMBER(J162), $B172 * K162, "")</f>
        <v>854.70085470085473</v>
      </c>
      <c r="M162" s="29">
        <v>118</v>
      </c>
      <c r="N162" s="14">
        <f>IF(ISNUMBER(M162), (M162 - $B162) / $B162, "")</f>
        <v>8.5470085470085479E-3</v>
      </c>
      <c r="O162" s="16">
        <f>IF(ISNUMBER(M162), $B172 * N162, "")</f>
        <v>854.70085470085473</v>
      </c>
      <c r="Q162" s="239"/>
      <c r="R162" s="240"/>
      <c r="S162" s="241"/>
    </row>
    <row r="163" spans="1:19" ht="17.25" thickBot="1">
      <c r="A163" s="125" t="s">
        <v>144</v>
      </c>
      <c r="B163" s="126">
        <v>125</v>
      </c>
      <c r="C163" s="77">
        <v>1.6260162599999999E-2</v>
      </c>
      <c r="D163" s="15">
        <v>132</v>
      </c>
      <c r="E163" s="32">
        <f t="shared" ref="E163:E166" si="86">IF(ISNUMBER(D163), (D163 - $B163) / $B163, "")</f>
        <v>5.6000000000000001E-2</v>
      </c>
      <c r="F163" s="18">
        <f>IF(ISNUMBER(D163), $B172 * E163, "")</f>
        <v>5600</v>
      </c>
      <c r="G163" s="31">
        <v>137</v>
      </c>
      <c r="H163" s="32">
        <f t="shared" ref="H163:H166" si="87">IF(ISNUMBER(G163), (G163 - $B163) / $B163, "")</f>
        <v>9.6000000000000002E-2</v>
      </c>
      <c r="I163" s="101">
        <f>IF(ISNUMBER(G163), $B172 * H163, "")</f>
        <v>9600</v>
      </c>
      <c r="J163" s="15">
        <v>132</v>
      </c>
      <c r="K163" s="32">
        <f t="shared" ref="K163:K166" si="88">IF(ISNUMBER(J163), (J163 - $B163) / $B163, "")</f>
        <v>5.6000000000000001E-2</v>
      </c>
      <c r="L163" s="18">
        <f>IF(ISNUMBER(J163), $B172 * K163, "")</f>
        <v>5600</v>
      </c>
      <c r="M163" s="31">
        <v>134</v>
      </c>
      <c r="N163" s="32">
        <f t="shared" ref="N163:N166" si="89">IF(ISNUMBER(M163), (M163 - $B163) / $B163, "")</f>
        <v>7.1999999999999995E-2</v>
      </c>
      <c r="O163" s="18">
        <f>IF(ISNUMBER(M163), $B172 * N163, "")</f>
        <v>7199.9999999999991</v>
      </c>
      <c r="Q163" s="242"/>
      <c r="R163" s="243"/>
      <c r="S163" s="244"/>
    </row>
    <row r="164" spans="1:19" ht="17.25" thickBot="1">
      <c r="A164" s="125" t="s">
        <v>110</v>
      </c>
      <c r="B164" s="126">
        <v>204</v>
      </c>
      <c r="C164" s="77">
        <v>1.49253731E-2</v>
      </c>
      <c r="D164" s="15">
        <v>214</v>
      </c>
      <c r="E164" s="32">
        <f t="shared" si="86"/>
        <v>4.9019607843137254E-2</v>
      </c>
      <c r="F164" s="18">
        <f>IF(ISNUMBER(D164), $B172 * E164, "")</f>
        <v>4901.9607843137255</v>
      </c>
      <c r="G164" s="31">
        <v>215</v>
      </c>
      <c r="H164" s="32">
        <f t="shared" si="87"/>
        <v>5.3921568627450983E-2</v>
      </c>
      <c r="I164" s="101">
        <f>IF(ISNUMBER(G164), $B172 * H164, "")</f>
        <v>5392.1568627450979</v>
      </c>
      <c r="J164" s="15">
        <v>210</v>
      </c>
      <c r="K164" s="32">
        <f t="shared" si="88"/>
        <v>2.9411764705882353E-2</v>
      </c>
      <c r="L164" s="18">
        <f>IF(ISNUMBER(J164), $B172 * K164, "")</f>
        <v>2941.1764705882351</v>
      </c>
      <c r="M164" s="31">
        <v>221</v>
      </c>
      <c r="N164" s="32">
        <f t="shared" si="89"/>
        <v>8.3333333333333329E-2</v>
      </c>
      <c r="O164" s="18">
        <f>IF(ISNUMBER(M164), $B172 * N164, "")</f>
        <v>8333.3333333333321</v>
      </c>
      <c r="Q164" s="227"/>
      <c r="R164" s="227"/>
      <c r="S164" s="227"/>
    </row>
    <row r="165" spans="1:19" ht="17.25" thickBot="1">
      <c r="A165" s="125" t="s">
        <v>266</v>
      </c>
      <c r="B165" s="126">
        <v>348</v>
      </c>
      <c r="C165" s="77">
        <v>1.45772595E-2</v>
      </c>
      <c r="D165" s="15">
        <v>342</v>
      </c>
      <c r="E165" s="32">
        <f t="shared" si="86"/>
        <v>-1.7241379310344827E-2</v>
      </c>
      <c r="F165" s="18">
        <f>IF(ISNUMBER(D165), $B172 * E165, "")</f>
        <v>-1724.1379310344828</v>
      </c>
      <c r="G165" s="31">
        <v>347</v>
      </c>
      <c r="H165" s="32">
        <f t="shared" si="87"/>
        <v>-2.8735632183908046E-3</v>
      </c>
      <c r="I165" s="101">
        <f>IF(ISNUMBER(G165), $B172 * H165, "")</f>
        <v>-287.35632183908046</v>
      </c>
      <c r="J165" s="15">
        <v>343</v>
      </c>
      <c r="K165" s="32">
        <f t="shared" si="88"/>
        <v>-1.4367816091954023E-2</v>
      </c>
      <c r="L165" s="18">
        <f>IF(ISNUMBER(J165), $B172 * K165, "")</f>
        <v>-1436.7816091954023</v>
      </c>
      <c r="M165" s="31">
        <v>354</v>
      </c>
      <c r="N165" s="32">
        <f t="shared" si="89"/>
        <v>1.7241379310344827E-2</v>
      </c>
      <c r="O165" s="18">
        <f>IF(ISNUMBER(M165), $B172 * N165, "")</f>
        <v>1724.1379310344828</v>
      </c>
      <c r="Q165" s="222"/>
      <c r="R165" s="222"/>
      <c r="S165" s="222"/>
    </row>
    <row r="166" spans="1:19" ht="17.25" thickBot="1">
      <c r="A166" s="127" t="s">
        <v>220</v>
      </c>
      <c r="B166" s="128">
        <v>237</v>
      </c>
      <c r="C166" s="78">
        <v>1.2820512799999999E-2</v>
      </c>
      <c r="D166" s="20">
        <v>256</v>
      </c>
      <c r="E166" s="21">
        <f t="shared" si="86"/>
        <v>8.0168776371308023E-2</v>
      </c>
      <c r="F166" s="22">
        <f>IF(ISNUMBER(D166), $B172 * E166, "")</f>
        <v>8016.8776371308022</v>
      </c>
      <c r="G166" s="30">
        <v>256</v>
      </c>
      <c r="H166" s="21">
        <f t="shared" si="87"/>
        <v>8.0168776371308023E-2</v>
      </c>
      <c r="I166" s="105">
        <f>IF(ISNUMBER(G166), $B172 * H166, "")</f>
        <v>8016.8776371308022</v>
      </c>
      <c r="J166" s="20">
        <v>248</v>
      </c>
      <c r="K166" s="21">
        <f t="shared" si="88"/>
        <v>4.6413502109704644E-2</v>
      </c>
      <c r="L166" s="22">
        <f>IF(ISNUMBER(J166), $B172 * K166, "")</f>
        <v>4641.3502109704641</v>
      </c>
      <c r="M166" s="30">
        <v>251</v>
      </c>
      <c r="N166" s="21">
        <f t="shared" si="89"/>
        <v>5.9071729957805907E-2</v>
      </c>
      <c r="O166" s="22">
        <f>IF(ISNUMBER(M166), $B172 * N166, "")</f>
        <v>5907.172995780591</v>
      </c>
      <c r="Q166" s="222"/>
      <c r="R166" s="222"/>
      <c r="S166" s="222"/>
    </row>
    <row r="167" spans="1:19" ht="17.25" thickBot="1">
      <c r="A167" s="125" t="s">
        <v>222</v>
      </c>
      <c r="B167" s="129">
        <v>191</v>
      </c>
      <c r="C167" s="80">
        <v>1.05820106E-2</v>
      </c>
      <c r="D167" s="106">
        <v>203</v>
      </c>
      <c r="E167" s="107">
        <f>IF(ISNUMBER(D167), (D167 - $B167) / $B167, "")</f>
        <v>6.2827225130890049E-2</v>
      </c>
      <c r="F167" s="108">
        <f>IF(ISNUMBER(D167), $B172 * E167, "")</f>
        <v>6282.7225130890047</v>
      </c>
      <c r="G167" s="109">
        <v>211</v>
      </c>
      <c r="H167" s="107">
        <f>IF(ISNUMBER(G167), (G167 - $B167) / $B167, "")</f>
        <v>0.10471204188481675</v>
      </c>
      <c r="I167" s="110">
        <f>IF(ISNUMBER(G167), $B172 * H167, "")</f>
        <v>10471.204188481675</v>
      </c>
      <c r="J167" s="106">
        <v>209</v>
      </c>
      <c r="K167" s="107">
        <f>IF(ISNUMBER(J167), (J167 - $B167) / $B167, "")</f>
        <v>9.4240837696335081E-2</v>
      </c>
      <c r="L167" s="108">
        <f>IF(ISNUMBER(J167), $B172 * K167, "")</f>
        <v>9424.0837696335075</v>
      </c>
      <c r="M167" s="109">
        <v>213</v>
      </c>
      <c r="N167" s="107">
        <f>IF(ISNUMBER(M167), (M167 - $B167) / $B167, "")</f>
        <v>0.11518324607329843</v>
      </c>
      <c r="O167" s="108">
        <f>IF(ISNUMBER(M167), $B172 * N167, "")</f>
        <v>11518.324607329843</v>
      </c>
      <c r="Q167" s="227"/>
      <c r="R167" s="227"/>
      <c r="S167" s="227"/>
    </row>
    <row r="168" spans="1:19" ht="17.25" thickBot="1">
      <c r="A168" s="125" t="s">
        <v>166</v>
      </c>
      <c r="B168" s="126">
        <v>267</v>
      </c>
      <c r="C168" s="77">
        <v>7.5471697999999997E-3</v>
      </c>
      <c r="D168" s="15">
        <v>279</v>
      </c>
      <c r="E168" s="32">
        <f t="shared" ref="E168:E171" si="90">IF(ISNUMBER(D168), (D168 - $B168) / $B168, "")</f>
        <v>4.49438202247191E-2</v>
      </c>
      <c r="F168" s="18">
        <f>IF(ISNUMBER(D168), $B172 * E168, "")</f>
        <v>4494.3820224719102</v>
      </c>
      <c r="G168" s="31">
        <v>281</v>
      </c>
      <c r="H168" s="32">
        <f t="shared" ref="H168:H171" si="91">IF(ISNUMBER(G168), (G168 - $B168) / $B168, "")</f>
        <v>5.2434456928838954E-2</v>
      </c>
      <c r="I168" s="101">
        <f>IF(ISNUMBER(G168), $B172 * H168, "")</f>
        <v>5243.4456928838954</v>
      </c>
      <c r="J168" s="15">
        <v>274</v>
      </c>
      <c r="K168" s="32">
        <f t="shared" ref="K168:K171" si="92">IF(ISNUMBER(J168), (J168 - $B168) / $B168, "")</f>
        <v>2.6217228464419477E-2</v>
      </c>
      <c r="L168" s="18">
        <f>IF(ISNUMBER(J168), $B172 * K168, "")</f>
        <v>2621.7228464419477</v>
      </c>
      <c r="M168" s="31">
        <v>281</v>
      </c>
      <c r="N168" s="32">
        <f t="shared" ref="N168:N171" si="93">IF(ISNUMBER(M168), (M168 - $B168) / $B168, "")</f>
        <v>5.2434456928838954E-2</v>
      </c>
      <c r="O168" s="18">
        <f>IF(ISNUMBER(M168), $B172 * N168, "")</f>
        <v>5243.4456928838954</v>
      </c>
      <c r="Q168" s="227"/>
      <c r="R168" s="227"/>
      <c r="S168" s="227"/>
    </row>
    <row r="169" spans="1:19" ht="17.25" thickBot="1">
      <c r="A169" s="125" t="s">
        <v>128</v>
      </c>
      <c r="B169" s="126">
        <v>167</v>
      </c>
      <c r="C169" s="77">
        <v>6.0240963999999998E-3</v>
      </c>
      <c r="D169" s="15">
        <v>168</v>
      </c>
      <c r="E169" s="32">
        <f t="shared" si="90"/>
        <v>5.9880239520958087E-3</v>
      </c>
      <c r="F169" s="18">
        <f>IF(ISNUMBER(D169), $B172 * E169, "")</f>
        <v>598.80239520958082</v>
      </c>
      <c r="G169" s="31">
        <v>175</v>
      </c>
      <c r="H169" s="32">
        <f t="shared" si="91"/>
        <v>4.790419161676647E-2</v>
      </c>
      <c r="I169" s="101">
        <f>IF(ISNUMBER(G169), $B172 * H169, "")</f>
        <v>4790.4191616766466</v>
      </c>
      <c r="J169" s="15">
        <v>172</v>
      </c>
      <c r="K169" s="32">
        <f t="shared" si="92"/>
        <v>2.9940119760479042E-2</v>
      </c>
      <c r="L169" s="18">
        <f>IF(ISNUMBER(J169), $B172 * K169, "")</f>
        <v>2994.0119760479042</v>
      </c>
      <c r="M169" s="31">
        <v>171</v>
      </c>
      <c r="N169" s="32">
        <f t="shared" si="93"/>
        <v>2.3952095808383235E-2</v>
      </c>
      <c r="O169" s="18">
        <f>IF(ISNUMBER(M169), $B172 * N169, "")</f>
        <v>2395.2095808383233</v>
      </c>
      <c r="Q169" s="227"/>
      <c r="R169" s="227"/>
      <c r="S169" s="227"/>
    </row>
    <row r="170" spans="1:19">
      <c r="A170" s="125" t="s">
        <v>54</v>
      </c>
      <c r="B170" s="126">
        <v>318</v>
      </c>
      <c r="C170" s="77">
        <v>0</v>
      </c>
      <c r="D170" s="15">
        <v>331</v>
      </c>
      <c r="E170" s="32">
        <f t="shared" si="90"/>
        <v>4.0880503144654086E-2</v>
      </c>
      <c r="F170" s="18">
        <f>IF(ISNUMBER(D170), $B172 * E170, "")</f>
        <v>4088.0503144654085</v>
      </c>
      <c r="G170" s="31">
        <v>330</v>
      </c>
      <c r="H170" s="32">
        <f t="shared" si="91"/>
        <v>3.7735849056603772E-2</v>
      </c>
      <c r="I170" s="101">
        <f>IF(ISNUMBER(G170), $B172 * H170, "")</f>
        <v>3773.584905660377</v>
      </c>
      <c r="J170" s="15">
        <v>329</v>
      </c>
      <c r="K170" s="32">
        <f t="shared" si="92"/>
        <v>3.4591194968553458E-2</v>
      </c>
      <c r="L170" s="18">
        <f>IF(ISNUMBER(J170), $B172 * K170, "")</f>
        <v>3459.1194968553459</v>
      </c>
      <c r="M170" s="31">
        <v>339</v>
      </c>
      <c r="N170" s="32">
        <f t="shared" si="93"/>
        <v>6.6037735849056603E-2</v>
      </c>
      <c r="O170" s="18">
        <f>IF(ISNUMBER(M170), $B172 * N170, "")</f>
        <v>6603.7735849056598</v>
      </c>
      <c r="Q170" s="249"/>
      <c r="R170" s="250"/>
      <c r="S170" s="251"/>
    </row>
    <row r="171" spans="1:19" ht="17.25" thickBot="1">
      <c r="A171" s="130" t="s">
        <v>230</v>
      </c>
      <c r="B171" s="131">
        <v>416</v>
      </c>
      <c r="C171" s="79">
        <v>-2.8037383200000002E-2</v>
      </c>
      <c r="D171" s="24">
        <v>412</v>
      </c>
      <c r="E171" s="25">
        <f t="shared" si="90"/>
        <v>-9.6153846153846159E-3</v>
      </c>
      <c r="F171" s="104">
        <f>IF(ISNUMBER(D171), $B172 * E171, "")</f>
        <v>-961.53846153846155</v>
      </c>
      <c r="G171" s="102">
        <v>415</v>
      </c>
      <c r="H171" s="25">
        <f t="shared" si="91"/>
        <v>-2.403846153846154E-3</v>
      </c>
      <c r="I171" s="103">
        <f>IF(ISNUMBER(G171), $B172 * H171, "")</f>
        <v>-240.38461538461539</v>
      </c>
      <c r="J171" s="24">
        <v>413</v>
      </c>
      <c r="K171" s="25">
        <f t="shared" si="92"/>
        <v>-7.2115384615384619E-3</v>
      </c>
      <c r="L171" s="104">
        <f>IF(ISNUMBER(J171), $B172 * K171, "")</f>
        <v>-721.15384615384619</v>
      </c>
      <c r="M171" s="102">
        <v>417</v>
      </c>
      <c r="N171" s="25">
        <f t="shared" si="93"/>
        <v>2.403846153846154E-3</v>
      </c>
      <c r="O171" s="104">
        <f>IF(ISNUMBER(M171), $B172 * N171, "")</f>
        <v>240.38461538461539</v>
      </c>
      <c r="Q171" s="252"/>
      <c r="R171" s="253"/>
      <c r="S171" s="254"/>
    </row>
    <row r="172" spans="1:19" ht="17.25" thickBot="1">
      <c r="A172" s="132" t="s">
        <v>270</v>
      </c>
      <c r="B172" s="260">
        <f>$B$37</f>
        <v>100000</v>
      </c>
      <c r="C172" s="261"/>
      <c r="D172" s="26" t="s">
        <v>271</v>
      </c>
      <c r="E172" s="27">
        <f>IF(COUNT(E152:E171), SUM(E152:E171) / COUNT(E152:E171), 0)</f>
        <v>5.4972697078026912E-2</v>
      </c>
      <c r="F172" s="28">
        <f>SUM(F152:F171)</f>
        <v>109945.39415605379</v>
      </c>
      <c r="G172" s="26" t="s">
        <v>271</v>
      </c>
      <c r="H172" s="27">
        <f>IF(COUNT(H152:H171), SUM(H152:H171) / COUNT(H152:H171), 0)</f>
        <v>0.10191151972192045</v>
      </c>
      <c r="I172" s="28">
        <f>SUM(I152:I171)</f>
        <v>203823.03944384083</v>
      </c>
      <c r="J172" s="26" t="s">
        <v>271</v>
      </c>
      <c r="K172" s="27">
        <f>IF(COUNT(K152:K171), SUM(K152:K171) / COUNT(K152:K171), 0)</f>
        <v>6.9794764836241918E-2</v>
      </c>
      <c r="L172" s="28">
        <f>SUM(L152:L171)</f>
        <v>139589.52967248383</v>
      </c>
      <c r="M172" s="26" t="s">
        <v>271</v>
      </c>
      <c r="N172" s="27">
        <f>IF(COUNT(N152:N171), SUM(N152:N171) / COUNT(N152:N171), 0)</f>
        <v>9.2388960439543311E-2</v>
      </c>
      <c r="O172" s="28">
        <f>SUM(O152:O171)</f>
        <v>184777.92087908665</v>
      </c>
      <c r="Q172" s="255"/>
      <c r="R172" s="256"/>
      <c r="S172" s="257"/>
    </row>
    <row r="174" spans="1:19" ht="17.25" thickBot="1"/>
    <row r="175" spans="1:19" ht="17.25" thickBot="1">
      <c r="A175" s="201" t="s">
        <v>255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69" t="s">
        <v>267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55149000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2.1442459999999998E-3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2021-09-04(토) 오전 00:00</v>
      </c>
      <c r="C177" s="265"/>
      <c r="D177" s="224" t="str">
        <f>TEXT($G$1, "[$-ko-KR]yyyy-mm-dd(ddd) ") &amp; "오후 14:00"</f>
        <v>2021-09-04(토) 오후 14:00</v>
      </c>
      <c r="E177" s="225"/>
      <c r="F177" s="226"/>
      <c r="G177" s="224" t="str">
        <f>TEXT($G$1, "[$-ko-KR]yyyy-mm-dd(ddd) ") &amp; "오후 19:00"</f>
        <v>2021-09-04(토) 오후 19:00</v>
      </c>
      <c r="H177" s="225"/>
      <c r="I177" s="226"/>
      <c r="J177" s="224" t="str">
        <f>TEXT($G$1, "[$-ko-KR]yyyy-mm-dd(ddd) ") &amp; "오후 21:00"</f>
        <v>2021-09-04(토) 오후 21:00</v>
      </c>
      <c r="K177" s="225"/>
      <c r="L177" s="226"/>
      <c r="M177" s="224" t="str">
        <f>TEXT($G$1+1, "[$-ko-KR]yyyy-mm-dd(ddd) ") &amp; "오전 00:00"</f>
        <v>2021-09-05(일)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7"/>
      <c r="R178" s="227"/>
      <c r="S178" s="227"/>
    </row>
    <row r="179" spans="1:19" ht="17.25" thickBot="1">
      <c r="A179" s="123" t="s">
        <v>82</v>
      </c>
      <c r="B179" s="124">
        <v>3465</v>
      </c>
      <c r="C179" s="76">
        <v>8.7336245000000003E-3</v>
      </c>
      <c r="D179" s="13">
        <v>3400</v>
      </c>
      <c r="E179" s="14">
        <f>IF(ISNUMBER(D179), (D179 - $B179) / $B179, "")</f>
        <v>-1.875901875901876E-2</v>
      </c>
      <c r="F179" s="16">
        <f>IF(ISNUMBER(D179), $B199 * E179, "")</f>
        <v>-1875.9018759018759</v>
      </c>
      <c r="G179" s="29">
        <v>3395</v>
      </c>
      <c r="H179" s="14">
        <f>IF(ISNUMBER(G179), (G179 - $B179) / $B179, "")</f>
        <v>-2.0202020202020204E-2</v>
      </c>
      <c r="I179" s="100">
        <f>IF(ISNUMBER(G179), $B199 * H179, "")</f>
        <v>-2020.2020202020203</v>
      </c>
      <c r="J179" s="13">
        <v>3375</v>
      </c>
      <c r="K179" s="14">
        <f>IF(ISNUMBER(J179), (J179 - $B179) / $B179, "")</f>
        <v>-2.5974025974025976E-2</v>
      </c>
      <c r="L179" s="16">
        <f>IF(ISNUMBER(J179), $B199 * K179, "")</f>
        <v>-2597.4025974025976</v>
      </c>
      <c r="M179" s="29">
        <v>3375</v>
      </c>
      <c r="N179" s="14">
        <f>IF(ISNUMBER(M179), (M179 - $B179) / $B179, "")</f>
        <v>-2.5974025974025976E-2</v>
      </c>
      <c r="O179" s="16">
        <f>IF(ISNUMBER(M179), $B199 * N179, "")</f>
        <v>-2597.4025974025976</v>
      </c>
      <c r="Q179" s="222"/>
      <c r="R179" s="222"/>
      <c r="S179" s="222"/>
    </row>
    <row r="180" spans="1:19" ht="17.25" thickBot="1">
      <c r="A180" s="125" t="s">
        <v>246</v>
      </c>
      <c r="B180" s="126">
        <v>9860</v>
      </c>
      <c r="C180" s="77">
        <v>8.6956522000000008E-3</v>
      </c>
      <c r="D180" s="15">
        <v>10360</v>
      </c>
      <c r="E180" s="32">
        <f t="shared" ref="E180:E183" si="94">IF(ISNUMBER(D180), (D180 - $B180) / $B180, "")</f>
        <v>5.0709939148073022E-2</v>
      </c>
      <c r="F180" s="18">
        <f>IF(ISNUMBER(D180), $B199 * E180, "")</f>
        <v>5070.9939148073017</v>
      </c>
      <c r="G180" s="31">
        <v>10490</v>
      </c>
      <c r="H180" s="32">
        <f t="shared" ref="H180:H183" si="95">IF(ISNUMBER(G180), (G180 - $B180) / $B180, "")</f>
        <v>6.3894523326572014E-2</v>
      </c>
      <c r="I180" s="101">
        <f>IF(ISNUMBER(G180), $B199 * H180, "")</f>
        <v>6389.4523326572016</v>
      </c>
      <c r="J180" s="15">
        <v>10240</v>
      </c>
      <c r="K180" s="32">
        <f t="shared" ref="K180:K183" si="96">IF(ISNUMBER(J180), (J180 - $B180) / $B180, "")</f>
        <v>3.8539553752535496E-2</v>
      </c>
      <c r="L180" s="18">
        <f>IF(ISNUMBER(J180), $B199 * K180, "")</f>
        <v>3853.9553752535498</v>
      </c>
      <c r="M180" s="31">
        <v>10420</v>
      </c>
      <c r="N180" s="32">
        <f t="shared" ref="N180:N183" si="97">IF(ISNUMBER(M180), (M180 - $B180) / $B180, "")</f>
        <v>5.6795131845841784E-2</v>
      </c>
      <c r="O180" s="18">
        <f>IF(ISNUMBER(M180), $B199 * N180, "")</f>
        <v>5679.5131845841788</v>
      </c>
      <c r="Q180" s="222"/>
      <c r="R180" s="222"/>
      <c r="S180" s="222"/>
    </row>
    <row r="181" spans="1:19" ht="17.25" thickBot="1">
      <c r="A181" s="125" t="s">
        <v>216</v>
      </c>
      <c r="B181" s="126">
        <v>12.3</v>
      </c>
      <c r="C181" s="77">
        <v>8.1967212999999994E-3</v>
      </c>
      <c r="D181" s="15">
        <v>13</v>
      </c>
      <c r="E181" s="32">
        <f t="shared" si="94"/>
        <v>5.6910569105690999E-2</v>
      </c>
      <c r="F181" s="18">
        <f>IF(ISNUMBER(D181), $B199 * E181, "")</f>
        <v>5691.0569105691002</v>
      </c>
      <c r="G181" s="31">
        <v>13.2</v>
      </c>
      <c r="H181" s="32">
        <f t="shared" si="95"/>
        <v>7.3170731707316958E-2</v>
      </c>
      <c r="I181" s="101">
        <f>IF(ISNUMBER(G181), $B199 * H181, "")</f>
        <v>7317.0731707316954</v>
      </c>
      <c r="J181" s="15">
        <v>12.9</v>
      </c>
      <c r="K181" s="32">
        <f t="shared" si="96"/>
        <v>4.8780487804878016E-2</v>
      </c>
      <c r="L181" s="18">
        <f>IF(ISNUMBER(J181), $B199 * K181, "")</f>
        <v>4878.0487804878012</v>
      </c>
      <c r="M181" s="31">
        <v>13.2</v>
      </c>
      <c r="N181" s="32">
        <f t="shared" si="97"/>
        <v>7.3170731707316958E-2</v>
      </c>
      <c r="O181" s="18">
        <f>IF(ISNUMBER(M181), $B199 * N181, "")</f>
        <v>7317.0731707316954</v>
      </c>
      <c r="Q181" s="227"/>
      <c r="R181" s="227"/>
      <c r="S181" s="227"/>
    </row>
    <row r="182" spans="1:19" ht="17.25" thickBot="1">
      <c r="A182" s="125" t="s">
        <v>166</v>
      </c>
      <c r="B182" s="126">
        <v>267</v>
      </c>
      <c r="C182" s="77">
        <v>7.5471697999999997E-3</v>
      </c>
      <c r="D182" s="15">
        <v>279</v>
      </c>
      <c r="E182" s="32">
        <f t="shared" si="94"/>
        <v>4.49438202247191E-2</v>
      </c>
      <c r="F182" s="18">
        <f>IF(ISNUMBER(D182), $B199 * E182, "")</f>
        <v>4494.3820224719102</v>
      </c>
      <c r="G182" s="31">
        <v>281</v>
      </c>
      <c r="H182" s="32">
        <f t="shared" si="95"/>
        <v>5.2434456928838954E-2</v>
      </c>
      <c r="I182" s="101">
        <f>IF(ISNUMBER(G182), $B199 * H182, "")</f>
        <v>5243.4456928838954</v>
      </c>
      <c r="J182" s="15">
        <v>274</v>
      </c>
      <c r="K182" s="32">
        <f t="shared" si="96"/>
        <v>2.6217228464419477E-2</v>
      </c>
      <c r="L182" s="18">
        <f>IF(ISNUMBER(J182), $B199 * K182, "")</f>
        <v>2621.7228464419477</v>
      </c>
      <c r="M182" s="31">
        <v>281</v>
      </c>
      <c r="N182" s="32">
        <f t="shared" si="97"/>
        <v>5.2434456928838954E-2</v>
      </c>
      <c r="O182" s="18">
        <f>IF(ISNUMBER(M182), $B199 * N182, "")</f>
        <v>5243.4456928838954</v>
      </c>
      <c r="Q182" s="227"/>
      <c r="R182" s="227"/>
      <c r="S182" s="227"/>
    </row>
    <row r="183" spans="1:19" ht="17.25" thickBot="1">
      <c r="A183" s="127" t="s">
        <v>102</v>
      </c>
      <c r="B183" s="128">
        <v>1360</v>
      </c>
      <c r="C183" s="78">
        <v>7.4074073999999997E-3</v>
      </c>
      <c r="D183" s="20">
        <v>1385</v>
      </c>
      <c r="E183" s="21">
        <f t="shared" si="94"/>
        <v>1.8382352941176471E-2</v>
      </c>
      <c r="F183" s="22">
        <f>IF(ISNUMBER(D183), $B199 * E183, "")</f>
        <v>1838.2352941176471</v>
      </c>
      <c r="G183" s="30">
        <v>1410</v>
      </c>
      <c r="H183" s="21">
        <f t="shared" si="95"/>
        <v>3.6764705882352942E-2</v>
      </c>
      <c r="I183" s="105">
        <f>IF(ISNUMBER(G183), $B199 * H183, "")</f>
        <v>3676.4705882352941</v>
      </c>
      <c r="J183" s="20">
        <v>1405</v>
      </c>
      <c r="K183" s="21">
        <f t="shared" si="96"/>
        <v>3.3088235294117647E-2</v>
      </c>
      <c r="L183" s="22">
        <f>IF(ISNUMBER(J183), $B199 * K183, "")</f>
        <v>3308.8235294117649</v>
      </c>
      <c r="M183" s="30">
        <v>1405</v>
      </c>
      <c r="N183" s="21">
        <f t="shared" si="97"/>
        <v>3.3088235294117647E-2</v>
      </c>
      <c r="O183" s="22">
        <f>IF(ISNUMBER(M183), $B199 * N183, "")</f>
        <v>3308.8235294117649</v>
      </c>
      <c r="Q183" s="227"/>
      <c r="R183" s="227"/>
      <c r="S183" s="227"/>
    </row>
    <row r="184" spans="1:19" ht="17.25" thickBot="1">
      <c r="A184" s="125" t="s">
        <v>184</v>
      </c>
      <c r="B184" s="129">
        <v>1360</v>
      </c>
      <c r="C184" s="80">
        <v>7.4074073999999997E-3</v>
      </c>
      <c r="D184" s="106">
        <v>1435</v>
      </c>
      <c r="E184" s="107">
        <f>IF(ISNUMBER(D184), (D184 - $B184) / $B184, "")</f>
        <v>5.514705882352941E-2</v>
      </c>
      <c r="F184" s="108">
        <f>IF(ISNUMBER(D184), $B199 * E184, "")</f>
        <v>5514.7058823529414</v>
      </c>
      <c r="G184" s="109">
        <v>1465</v>
      </c>
      <c r="H184" s="107">
        <f>IF(ISNUMBER(G184), (G184 - $B184) / $B184, "")</f>
        <v>7.720588235294118E-2</v>
      </c>
      <c r="I184" s="110">
        <f>IF(ISNUMBER(G184), $B199 * H184, "")</f>
        <v>7720.588235294118</v>
      </c>
      <c r="J184" s="106">
        <v>1450</v>
      </c>
      <c r="K184" s="107">
        <f>IF(ISNUMBER(J184), (J184 - $B184) / $B184, "")</f>
        <v>6.6176470588235295E-2</v>
      </c>
      <c r="L184" s="108">
        <f>IF(ISNUMBER(J184), $B199 * K184, "")</f>
        <v>6617.6470588235297</v>
      </c>
      <c r="M184" s="109">
        <v>1460</v>
      </c>
      <c r="N184" s="107">
        <f>IF(ISNUMBER(M184), (M184 - $B184) / $B184, "")</f>
        <v>7.3529411764705885E-2</v>
      </c>
      <c r="O184" s="108">
        <f>IF(ISNUMBER(M184), $B199 * N184, "")</f>
        <v>7352.9411764705883</v>
      </c>
      <c r="Q184" s="227"/>
      <c r="R184" s="227"/>
      <c r="S184" s="227"/>
    </row>
    <row r="185" spans="1:19" ht="17.25" thickBot="1">
      <c r="A185" s="125" t="s">
        <v>150</v>
      </c>
      <c r="B185" s="126">
        <v>14.2</v>
      </c>
      <c r="C185" s="77">
        <v>7.0921986000000003E-3</v>
      </c>
      <c r="D185" s="15">
        <v>15.3</v>
      </c>
      <c r="E185" s="32">
        <f t="shared" ref="E185:E188" si="98">IF(ISNUMBER(D185), (D185 - $B185) / $B185, "")</f>
        <v>7.7464788732394471E-2</v>
      </c>
      <c r="F185" s="18">
        <f>IF(ISNUMBER(D185), $B199 * E185, "")</f>
        <v>7746.4788732394472</v>
      </c>
      <c r="G185" s="31">
        <v>15.8</v>
      </c>
      <c r="H185" s="32">
        <f t="shared" ref="H185:H188" si="99">IF(ISNUMBER(G185), (G185 - $B185) / $B185, "")</f>
        <v>0.11267605633802827</v>
      </c>
      <c r="I185" s="101">
        <f>IF(ISNUMBER(G185), $B199 * H185, "")</f>
        <v>11267.605633802827</v>
      </c>
      <c r="J185" s="15">
        <v>15.4</v>
      </c>
      <c r="K185" s="32">
        <f t="shared" ref="K185:K188" si="100">IF(ISNUMBER(J185), (J185 - $B185) / $B185, "")</f>
        <v>8.4507042253521208E-2</v>
      </c>
      <c r="L185" s="18">
        <f>IF(ISNUMBER(J185), $B199 * K185, "")</f>
        <v>8450.7042253521213</v>
      </c>
      <c r="M185" s="31">
        <v>16</v>
      </c>
      <c r="N185" s="32">
        <f t="shared" ref="N185:N188" si="101">IF(ISNUMBER(M185), (M185 - $B185) / $B185, "")</f>
        <v>0.12676056338028174</v>
      </c>
      <c r="O185" s="18">
        <f>IF(ISNUMBER(M185), $B199 * N185, "")</f>
        <v>12676.056338028175</v>
      </c>
      <c r="Q185" s="227"/>
      <c r="R185" s="227"/>
      <c r="S185" s="227"/>
    </row>
    <row r="186" spans="1:19" ht="17.25" thickBot="1">
      <c r="A186" s="125" t="s">
        <v>128</v>
      </c>
      <c r="B186" s="126">
        <v>167</v>
      </c>
      <c r="C186" s="77">
        <v>6.0240963999999998E-3</v>
      </c>
      <c r="D186" s="15">
        <v>168</v>
      </c>
      <c r="E186" s="32">
        <f t="shared" si="98"/>
        <v>5.9880239520958087E-3</v>
      </c>
      <c r="F186" s="18">
        <f>IF(ISNUMBER(D186), $B199 * E186, "")</f>
        <v>598.80239520958082</v>
      </c>
      <c r="G186" s="31">
        <v>175</v>
      </c>
      <c r="H186" s="32">
        <f t="shared" si="99"/>
        <v>4.790419161676647E-2</v>
      </c>
      <c r="I186" s="101">
        <f>IF(ISNUMBER(G186), $B199 * H186, "")</f>
        <v>4790.4191616766466</v>
      </c>
      <c r="J186" s="15">
        <v>172</v>
      </c>
      <c r="K186" s="32">
        <f t="shared" si="100"/>
        <v>2.9940119760479042E-2</v>
      </c>
      <c r="L186" s="18">
        <f>IF(ISNUMBER(J186), $B199 * K186, "")</f>
        <v>2994.0119760479042</v>
      </c>
      <c r="M186" s="31">
        <v>171</v>
      </c>
      <c r="N186" s="32">
        <f t="shared" si="101"/>
        <v>2.3952095808383235E-2</v>
      </c>
      <c r="O186" s="18">
        <f>IF(ISNUMBER(M186), $B199 * N186, "")</f>
        <v>2395.2095808383233</v>
      </c>
      <c r="Q186" s="227"/>
      <c r="R186" s="227"/>
      <c r="S186" s="227"/>
    </row>
    <row r="187" spans="1:19" ht="17.25" thickBot="1">
      <c r="A187" s="125" t="s">
        <v>204</v>
      </c>
      <c r="B187" s="126">
        <v>17.2</v>
      </c>
      <c r="C187" s="77">
        <v>5.8479532000000004E-3</v>
      </c>
      <c r="D187" s="15">
        <v>17.8</v>
      </c>
      <c r="E187" s="32">
        <f t="shared" si="98"/>
        <v>3.4883720930232641E-2</v>
      </c>
      <c r="F187" s="18">
        <f>IF(ISNUMBER(D187), $B199 * E187, "")</f>
        <v>3488.3720930232639</v>
      </c>
      <c r="G187" s="31">
        <v>18.100000000000001</v>
      </c>
      <c r="H187" s="32">
        <f t="shared" si="99"/>
        <v>5.2325581395348965E-2</v>
      </c>
      <c r="I187" s="101">
        <f>IF(ISNUMBER(G187), $B199 * H187, "")</f>
        <v>5232.5581395348963</v>
      </c>
      <c r="J187" s="15">
        <v>17.8</v>
      </c>
      <c r="K187" s="32">
        <f t="shared" si="100"/>
        <v>3.4883720930232641E-2</v>
      </c>
      <c r="L187" s="18">
        <f>IF(ISNUMBER(J187), $B199 * K187, "")</f>
        <v>3488.3720930232639</v>
      </c>
      <c r="M187" s="31">
        <v>18.100000000000001</v>
      </c>
      <c r="N187" s="32">
        <f t="shared" si="101"/>
        <v>5.2325581395348965E-2</v>
      </c>
      <c r="O187" s="18">
        <f>IF(ISNUMBER(M187), $B199 * N187, "")</f>
        <v>5232.5581395348963</v>
      </c>
      <c r="Q187" s="33"/>
      <c r="R187" s="33"/>
    </row>
    <row r="188" spans="1:19" ht="17.25" thickBot="1">
      <c r="A188" s="130" t="s">
        <v>176</v>
      </c>
      <c r="B188" s="131">
        <v>1800</v>
      </c>
      <c r="C188" s="79">
        <v>5.5865921999999997E-3</v>
      </c>
      <c r="D188" s="24">
        <v>1845</v>
      </c>
      <c r="E188" s="25">
        <f t="shared" si="98"/>
        <v>2.5000000000000001E-2</v>
      </c>
      <c r="F188" s="104">
        <f>IF(ISNUMBER(D188), $B199 * E188, "")</f>
        <v>2500</v>
      </c>
      <c r="G188" s="102">
        <v>1880</v>
      </c>
      <c r="H188" s="25">
        <f t="shared" si="99"/>
        <v>4.4444444444444446E-2</v>
      </c>
      <c r="I188" s="103">
        <f>IF(ISNUMBER(G188), $B199 * H188, "")</f>
        <v>4444.4444444444443</v>
      </c>
      <c r="J188" s="24">
        <v>1845</v>
      </c>
      <c r="K188" s="25">
        <f t="shared" si="100"/>
        <v>2.5000000000000001E-2</v>
      </c>
      <c r="L188" s="104">
        <f>IF(ISNUMBER(J188), $B199 * K188, "")</f>
        <v>2500</v>
      </c>
      <c r="M188" s="102">
        <v>1990</v>
      </c>
      <c r="N188" s="25">
        <f t="shared" si="101"/>
        <v>0.10555555555555556</v>
      </c>
      <c r="O188" s="104">
        <f>IF(ISNUMBER(M188), $B199 * N188, "")</f>
        <v>10555.555555555555</v>
      </c>
      <c r="Q188" s="236"/>
      <c r="R188" s="237"/>
      <c r="S188" s="238"/>
    </row>
    <row r="189" spans="1:19">
      <c r="A189" s="123" t="s">
        <v>122</v>
      </c>
      <c r="B189" s="124">
        <v>40.6</v>
      </c>
      <c r="C189" s="76">
        <v>4.9504950000000001E-3</v>
      </c>
      <c r="D189" s="13">
        <v>46.1</v>
      </c>
      <c r="E189" s="14">
        <f>IF(ISNUMBER(D189), (D189 - $B189) / $B189, "")</f>
        <v>0.1354679802955665</v>
      </c>
      <c r="F189" s="16">
        <f>IF(ISNUMBER(D189), $B199 * E189, "")</f>
        <v>13546.79802955665</v>
      </c>
      <c r="G189" s="29">
        <v>56.5</v>
      </c>
      <c r="H189" s="14">
        <f>IF(ISNUMBER(G189), (G189 - $B189) / $B189, "")</f>
        <v>0.39162561576354676</v>
      </c>
      <c r="I189" s="100">
        <f>IF(ISNUMBER(G189), $B199 * H189, "")</f>
        <v>39162.561576354674</v>
      </c>
      <c r="J189" s="13">
        <v>51.8</v>
      </c>
      <c r="K189" s="14">
        <f>IF(ISNUMBER(J189), (J189 - $B189) / $B189, "")</f>
        <v>0.27586206896551713</v>
      </c>
      <c r="L189" s="16">
        <f>IF(ISNUMBER(J189), $B199 * K189, "")</f>
        <v>27586.206896551714</v>
      </c>
      <c r="M189" s="29">
        <v>51.5</v>
      </c>
      <c r="N189" s="14">
        <f>IF(ISNUMBER(M189), (M189 - $B189) / $B189, "")</f>
        <v>0.26847290640394084</v>
      </c>
      <c r="O189" s="16">
        <f>IF(ISNUMBER(M189), $B199 * N189, "")</f>
        <v>26847.290640394083</v>
      </c>
      <c r="Q189" s="239"/>
      <c r="R189" s="240"/>
      <c r="S189" s="241"/>
    </row>
    <row r="190" spans="1:19" ht="17.25" thickBot="1">
      <c r="A190" s="125" t="s">
        <v>160</v>
      </c>
      <c r="B190" s="126">
        <v>1775</v>
      </c>
      <c r="C190" s="77">
        <v>2.8248587999999998E-3</v>
      </c>
      <c r="D190" s="15">
        <v>1985</v>
      </c>
      <c r="E190" s="32">
        <f t="shared" ref="E190:E193" si="102">IF(ISNUMBER(D190), (D190 - $B190) / $B190, "")</f>
        <v>0.11830985915492957</v>
      </c>
      <c r="F190" s="18">
        <f>IF(ISNUMBER(D190), $B199 * E190, "")</f>
        <v>11830.985915492958</v>
      </c>
      <c r="G190" s="31">
        <v>2015</v>
      </c>
      <c r="H190" s="32">
        <f t="shared" ref="H190:H193" si="103">IF(ISNUMBER(G190), (G190 - $B190) / $B190, "")</f>
        <v>0.13521126760563379</v>
      </c>
      <c r="I190" s="101">
        <f>IF(ISNUMBER(G190), $B199 * H190, "")</f>
        <v>13521.126760563378</v>
      </c>
      <c r="J190" s="15">
        <v>1930</v>
      </c>
      <c r="K190" s="32">
        <f t="shared" ref="K190:K193" si="104">IF(ISNUMBER(J190), (J190 - $B190) / $B190, "")</f>
        <v>8.7323943661971826E-2</v>
      </c>
      <c r="L190" s="18">
        <f>IF(ISNUMBER(J190), $B199 * K190, "")</f>
        <v>8732.3943661971825</v>
      </c>
      <c r="M190" s="31">
        <v>1940</v>
      </c>
      <c r="N190" s="32">
        <f t="shared" ref="N190:N193" si="105">IF(ISNUMBER(M190), (M190 - $B190) / $B190, "")</f>
        <v>9.295774647887324E-2</v>
      </c>
      <c r="O190" s="18">
        <f>IF(ISNUMBER(M190), $B199 * N190, "")</f>
        <v>9295.7746478873232</v>
      </c>
      <c r="Q190" s="242"/>
      <c r="R190" s="243"/>
      <c r="S190" s="244"/>
    </row>
    <row r="191" spans="1:19" ht="17.25" thickBot="1">
      <c r="A191" s="125" t="s">
        <v>54</v>
      </c>
      <c r="B191" s="126">
        <v>318</v>
      </c>
      <c r="C191" s="77">
        <v>0</v>
      </c>
      <c r="D191" s="15">
        <v>331</v>
      </c>
      <c r="E191" s="32">
        <f t="shared" si="102"/>
        <v>4.0880503144654086E-2</v>
      </c>
      <c r="F191" s="18">
        <f>IF(ISNUMBER(D191), $B199 * E191, "")</f>
        <v>4088.0503144654085</v>
      </c>
      <c r="G191" s="31">
        <v>330</v>
      </c>
      <c r="H191" s="32">
        <f t="shared" si="103"/>
        <v>3.7735849056603772E-2</v>
      </c>
      <c r="I191" s="101">
        <f>IF(ISNUMBER(G191), $B199 * H191, "")</f>
        <v>3773.584905660377</v>
      </c>
      <c r="J191" s="15">
        <v>329</v>
      </c>
      <c r="K191" s="32">
        <f t="shared" si="104"/>
        <v>3.4591194968553458E-2</v>
      </c>
      <c r="L191" s="18">
        <f>IF(ISNUMBER(J191), $B199 * K191, "")</f>
        <v>3459.1194968553459</v>
      </c>
      <c r="M191" s="31">
        <v>339</v>
      </c>
      <c r="N191" s="32">
        <f t="shared" si="105"/>
        <v>6.6037735849056603E-2</v>
      </c>
      <c r="O191" s="18">
        <f>IF(ISNUMBER(M191), $B199 * N191, "")</f>
        <v>6603.7735849056598</v>
      </c>
      <c r="Q191" s="227"/>
      <c r="R191" s="227"/>
      <c r="S191" s="227"/>
    </row>
    <row r="192" spans="1:19" ht="17.25" thickBot="1">
      <c r="A192" s="125" t="s">
        <v>74</v>
      </c>
      <c r="B192" s="126">
        <v>27980</v>
      </c>
      <c r="C192" s="77">
        <v>-3.9159842999999996E-3</v>
      </c>
      <c r="D192" s="15">
        <v>27830</v>
      </c>
      <c r="E192" s="32">
        <f t="shared" si="102"/>
        <v>-5.3609721229449609E-3</v>
      </c>
      <c r="F192" s="18">
        <f>IF(ISNUMBER(D192), $B199 * E192, "")</f>
        <v>-536.0972122944961</v>
      </c>
      <c r="G192" s="31">
        <v>28010</v>
      </c>
      <c r="H192" s="32">
        <f t="shared" si="103"/>
        <v>1.0721944245889921E-3</v>
      </c>
      <c r="I192" s="101">
        <f>IF(ISNUMBER(G192), $B199 * H192, "")</f>
        <v>107.21944245889921</v>
      </c>
      <c r="J192" s="15">
        <v>28500</v>
      </c>
      <c r="K192" s="32">
        <f t="shared" si="104"/>
        <v>1.8584703359542529E-2</v>
      </c>
      <c r="L192" s="18">
        <f>IF(ISNUMBER(J192), $B199 * K192, "")</f>
        <v>1858.470335954253</v>
      </c>
      <c r="M192" s="31">
        <v>28560</v>
      </c>
      <c r="N192" s="32">
        <f t="shared" si="105"/>
        <v>2.0729092208720514E-2</v>
      </c>
      <c r="O192" s="18">
        <f>IF(ISNUMBER(M192), $B199 * N192, "")</f>
        <v>2072.9092208720513</v>
      </c>
      <c r="Q192" s="222"/>
      <c r="R192" s="222"/>
      <c r="S192" s="222"/>
    </row>
    <row r="193" spans="1:19" ht="17.25" thickBot="1">
      <c r="A193" s="127" t="s">
        <v>114</v>
      </c>
      <c r="B193" s="128">
        <v>1160</v>
      </c>
      <c r="C193" s="78">
        <v>-8.5470084999999998E-3</v>
      </c>
      <c r="D193" s="20">
        <v>1170</v>
      </c>
      <c r="E193" s="21">
        <f t="shared" si="102"/>
        <v>8.6206896551724137E-3</v>
      </c>
      <c r="F193" s="22">
        <f>IF(ISNUMBER(D193), $B199 * E193, "")</f>
        <v>862.06896551724139</v>
      </c>
      <c r="G193" s="30">
        <v>1180</v>
      </c>
      <c r="H193" s="21">
        <f t="shared" si="103"/>
        <v>1.7241379310344827E-2</v>
      </c>
      <c r="I193" s="105">
        <f>IF(ISNUMBER(G193), $B199 * H193, "")</f>
        <v>1724.1379310344828</v>
      </c>
      <c r="J193" s="20">
        <v>1250</v>
      </c>
      <c r="K193" s="21">
        <f t="shared" si="104"/>
        <v>7.7586206896551727E-2</v>
      </c>
      <c r="L193" s="22">
        <f>IF(ISNUMBER(J193), $B199 * K193, "")</f>
        <v>7758.620689655173</v>
      </c>
      <c r="M193" s="30">
        <v>1195</v>
      </c>
      <c r="N193" s="21">
        <f t="shared" si="105"/>
        <v>3.017241379310345E-2</v>
      </c>
      <c r="O193" s="22">
        <f>IF(ISNUMBER(M193), $B199 * N193, "")</f>
        <v>3017.2413793103451</v>
      </c>
      <c r="Q193" s="222"/>
      <c r="R193" s="222"/>
      <c r="S193" s="222"/>
    </row>
    <row r="194" spans="1:19" ht="17.25" thickBot="1">
      <c r="A194" s="125" t="s">
        <v>116</v>
      </c>
      <c r="B194" s="129">
        <v>9290</v>
      </c>
      <c r="C194" s="80">
        <v>-1.74510841E-2</v>
      </c>
      <c r="D194" s="106">
        <v>9240</v>
      </c>
      <c r="E194" s="107">
        <f>IF(ISNUMBER(D194), (D194 - $B194) / $B194, "")</f>
        <v>-5.3821313240043061E-3</v>
      </c>
      <c r="F194" s="108">
        <f>IF(ISNUMBER(D194), $B199 * E194, "")</f>
        <v>-538.2131324004306</v>
      </c>
      <c r="G194" s="109">
        <v>9310</v>
      </c>
      <c r="H194" s="107">
        <f>IF(ISNUMBER(G194), (G194 - $B194) / $B194, "")</f>
        <v>2.1528525296017221E-3</v>
      </c>
      <c r="I194" s="110">
        <f>IF(ISNUMBER(G194), $B199 * H194, "")</f>
        <v>215.28525296017222</v>
      </c>
      <c r="J194" s="106">
        <v>9290</v>
      </c>
      <c r="K194" s="107">
        <f>IF(ISNUMBER(J194), (J194 - $B194) / $B194, "")</f>
        <v>0</v>
      </c>
      <c r="L194" s="108">
        <f>IF(ISNUMBER(J194), $B199 * K194, "")</f>
        <v>0</v>
      </c>
      <c r="M194" s="109">
        <v>9350</v>
      </c>
      <c r="N194" s="107">
        <f>IF(ISNUMBER(M194), (M194 - $B194) / $B194, "")</f>
        <v>6.4585575888051671E-3</v>
      </c>
      <c r="O194" s="108">
        <f>IF(ISNUMBER(M194), $B199 * N194, "")</f>
        <v>645.85575888051676</v>
      </c>
      <c r="Q194" s="227"/>
      <c r="R194" s="227"/>
      <c r="S194" s="227"/>
    </row>
    <row r="195" spans="1:19" ht="17.25" thickBot="1">
      <c r="A195" s="125" t="s">
        <v>172</v>
      </c>
      <c r="B195" s="126">
        <v>4880</v>
      </c>
      <c r="C195" s="77">
        <v>-2.3023023E-2</v>
      </c>
      <c r="D195" s="15">
        <v>4755</v>
      </c>
      <c r="E195" s="32">
        <f t="shared" ref="E195:E198" si="106">IF(ISNUMBER(D195), (D195 - $B195) / $B195, "")</f>
        <v>-2.5614754098360656E-2</v>
      </c>
      <c r="F195" s="18">
        <f>IF(ISNUMBER(D195), $B199 * E195, "")</f>
        <v>-2561.4754098360659</v>
      </c>
      <c r="G195" s="31">
        <v>4830</v>
      </c>
      <c r="H195" s="32">
        <f t="shared" ref="H195:H198" si="107">IF(ISNUMBER(G195), (G195 - $B195) / $B195, "")</f>
        <v>-1.0245901639344262E-2</v>
      </c>
      <c r="I195" s="101">
        <f>IF(ISNUMBER(G195), $B199 * H195, "")</f>
        <v>-1024.5901639344261</v>
      </c>
      <c r="J195" s="15">
        <v>4775</v>
      </c>
      <c r="K195" s="32">
        <f t="shared" ref="K195:K198" si="108">IF(ISNUMBER(J195), (J195 - $B195) / $B195, "")</f>
        <v>-2.151639344262295E-2</v>
      </c>
      <c r="L195" s="18">
        <f>IF(ISNUMBER(J195), $B199 * K195, "")</f>
        <v>-2151.6393442622953</v>
      </c>
      <c r="M195" s="31">
        <v>4820</v>
      </c>
      <c r="N195" s="32">
        <f t="shared" ref="N195:N198" si="109">IF(ISNUMBER(M195), (M195 - $B195) / $B195, "")</f>
        <v>-1.2295081967213115E-2</v>
      </c>
      <c r="O195" s="18">
        <f>IF(ISNUMBER(M195), $B199 * N195, "")</f>
        <v>-1229.5081967213114</v>
      </c>
      <c r="Q195" s="227"/>
      <c r="R195" s="227"/>
      <c r="S195" s="227"/>
    </row>
    <row r="196" spans="1:19" ht="17.25" thickBot="1">
      <c r="A196" s="125" t="s">
        <v>214</v>
      </c>
      <c r="B196" s="126">
        <v>1400</v>
      </c>
      <c r="C196" s="77">
        <v>-2.4390243900000001E-2</v>
      </c>
      <c r="D196" s="15">
        <v>1415</v>
      </c>
      <c r="E196" s="32">
        <f t="shared" si="106"/>
        <v>1.0714285714285714E-2</v>
      </c>
      <c r="F196" s="18">
        <f>IF(ISNUMBER(D196), $B199 * E196, "")</f>
        <v>1071.4285714285713</v>
      </c>
      <c r="G196" s="31">
        <v>1395</v>
      </c>
      <c r="H196" s="32">
        <f t="shared" si="107"/>
        <v>-3.5714285714285713E-3</v>
      </c>
      <c r="I196" s="101">
        <f>IF(ISNUMBER(G196), $B199 * H196, "")</f>
        <v>-357.14285714285711</v>
      </c>
      <c r="J196" s="15">
        <v>1430</v>
      </c>
      <c r="K196" s="32">
        <f t="shared" si="108"/>
        <v>2.1428571428571429E-2</v>
      </c>
      <c r="L196" s="18">
        <f>IF(ISNUMBER(J196), $B199 * K196, "")</f>
        <v>2142.8571428571427</v>
      </c>
      <c r="M196" s="31">
        <v>1415</v>
      </c>
      <c r="N196" s="32">
        <f t="shared" si="109"/>
        <v>1.0714285714285714E-2</v>
      </c>
      <c r="O196" s="18">
        <f>IF(ISNUMBER(M196), $B199 * N196, "")</f>
        <v>1071.4285714285713</v>
      </c>
      <c r="Q196" s="227"/>
      <c r="R196" s="227"/>
      <c r="S196" s="227"/>
    </row>
    <row r="197" spans="1:19">
      <c r="A197" s="125" t="s">
        <v>230</v>
      </c>
      <c r="B197" s="126">
        <v>416</v>
      </c>
      <c r="C197" s="77">
        <v>-2.8037383200000002E-2</v>
      </c>
      <c r="D197" s="15">
        <v>412</v>
      </c>
      <c r="E197" s="32">
        <f t="shared" si="106"/>
        <v>-9.6153846153846159E-3</v>
      </c>
      <c r="F197" s="18">
        <f>IF(ISNUMBER(D197), $B199 * E197, "")</f>
        <v>-961.53846153846155</v>
      </c>
      <c r="G197" s="31">
        <v>415</v>
      </c>
      <c r="H197" s="32">
        <f t="shared" si="107"/>
        <v>-2.403846153846154E-3</v>
      </c>
      <c r="I197" s="101">
        <f>IF(ISNUMBER(G197), $B199 * H197, "")</f>
        <v>-240.38461538461539</v>
      </c>
      <c r="J197" s="15">
        <v>413</v>
      </c>
      <c r="K197" s="32">
        <f t="shared" si="108"/>
        <v>-7.2115384615384619E-3</v>
      </c>
      <c r="L197" s="18">
        <f>IF(ISNUMBER(J197), $B199 * K197, "")</f>
        <v>-721.15384615384619</v>
      </c>
      <c r="M197" s="31">
        <v>417</v>
      </c>
      <c r="N197" s="32">
        <f t="shared" si="109"/>
        <v>2.403846153846154E-3</v>
      </c>
      <c r="O197" s="18">
        <f>IF(ISNUMBER(M197), $B199 * N197, "")</f>
        <v>240.38461538461539</v>
      </c>
      <c r="Q197" s="249"/>
      <c r="R197" s="250"/>
      <c r="S197" s="251"/>
    </row>
    <row r="198" spans="1:19" ht="17.25" thickBot="1">
      <c r="A198" s="130" t="s">
        <v>210</v>
      </c>
      <c r="B198" s="131">
        <v>16.7</v>
      </c>
      <c r="C198" s="79">
        <v>-2.9069767400000002E-2</v>
      </c>
      <c r="D198" s="24">
        <v>17</v>
      </c>
      <c r="E198" s="25">
        <f t="shared" si="106"/>
        <v>1.796407185628747E-2</v>
      </c>
      <c r="F198" s="104">
        <f>IF(ISNUMBER(D198), $B199 * E198, "")</f>
        <v>1796.4071856287469</v>
      </c>
      <c r="G198" s="102">
        <v>17.100000000000001</v>
      </c>
      <c r="H198" s="25">
        <f t="shared" si="107"/>
        <v>2.3952095808383363E-2</v>
      </c>
      <c r="I198" s="103">
        <f>IF(ISNUMBER(G198), $B199 * H198, "")</f>
        <v>2395.2095808383365</v>
      </c>
      <c r="J198" s="24">
        <v>16.899999999999999</v>
      </c>
      <c r="K198" s="25">
        <f t="shared" si="108"/>
        <v>1.1976047904191574E-2</v>
      </c>
      <c r="L198" s="104">
        <f>IF(ISNUMBER(J198), $B199 * K198, "")</f>
        <v>1197.6047904191573</v>
      </c>
      <c r="M198" s="102">
        <v>17.100000000000001</v>
      </c>
      <c r="N198" s="25">
        <f t="shared" si="109"/>
        <v>2.3952095808383363E-2</v>
      </c>
      <c r="O198" s="104">
        <f>IF(ISNUMBER(M198), $B199 * N198, "")</f>
        <v>2395.2095808383365</v>
      </c>
      <c r="Q198" s="252"/>
      <c r="R198" s="253"/>
      <c r="S198" s="254"/>
    </row>
    <row r="199" spans="1:19" ht="17.25" thickBot="1">
      <c r="A199" s="132" t="s">
        <v>270</v>
      </c>
      <c r="B199" s="260">
        <f>$B$37</f>
        <v>100000</v>
      </c>
      <c r="C199" s="261"/>
      <c r="D199" s="26" t="s">
        <v>271</v>
      </c>
      <c r="E199" s="27">
        <f>IF(COUNT(E179:E198), SUM(E179:E198) / COUNT(E179:E198), 0)</f>
        <v>3.1832770137954713E-2</v>
      </c>
      <c r="F199" s="28">
        <f>SUM(F179:F198)</f>
        <v>63665.540275909443</v>
      </c>
      <c r="G199" s="26" t="s">
        <v>271</v>
      </c>
      <c r="H199" s="27">
        <f>IF(COUNT(H179:H198), SUM(H179:H198) / COUNT(H179:H198), 0)</f>
        <v>5.6669431596233708E-2</v>
      </c>
      <c r="I199" s="28">
        <f>SUM(I179:I198)</f>
        <v>113338.86319246741</v>
      </c>
      <c r="J199" s="26" t="s">
        <v>271</v>
      </c>
      <c r="K199" s="27">
        <f>IF(COUNT(K179:K198), SUM(K179:K198) / COUNT(K179:K198), 0)</f>
        <v>4.2989181907756566E-2</v>
      </c>
      <c r="L199" s="28">
        <f>SUM(L179:L198)</f>
        <v>85978.363815513105</v>
      </c>
      <c r="M199" s="26" t="s">
        <v>271</v>
      </c>
      <c r="N199" s="27">
        <f>IF(COUNT(N179:N198), SUM(N179:N198) / COUNT(N179:N198), 0)</f>
        <v>5.4062066786908336E-2</v>
      </c>
      <c r="O199" s="28">
        <f>SUM(O179:O198)</f>
        <v>108124.13357381667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56780-A383-4953-BC00-26A34A7D2F71}">
  <sheetPr codeName="Sheet11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44444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320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328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40,337 KRW (2.02%)</v>
      </c>
      <c r="H3" s="217"/>
      <c r="I3" s="218"/>
      <c r="J3" s="4" t="s">
        <v>7</v>
      </c>
      <c r="K3" s="213" t="s">
        <v>321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322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319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81,940 KRW (5.46%)</v>
      </c>
      <c r="H5" s="217"/>
      <c r="I5" s="218"/>
      <c r="J5" s="4" t="s">
        <v>15</v>
      </c>
      <c r="K5" s="213" t="s">
        <v>323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324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125,005 KRW (6.25%)</v>
      </c>
      <c r="H7" s="217"/>
      <c r="I7" s="218"/>
      <c r="J7" s="4" t="s">
        <v>21</v>
      </c>
      <c r="K7" s="213" t="s">
        <v>325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255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1,520 KRW (0.08%)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326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327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318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73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55149000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2.1442459999999998E-3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2021-09-05(일) 오전 00:00</v>
      </c>
      <c r="C15" s="268"/>
      <c r="D15" s="224" t="str">
        <f>TEXT($G$1, "[$-ko-KR]yyyy-mm-dd(ddd) ") &amp; "오후 14:00"</f>
        <v>2021-09-05(일) 오후 14:00</v>
      </c>
      <c r="E15" s="225"/>
      <c r="F15" s="226"/>
      <c r="G15" s="224" t="str">
        <f>TEXT($G$1, "[$-ko-KR]yyyy-mm-dd(ddd) ") &amp; "오후 19:00"</f>
        <v>2021-09-05(일) 오후 19:00</v>
      </c>
      <c r="H15" s="225"/>
      <c r="I15" s="226"/>
      <c r="J15" s="224" t="str">
        <f>TEXT($G$1, "[$-ko-KR]yyyy-mm-dd(ddd) ") &amp; "오후 21:00"</f>
        <v>2021-09-05(일) 오후 21:00</v>
      </c>
      <c r="K15" s="225"/>
      <c r="L15" s="226"/>
      <c r="M15" s="224" t="str">
        <f>TEXT($G$1+1, "[$-ko-KR]yyyy-mm-dd(ddd) ") &amp; "오전 00:00"</f>
        <v>2021-09-06(월)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73" t="s">
        <v>267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55149000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2.1442459999999998E-3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2021-09-05(일) 오전 00:00</v>
      </c>
      <c r="C42" s="265"/>
      <c r="D42" s="224" t="str">
        <f>TEXT($G$1, "[$-ko-KR]yyyy-mm-dd(ddd) ") &amp; "오후 14:00"</f>
        <v>2021-09-05(일) 오후 14:00</v>
      </c>
      <c r="E42" s="225"/>
      <c r="F42" s="226"/>
      <c r="G42" s="224" t="str">
        <f>TEXT($G$1, "[$-ko-KR]yyyy-mm-dd(ddd) ") &amp; "오후 19:00"</f>
        <v>2021-09-05(일) 오후 19:00</v>
      </c>
      <c r="H42" s="225"/>
      <c r="I42" s="226"/>
      <c r="J42" s="224" t="str">
        <f>TEXT($G$1, "[$-ko-KR]yyyy-mm-dd(ddd) ") &amp; "오후 21:00"</f>
        <v>2021-09-05(일) 오후 21:00</v>
      </c>
      <c r="K42" s="225"/>
      <c r="L42" s="226"/>
      <c r="M42" s="224" t="str">
        <f>TEXT($G$1+1, "[$-ko-KR]yyyy-mm-dd(ddd) ") &amp; "오전 00:00"</f>
        <v>2021-09-06(월)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7"/>
      <c r="R43" s="227"/>
      <c r="S43" s="227"/>
    </row>
    <row r="44" spans="1:19" ht="17.25" customHeight="1" thickBot="1">
      <c r="A44" s="123" t="s">
        <v>122</v>
      </c>
      <c r="B44" s="124">
        <v>51.5</v>
      </c>
      <c r="C44" s="76">
        <v>0.24096385540000001</v>
      </c>
      <c r="D44" s="13">
        <v>53</v>
      </c>
      <c r="E44" s="14">
        <f>IF(ISNUMBER(D44), (D44 - $B44) / $B44, "")</f>
        <v>2.9126213592233011E-2</v>
      </c>
      <c r="F44" s="16">
        <f>IF(ISNUMBER(D44), $B64 * E44, "")</f>
        <v>2912.6213592233012</v>
      </c>
      <c r="G44" s="29">
        <v>51.8</v>
      </c>
      <c r="H44" s="14">
        <f>IF(ISNUMBER(G44), (G44 - $B44) / $B44, "")</f>
        <v>5.8252427184465466E-3</v>
      </c>
      <c r="I44" s="100">
        <f>IF(ISNUMBER(G44), $B64 * H44, "")</f>
        <v>582.52427184465466</v>
      </c>
      <c r="J44" s="13">
        <v>51.8</v>
      </c>
      <c r="K44" s="14">
        <f>IF(ISNUMBER(J44), (J44 - $B44) / $B44, "")</f>
        <v>5.8252427184465466E-3</v>
      </c>
      <c r="L44" s="16">
        <f>IF(ISNUMBER(J44), $B64 * K44, "")</f>
        <v>582.52427184465466</v>
      </c>
      <c r="M44" s="29">
        <v>51.4</v>
      </c>
      <c r="N44" s="14">
        <f>IF(ISNUMBER(M44), (M44 - $B44) / $B44, "")</f>
        <v>-1.9417475728155617E-3</v>
      </c>
      <c r="O44" s="16">
        <f>IF(ISNUMBER(M44), $B64 * N44, "")</f>
        <v>-194.17475728155617</v>
      </c>
      <c r="Q44" s="222"/>
      <c r="R44" s="222"/>
      <c r="S44" s="222"/>
    </row>
    <row r="45" spans="1:19" ht="17.25" customHeight="1" thickBot="1">
      <c r="A45" s="125" t="s">
        <v>65</v>
      </c>
      <c r="B45" s="126">
        <v>67.3</v>
      </c>
      <c r="C45" s="77">
        <v>0.1160862355</v>
      </c>
      <c r="D45" s="15">
        <v>72.2</v>
      </c>
      <c r="E45" s="32">
        <f t="shared" ref="E45:E48" si="14">IF(ISNUMBER(D45), (D45 - $B45) / $B45, "")</f>
        <v>7.2808320950965913E-2</v>
      </c>
      <c r="F45" s="18">
        <f>IF(ISNUMBER(D45), $B64 * E45, "")</f>
        <v>7280.8320950965917</v>
      </c>
      <c r="G45" s="31">
        <v>72.400000000000006</v>
      </c>
      <c r="H45" s="32">
        <f t="shared" ref="H45:H48" si="15">IF(ISNUMBER(G45), (G45 - $B45) / $B45, "")</f>
        <v>7.5780089153046196E-2</v>
      </c>
      <c r="I45" s="101">
        <f>IF(ISNUMBER(G45), $B64 * H45, "")</f>
        <v>7578.0089153046192</v>
      </c>
      <c r="J45" s="15">
        <v>71.7</v>
      </c>
      <c r="K45" s="32">
        <f t="shared" ref="K45:K48" si="16">IF(ISNUMBER(J45), (J45 - $B45) / $B45, "")</f>
        <v>6.5378900445765317E-2</v>
      </c>
      <c r="L45" s="18">
        <f>IF(ISNUMBER(J45), $B64 * K45, "")</f>
        <v>6537.8900445765321</v>
      </c>
      <c r="M45" s="31">
        <v>70.099999999999994</v>
      </c>
      <c r="N45" s="32">
        <f t="shared" ref="N45:N48" si="17">IF(ISNUMBER(M45), (M45 - $B45) / $B45, "")</f>
        <v>4.1604754829123285E-2</v>
      </c>
      <c r="O45" s="18">
        <f>IF(ISNUMBER(M45), $B64 * N45, "")</f>
        <v>4160.4754829123285</v>
      </c>
      <c r="Q45" s="222"/>
      <c r="R45" s="222"/>
      <c r="S45" s="222"/>
    </row>
    <row r="46" spans="1:19" ht="17.25" customHeight="1" thickBot="1">
      <c r="A46" s="125" t="s">
        <v>150</v>
      </c>
      <c r="B46" s="126">
        <v>16</v>
      </c>
      <c r="C46" s="77">
        <v>0.1034482759</v>
      </c>
      <c r="D46" s="15">
        <v>17.5</v>
      </c>
      <c r="E46" s="32">
        <f t="shared" si="14"/>
        <v>9.375E-2</v>
      </c>
      <c r="F46" s="18">
        <f>IF(ISNUMBER(D46), $B64 * E46, "")</f>
        <v>9375</v>
      </c>
      <c r="G46" s="31">
        <v>17.8</v>
      </c>
      <c r="H46" s="32">
        <f t="shared" si="15"/>
        <v>0.11250000000000004</v>
      </c>
      <c r="I46" s="101">
        <f>IF(ISNUMBER(G46), $B64 * H46, "")</f>
        <v>11250.000000000004</v>
      </c>
      <c r="J46" s="15">
        <v>17.7</v>
      </c>
      <c r="K46" s="32">
        <f t="shared" si="16"/>
        <v>0.10624999999999996</v>
      </c>
      <c r="L46" s="18">
        <f>IF(ISNUMBER(J46), $B64 * K46, "")</f>
        <v>10624.999999999996</v>
      </c>
      <c r="M46" s="31">
        <v>17.100000000000001</v>
      </c>
      <c r="N46" s="32">
        <f t="shared" si="17"/>
        <v>6.8750000000000089E-2</v>
      </c>
      <c r="O46" s="18">
        <f>IF(ISNUMBER(M46), $B64 * N46, "")</f>
        <v>6875.0000000000091</v>
      </c>
      <c r="Q46" s="227"/>
      <c r="R46" s="227"/>
      <c r="S46" s="227"/>
    </row>
    <row r="47" spans="1:19" ht="17.25" customHeight="1" thickBot="1">
      <c r="A47" s="125" t="s">
        <v>208</v>
      </c>
      <c r="B47" s="126">
        <v>16.2</v>
      </c>
      <c r="C47" s="77">
        <v>7.2847682100000005E-2</v>
      </c>
      <c r="D47" s="15">
        <v>17.7</v>
      </c>
      <c r="E47" s="32">
        <f t="shared" si="14"/>
        <v>9.2592592592592601E-2</v>
      </c>
      <c r="F47" s="18">
        <f>IF(ISNUMBER(D47), $B64 * E47, "")</f>
        <v>9259.2592592592609</v>
      </c>
      <c r="G47" s="31">
        <v>17.8</v>
      </c>
      <c r="H47" s="32">
        <f t="shared" si="15"/>
        <v>9.8765432098765524E-2</v>
      </c>
      <c r="I47" s="101">
        <f>IF(ISNUMBER(G47), $B64 * H47, "")</f>
        <v>9876.5432098765523</v>
      </c>
      <c r="J47" s="15">
        <v>18</v>
      </c>
      <c r="K47" s="32">
        <f t="shared" si="16"/>
        <v>0.11111111111111116</v>
      </c>
      <c r="L47" s="18">
        <f>IF(ISNUMBER(J47), $B64 * K47, "")</f>
        <v>11111.111111111117</v>
      </c>
      <c r="M47" s="31">
        <v>17.2</v>
      </c>
      <c r="N47" s="32">
        <f t="shared" si="17"/>
        <v>6.1728395061728399E-2</v>
      </c>
      <c r="O47" s="18">
        <f>IF(ISNUMBER(M47), $B64 * N47, "")</f>
        <v>6172.8395061728397</v>
      </c>
      <c r="Q47" s="227"/>
      <c r="R47" s="227"/>
      <c r="S47" s="227"/>
    </row>
    <row r="48" spans="1:19" ht="17.25" customHeight="1" thickBot="1">
      <c r="A48" s="127" t="s">
        <v>188</v>
      </c>
      <c r="B48" s="128">
        <v>15.6</v>
      </c>
      <c r="C48" s="78">
        <v>6.8493150700000005E-2</v>
      </c>
      <c r="D48" s="20">
        <v>17.8</v>
      </c>
      <c r="E48" s="21">
        <f t="shared" si="14"/>
        <v>0.14102564102564111</v>
      </c>
      <c r="F48" s="22">
        <f>IF(ISNUMBER(D48), $B64 * E48, "")</f>
        <v>14102.564102564111</v>
      </c>
      <c r="G48" s="30">
        <v>17.8</v>
      </c>
      <c r="H48" s="21">
        <f t="shared" si="15"/>
        <v>0.14102564102564111</v>
      </c>
      <c r="I48" s="105">
        <f>IF(ISNUMBER(G48), $B64 * H48, "")</f>
        <v>14102.564102564111</v>
      </c>
      <c r="J48" s="20">
        <v>17.8</v>
      </c>
      <c r="K48" s="21">
        <f t="shared" si="16"/>
        <v>0.14102564102564111</v>
      </c>
      <c r="L48" s="22">
        <f>IF(ISNUMBER(J48), $B64 * K48, "")</f>
        <v>14102.564102564111</v>
      </c>
      <c r="M48" s="30">
        <v>17.3</v>
      </c>
      <c r="N48" s="21">
        <f t="shared" si="17"/>
        <v>0.10897435897435905</v>
      </c>
      <c r="O48" s="22">
        <f>IF(ISNUMBER(M48), $B64 * N48, "")</f>
        <v>10897.435897435904</v>
      </c>
      <c r="Q48" s="227"/>
      <c r="R48" s="227"/>
      <c r="S48" s="227"/>
    </row>
    <row r="49" spans="1:19" ht="17.25" customHeight="1" thickBot="1">
      <c r="A49" s="125" t="s">
        <v>72</v>
      </c>
      <c r="B49" s="129">
        <v>30.1</v>
      </c>
      <c r="C49" s="80">
        <v>5.9859154900000003E-2</v>
      </c>
      <c r="D49" s="106">
        <v>33.1</v>
      </c>
      <c r="E49" s="107">
        <f>IF(ISNUMBER(D49), (D49 - $B49) / $B49, "")</f>
        <v>9.9667774086378738E-2</v>
      </c>
      <c r="F49" s="108">
        <f>IF(ISNUMBER(D49), $B64 * E49, "")</f>
        <v>9966.777408637874</v>
      </c>
      <c r="G49" s="109">
        <v>32.9</v>
      </c>
      <c r="H49" s="107">
        <f>IF(ISNUMBER(G49), (G49 - $B49) / $B49, "")</f>
        <v>9.302325581395339E-2</v>
      </c>
      <c r="I49" s="110">
        <f>IF(ISNUMBER(G49), $B64 * H49, "")</f>
        <v>9302.3255813953383</v>
      </c>
      <c r="J49" s="106">
        <v>32.700000000000003</v>
      </c>
      <c r="K49" s="107">
        <f>IF(ISNUMBER(J49), (J49 - $B49) / $B49, "")</f>
        <v>8.6378737541528278E-2</v>
      </c>
      <c r="L49" s="108">
        <f>IF(ISNUMBER(J49), $B64 * K49, "")</f>
        <v>8637.873754152828</v>
      </c>
      <c r="M49" s="109">
        <v>31.4</v>
      </c>
      <c r="N49" s="107">
        <f>IF(ISNUMBER(M49), (M49 - $B49) / $B49, "")</f>
        <v>4.3189368770764021E-2</v>
      </c>
      <c r="O49" s="108">
        <f>IF(ISNUMBER(M49), $B64 * N49, "")</f>
        <v>4318.9368770764022</v>
      </c>
      <c r="Q49" s="227"/>
      <c r="R49" s="227"/>
      <c r="S49" s="227"/>
    </row>
    <row r="50" spans="1:19" ht="17.25" customHeight="1" thickBot="1">
      <c r="A50" s="125" t="s">
        <v>178</v>
      </c>
      <c r="B50" s="126">
        <v>22.2</v>
      </c>
      <c r="C50" s="77">
        <v>5.71428571E-2</v>
      </c>
      <c r="D50" s="15">
        <v>23.6</v>
      </c>
      <c r="E50" s="32">
        <f t="shared" ref="E50:E53" si="18">IF(ISNUMBER(D50), (D50 - $B50) / $B50, "")</f>
        <v>6.3063063063063154E-2</v>
      </c>
      <c r="F50" s="18">
        <f>IF(ISNUMBER(D50), $B64 * E50, "")</f>
        <v>6306.3063063063155</v>
      </c>
      <c r="G50" s="31">
        <v>23.8</v>
      </c>
      <c r="H50" s="32">
        <f t="shared" ref="H50:H53" si="19">IF(ISNUMBER(G50), (G50 - $B50) / $B50, "")</f>
        <v>7.2072072072072141E-2</v>
      </c>
      <c r="I50" s="101">
        <f>IF(ISNUMBER(G50), $B64 * H50, "")</f>
        <v>7207.2072072072142</v>
      </c>
      <c r="J50" s="15">
        <v>24</v>
      </c>
      <c r="K50" s="32">
        <f t="shared" ref="K50:K53" si="20">IF(ISNUMBER(J50), (J50 - $B50) / $B50, "")</f>
        <v>8.1081081081081113E-2</v>
      </c>
      <c r="L50" s="18">
        <f>IF(ISNUMBER(J50), $B64 * K50, "")</f>
        <v>8108.1081081081111</v>
      </c>
      <c r="M50" s="31">
        <v>23.3</v>
      </c>
      <c r="N50" s="32">
        <f t="shared" ref="N50:N53" si="21">IF(ISNUMBER(M50), (M50 - $B50) / $B50, "")</f>
        <v>4.9549549549549612E-2</v>
      </c>
      <c r="O50" s="18">
        <f>IF(ISNUMBER(M50), $B64 * N50, "")</f>
        <v>4954.9549549549611</v>
      </c>
      <c r="Q50" s="227"/>
      <c r="R50" s="227"/>
      <c r="S50" s="227"/>
    </row>
    <row r="51" spans="1:19" ht="17.25" customHeight="1" thickBot="1">
      <c r="A51" s="125" t="s">
        <v>148</v>
      </c>
      <c r="B51" s="126">
        <v>26.1</v>
      </c>
      <c r="C51" s="77">
        <v>5.6680161899999998E-2</v>
      </c>
      <c r="D51" s="15">
        <v>28.2</v>
      </c>
      <c r="E51" s="32">
        <f t="shared" si="18"/>
        <v>8.0459770114942444E-2</v>
      </c>
      <c r="F51" s="18">
        <f>IF(ISNUMBER(D51), $B64 * E51, "")</f>
        <v>8045.9770114942448</v>
      </c>
      <c r="G51" s="31">
        <v>29</v>
      </c>
      <c r="H51" s="32">
        <f t="shared" si="19"/>
        <v>0.11111111111111105</v>
      </c>
      <c r="I51" s="101">
        <f>IF(ISNUMBER(G51), $B64 * H51, "")</f>
        <v>11111.111111111104</v>
      </c>
      <c r="J51" s="15">
        <v>29.2</v>
      </c>
      <c r="K51" s="32">
        <f t="shared" si="20"/>
        <v>0.11877394636015316</v>
      </c>
      <c r="L51" s="18">
        <f>IF(ISNUMBER(J51), $B64 * K51, "")</f>
        <v>11877.394636015317</v>
      </c>
      <c r="M51" s="31">
        <v>29.3</v>
      </c>
      <c r="N51" s="32">
        <f t="shared" si="21"/>
        <v>0.1226053639846743</v>
      </c>
      <c r="O51" s="18">
        <f>IF(ISNUMBER(M51), $B64 * N51, "")</f>
        <v>12260.53639846743</v>
      </c>
      <c r="Q51" s="227"/>
      <c r="R51" s="227"/>
      <c r="S51" s="227"/>
    </row>
    <row r="52" spans="1:19" ht="17.25" customHeight="1" thickBot="1">
      <c r="A52" s="125" t="s">
        <v>216</v>
      </c>
      <c r="B52" s="126">
        <v>13.2</v>
      </c>
      <c r="C52" s="77">
        <v>5.6000000000000001E-2</v>
      </c>
      <c r="D52" s="15">
        <v>14.7</v>
      </c>
      <c r="E52" s="32">
        <f t="shared" si="18"/>
        <v>0.11363636363636365</v>
      </c>
      <c r="F52" s="18">
        <f>IF(ISNUMBER(D52), $B64 * E52, "")</f>
        <v>11363.636363636364</v>
      </c>
      <c r="G52" s="31">
        <v>14.9</v>
      </c>
      <c r="H52" s="32">
        <f t="shared" si="19"/>
        <v>0.12878787878787887</v>
      </c>
      <c r="I52" s="101">
        <f>IF(ISNUMBER(G52), $B64 * H52, "")</f>
        <v>12878.787878787887</v>
      </c>
      <c r="J52" s="15">
        <v>15.2</v>
      </c>
      <c r="K52" s="32">
        <f t="shared" si="20"/>
        <v>0.15151515151515152</v>
      </c>
      <c r="L52" s="18">
        <f>IF(ISNUMBER(J52), $B64 * K52, "")</f>
        <v>15151.515151515152</v>
      </c>
      <c r="M52" s="31">
        <v>13.9</v>
      </c>
      <c r="N52" s="32">
        <f t="shared" si="21"/>
        <v>5.3030303030303115E-2</v>
      </c>
      <c r="O52" s="18">
        <f>IF(ISNUMBER(M52), $B64 * N52, "")</f>
        <v>5303.0303030303112</v>
      </c>
      <c r="Q52" s="33"/>
      <c r="R52" s="33"/>
    </row>
    <row r="53" spans="1:19" ht="17.25" customHeight="1" thickBot="1">
      <c r="A53" s="130" t="s">
        <v>234</v>
      </c>
      <c r="B53" s="131">
        <v>95.3</v>
      </c>
      <c r="C53" s="79">
        <v>5.5370985599999999E-2</v>
      </c>
      <c r="D53" s="24">
        <v>103</v>
      </c>
      <c r="E53" s="25">
        <f t="shared" si="18"/>
        <v>8.0797481636936022E-2</v>
      </c>
      <c r="F53" s="104">
        <f>IF(ISNUMBER(D53), $B64 * E53, "")</f>
        <v>8079.7481636936018</v>
      </c>
      <c r="G53" s="102">
        <v>106</v>
      </c>
      <c r="H53" s="25">
        <f t="shared" si="19"/>
        <v>0.11227701993704095</v>
      </c>
      <c r="I53" s="103">
        <f>IF(ISNUMBER(G53), $B64 * H53, "")</f>
        <v>11227.701993704095</v>
      </c>
      <c r="J53" s="24">
        <v>107</v>
      </c>
      <c r="K53" s="25">
        <f t="shared" si="20"/>
        <v>0.12277019937040927</v>
      </c>
      <c r="L53" s="104">
        <f>IF(ISNUMBER(J53), $B64 * K53, "")</f>
        <v>12277.019937040926</v>
      </c>
      <c r="M53" s="102">
        <v>103</v>
      </c>
      <c r="N53" s="25">
        <f t="shared" si="21"/>
        <v>8.0797481636936022E-2</v>
      </c>
      <c r="O53" s="104">
        <f>IF(ISNUMBER(M53), $B64 * N53, "")</f>
        <v>8079.7481636936018</v>
      </c>
      <c r="Q53" s="236"/>
      <c r="R53" s="237"/>
      <c r="S53" s="238"/>
    </row>
    <row r="54" spans="1:19" ht="17.25" customHeight="1">
      <c r="A54" s="123" t="s">
        <v>190</v>
      </c>
      <c r="B54" s="124">
        <v>21.9</v>
      </c>
      <c r="C54" s="76">
        <v>5.2884615400000001E-2</v>
      </c>
      <c r="D54" s="13">
        <v>24</v>
      </c>
      <c r="E54" s="14">
        <f>IF(ISNUMBER(D54), (D54 - $B54) / $B54, "")</f>
        <v>9.5890410958904188E-2</v>
      </c>
      <c r="F54" s="16">
        <f>IF(ISNUMBER(D54), $B64 * E54, "")</f>
        <v>9589.0410958904195</v>
      </c>
      <c r="G54" s="29">
        <v>24.3</v>
      </c>
      <c r="H54" s="14">
        <f>IF(ISNUMBER(G54), (G54 - $B54) / $B54, "")</f>
        <v>0.10958904109589052</v>
      </c>
      <c r="I54" s="100">
        <f>IF(ISNUMBER(G54), $B64 * H54, "")</f>
        <v>10958.904109589052</v>
      </c>
      <c r="J54" s="13">
        <v>24.4</v>
      </c>
      <c r="K54" s="14">
        <f>IF(ISNUMBER(J54), (J54 - $B54) / $B54, "")</f>
        <v>0.11415525114155252</v>
      </c>
      <c r="L54" s="16">
        <f>IF(ISNUMBER(J54), $B64 * K54, "")</f>
        <v>11415.525114155253</v>
      </c>
      <c r="M54" s="29">
        <v>22.4</v>
      </c>
      <c r="N54" s="14">
        <f>IF(ISNUMBER(M54), (M54 - $B54) / $B54, "")</f>
        <v>2.2831050228310504E-2</v>
      </c>
      <c r="O54" s="16">
        <f>IF(ISNUMBER(M54), $B64 * N54, "")</f>
        <v>2283.1050228310505</v>
      </c>
      <c r="Q54" s="239"/>
      <c r="R54" s="240"/>
      <c r="S54" s="241"/>
    </row>
    <row r="55" spans="1:19" ht="17.25" customHeight="1" thickBot="1">
      <c r="A55" s="125" t="s">
        <v>204</v>
      </c>
      <c r="B55" s="126">
        <v>18.100000000000001</v>
      </c>
      <c r="C55" s="77">
        <v>4.0229885100000001E-2</v>
      </c>
      <c r="D55" s="15">
        <v>20</v>
      </c>
      <c r="E55" s="32">
        <f t="shared" ref="E55:E58" si="22">IF(ISNUMBER(D55), (D55 - $B55) / $B55, "")</f>
        <v>0.10497237569060765</v>
      </c>
      <c r="F55" s="18">
        <f>IF(ISNUMBER(D55), $B64 * E55, "")</f>
        <v>10497.237569060764</v>
      </c>
      <c r="G55" s="31">
        <v>19.7</v>
      </c>
      <c r="H55" s="32">
        <f t="shared" ref="H55:H58" si="23">IF(ISNUMBER(G55), (G55 - $B55) / $B55, "")</f>
        <v>8.839779005524849E-2</v>
      </c>
      <c r="I55" s="101">
        <f>IF(ISNUMBER(G55), $B64 * H55, "")</f>
        <v>8839.7790055248497</v>
      </c>
      <c r="J55" s="15">
        <v>20</v>
      </c>
      <c r="K55" s="32">
        <f t="shared" ref="K55:K58" si="24">IF(ISNUMBER(J55), (J55 - $B55) / $B55, "")</f>
        <v>0.10497237569060765</v>
      </c>
      <c r="L55" s="18">
        <f>IF(ISNUMBER(J55), $B64 * K55, "")</f>
        <v>10497.237569060764</v>
      </c>
      <c r="M55" s="31">
        <v>19.100000000000001</v>
      </c>
      <c r="N55" s="32">
        <f t="shared" ref="N55:N58" si="25">IF(ISNUMBER(M55), (M55 - $B55) / $B55, "")</f>
        <v>5.5248618784530384E-2</v>
      </c>
      <c r="O55" s="18">
        <f>IF(ISNUMBER(M55), $B64 * N55, "")</f>
        <v>5524.8618784530381</v>
      </c>
      <c r="Q55" s="242"/>
      <c r="R55" s="243"/>
      <c r="S55" s="244"/>
    </row>
    <row r="56" spans="1:19" ht="17.25" customHeight="1" thickBot="1">
      <c r="A56" s="125" t="s">
        <v>240</v>
      </c>
      <c r="B56" s="126">
        <v>81.8</v>
      </c>
      <c r="C56" s="77">
        <v>2.3779724700000001E-2</v>
      </c>
      <c r="D56" s="15">
        <v>90.1</v>
      </c>
      <c r="E56" s="32">
        <f t="shared" si="22"/>
        <v>0.10146699266503664</v>
      </c>
      <c r="F56" s="18">
        <f>IF(ISNUMBER(D56), $B64 * E56, "")</f>
        <v>10146.699266503665</v>
      </c>
      <c r="G56" s="31">
        <v>90.9</v>
      </c>
      <c r="H56" s="32">
        <f t="shared" si="23"/>
        <v>0.11124694376528128</v>
      </c>
      <c r="I56" s="101">
        <f>IF(ISNUMBER(G56), $B64 * H56, "")</f>
        <v>11124.694376528128</v>
      </c>
      <c r="J56" s="15">
        <v>90.2</v>
      </c>
      <c r="K56" s="32">
        <f t="shared" si="24"/>
        <v>0.10268948655256731</v>
      </c>
      <c r="L56" s="18">
        <f>IF(ISNUMBER(J56), $B64 * K56, "")</f>
        <v>10268.94865525673</v>
      </c>
      <c r="M56" s="31">
        <v>85.6</v>
      </c>
      <c r="N56" s="32">
        <f t="shared" si="25"/>
        <v>4.6454767726161333E-2</v>
      </c>
      <c r="O56" s="18">
        <f>IF(ISNUMBER(M56), $B64 * N56, "")</f>
        <v>4645.4767726161335</v>
      </c>
      <c r="Q56" s="227"/>
      <c r="R56" s="227"/>
      <c r="S56" s="227"/>
    </row>
    <row r="57" spans="1:19" ht="17.25" customHeight="1" thickBot="1">
      <c r="A57" s="125" t="s">
        <v>210</v>
      </c>
      <c r="B57" s="126">
        <v>17.100000000000001</v>
      </c>
      <c r="C57" s="77">
        <v>1.1834319500000001E-2</v>
      </c>
      <c r="D57" s="15">
        <v>18.600000000000001</v>
      </c>
      <c r="E57" s="32">
        <f t="shared" si="22"/>
        <v>8.771929824561403E-2</v>
      </c>
      <c r="F57" s="18">
        <f>IF(ISNUMBER(D57), $B64 * E57, "")</f>
        <v>8771.9298245614027</v>
      </c>
      <c r="G57" s="31">
        <v>18.600000000000001</v>
      </c>
      <c r="H57" s="32">
        <f t="shared" si="23"/>
        <v>8.771929824561403E-2</v>
      </c>
      <c r="I57" s="101">
        <f>IF(ISNUMBER(G57), $B64 * H57, "")</f>
        <v>8771.9298245614027</v>
      </c>
      <c r="J57" s="15">
        <v>18.5</v>
      </c>
      <c r="K57" s="32">
        <f t="shared" si="24"/>
        <v>8.1871345029239678E-2</v>
      </c>
      <c r="L57" s="18">
        <f>IF(ISNUMBER(J57), $B64 * K57, "")</f>
        <v>8187.1345029239674</v>
      </c>
      <c r="M57" s="31">
        <v>18.3</v>
      </c>
      <c r="N57" s="32">
        <f t="shared" si="25"/>
        <v>7.0175438596491183E-2</v>
      </c>
      <c r="O57" s="18">
        <f>IF(ISNUMBER(M57), $B64 * N57, "")</f>
        <v>7017.5438596491185</v>
      </c>
      <c r="Q57" s="222"/>
      <c r="R57" s="222"/>
      <c r="S57" s="222"/>
    </row>
    <row r="58" spans="1:19" ht="17.25" customHeight="1" thickBot="1">
      <c r="A58" s="127" t="s">
        <v>98</v>
      </c>
      <c r="B58" s="128">
        <v>5.56</v>
      </c>
      <c r="C58" s="78">
        <v>-1.2433392499999999E-2</v>
      </c>
      <c r="D58" s="20">
        <v>5.45</v>
      </c>
      <c r="E58" s="21">
        <f t="shared" si="22"/>
        <v>-1.9784172661870401E-2</v>
      </c>
      <c r="F58" s="22">
        <f>IF(ISNUMBER(D58), $B64 * E58, "")</f>
        <v>-1978.4172661870402</v>
      </c>
      <c r="G58" s="30">
        <v>5.51</v>
      </c>
      <c r="H58" s="21">
        <f t="shared" si="23"/>
        <v>-8.9928057553956518E-3</v>
      </c>
      <c r="I58" s="105">
        <f>IF(ISNUMBER(G58), $B64 * H58, "")</f>
        <v>-899.28057553956523</v>
      </c>
      <c r="J58" s="20">
        <v>5.52</v>
      </c>
      <c r="K58" s="21">
        <f t="shared" si="24"/>
        <v>-7.1942446043165541E-3</v>
      </c>
      <c r="L58" s="22">
        <f>IF(ISNUMBER(J58), $B64 * K58, "")</f>
        <v>-719.42446043165546</v>
      </c>
      <c r="M58" s="30">
        <v>5.54</v>
      </c>
      <c r="N58" s="21">
        <f t="shared" si="25"/>
        <v>-3.5971223021581968E-3</v>
      </c>
      <c r="O58" s="22">
        <f>IF(ISNUMBER(M58), $B64 * N58, "")</f>
        <v>-359.71223021581966</v>
      </c>
      <c r="Q58" s="222"/>
      <c r="R58" s="222"/>
      <c r="S58" s="222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27"/>
      <c r="R59" s="227"/>
      <c r="S59" s="227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7"/>
      <c r="R60" s="227"/>
      <c r="S60" s="22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132" t="s">
        <v>270</v>
      </c>
      <c r="B64" s="260">
        <f>$B$37</f>
        <v>100000</v>
      </c>
      <c r="C64" s="261"/>
      <c r="D64" s="26" t="s">
        <v>271</v>
      </c>
      <c r="E64" s="27">
        <f>IF(COUNT(E44:E63), SUM(E44:E63) / COUNT(E44:E63), 0)</f>
        <v>8.2479475039827249E-2</v>
      </c>
      <c r="F64" s="28">
        <f>SUM(F44:F63)</f>
        <v>123719.21255974089</v>
      </c>
      <c r="G64" s="26" t="s">
        <v>271</v>
      </c>
      <c r="H64" s="27">
        <f>IF(COUNT(H44:H63), SUM(H44:H63) / COUNT(H44:H63), 0)</f>
        <v>8.9275200674972952E-2</v>
      </c>
      <c r="I64" s="28">
        <f>SUM(I44:I63)</f>
        <v>133912.80101245944</v>
      </c>
      <c r="J64" s="26" t="s">
        <v>271</v>
      </c>
      <c r="K64" s="27">
        <f>IF(COUNT(K44:K63), SUM(K44:K63) / COUNT(K44:K63), 0)</f>
        <v>9.2440281665262525E-2</v>
      </c>
      <c r="L64" s="28">
        <f>SUM(L44:L63)</f>
        <v>138660.4224978938</v>
      </c>
      <c r="M64" s="26" t="s">
        <v>271</v>
      </c>
      <c r="N64" s="27">
        <f>IF(COUNT(N44:N63), SUM(N44:N63) / COUNT(N44:N63), 0)</f>
        <v>5.4626705419863829E-2</v>
      </c>
      <c r="O64" s="28">
        <f>SUM(O44:O63)</f>
        <v>81940.05812979574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73" t="s">
        <v>267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55149000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2.1442459999999998E-3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2021-09-05(일) 오전 00:00</v>
      </c>
      <c r="C69" s="265"/>
      <c r="D69" s="224" t="str">
        <f>TEXT($G$1, "[$-ko-KR]yyyy-mm-dd(ddd) ") &amp; "오후 14:00"</f>
        <v>2021-09-05(일) 오후 14:00</v>
      </c>
      <c r="E69" s="225"/>
      <c r="F69" s="226"/>
      <c r="G69" s="224" t="str">
        <f>TEXT($G$1, "[$-ko-KR]yyyy-mm-dd(ddd) ") &amp; "오후 19:00"</f>
        <v>2021-09-05(일) 오후 19:00</v>
      </c>
      <c r="H69" s="225"/>
      <c r="I69" s="226"/>
      <c r="J69" s="224" t="str">
        <f>TEXT($G$1, "[$-ko-KR]yyyy-mm-dd(ddd) ") &amp; "오후 21:00"</f>
        <v>2021-09-05(일) 오후 21:00</v>
      </c>
      <c r="K69" s="225"/>
      <c r="L69" s="226"/>
      <c r="M69" s="224" t="str">
        <f>TEXT($G$1+1, "[$-ko-KR]yyyy-mm-dd(ddd) ") &amp; "오전 00:00"</f>
        <v>2021-09-06(월)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7"/>
      <c r="R70" s="227"/>
      <c r="S70" s="227"/>
    </row>
    <row r="71" spans="1:19" ht="17.25" thickBot="1">
      <c r="A71" s="123" t="s">
        <v>124</v>
      </c>
      <c r="B71" s="124">
        <v>721</v>
      </c>
      <c r="C71" s="76">
        <v>0.58810572689999996</v>
      </c>
      <c r="D71" s="13">
        <v>831</v>
      </c>
      <c r="E71" s="14">
        <f>IF(ISNUMBER(D71), (D71 - $B71) / $B71, "")</f>
        <v>0.15256588072122051</v>
      </c>
      <c r="F71" s="16">
        <f>IF(ISNUMBER(D71), $B91 * E71, "")</f>
        <v>15256.588072122051</v>
      </c>
      <c r="G71" s="29">
        <v>789</v>
      </c>
      <c r="H71" s="14">
        <f>IF(ISNUMBER(G71), (G71 - $B71) / $B71, "")</f>
        <v>9.4313453536754507E-2</v>
      </c>
      <c r="I71" s="100">
        <f>IF(ISNUMBER(G71), $B91 * H71, "")</f>
        <v>9431.3453536754514</v>
      </c>
      <c r="J71" s="13">
        <v>783</v>
      </c>
      <c r="K71" s="14">
        <f>IF(ISNUMBER(J71), (J71 - $B71) / $B71, "")</f>
        <v>8.5991678224687937E-2</v>
      </c>
      <c r="L71" s="16">
        <f>IF(ISNUMBER(J71), $B91 * K71, "")</f>
        <v>8599.167822468793</v>
      </c>
      <c r="M71" s="29">
        <v>770</v>
      </c>
      <c r="N71" s="14">
        <f>IF(ISNUMBER(M71), (M71 - $B71) / $B71, "")</f>
        <v>6.7961165048543687E-2</v>
      </c>
      <c r="O71" s="16">
        <f>IF(ISNUMBER(M71), $B91 * N71, "")</f>
        <v>6796.1165048543689</v>
      </c>
      <c r="Q71" s="222"/>
      <c r="R71" s="222"/>
      <c r="S71" s="222"/>
    </row>
    <row r="72" spans="1:19" ht="17.25" thickBot="1">
      <c r="A72" s="125" t="s">
        <v>254</v>
      </c>
      <c r="B72" s="126">
        <v>487</v>
      </c>
      <c r="C72" s="77">
        <v>0.28496042220000001</v>
      </c>
      <c r="D72" s="15">
        <v>581</v>
      </c>
      <c r="E72" s="32">
        <f t="shared" ref="E72:E75" si="30">IF(ISNUMBER(D72), (D72 - $B72) / $B72, "")</f>
        <v>0.19301848049281314</v>
      </c>
      <c r="F72" s="18">
        <f>IF(ISNUMBER(D72), $B91 * E72, "")</f>
        <v>19301.848049281314</v>
      </c>
      <c r="G72" s="31">
        <v>533</v>
      </c>
      <c r="H72" s="32">
        <f t="shared" ref="H72:H75" si="31">IF(ISNUMBER(G72), (G72 - $B72) / $B72, "")</f>
        <v>9.4455852156057493E-2</v>
      </c>
      <c r="I72" s="101">
        <f>IF(ISNUMBER(G72), $B91 * H72, "")</f>
        <v>9445.5852156057499</v>
      </c>
      <c r="J72" s="15">
        <v>537</v>
      </c>
      <c r="K72" s="32">
        <f t="shared" ref="K72:K75" si="32">IF(ISNUMBER(J72), (J72 - $B72) / $B72, "")</f>
        <v>0.10266940451745379</v>
      </c>
      <c r="L72" s="18">
        <f>IF(ISNUMBER(J72), $B91 * K72, "")</f>
        <v>10266.940451745379</v>
      </c>
      <c r="M72" s="31">
        <v>524</v>
      </c>
      <c r="N72" s="32">
        <f t="shared" ref="N72:N75" si="33">IF(ISNUMBER(M72), (M72 - $B72) / $B72, "")</f>
        <v>7.5975359342915813E-2</v>
      </c>
      <c r="O72" s="18">
        <f>IF(ISNUMBER(M72), $B91 * N72, "")</f>
        <v>7597.5359342915817</v>
      </c>
      <c r="Q72" s="222"/>
      <c r="R72" s="222"/>
      <c r="S72" s="222"/>
    </row>
    <row r="73" spans="1:19" ht="17.25" thickBot="1">
      <c r="A73" s="125" t="s">
        <v>174</v>
      </c>
      <c r="B73" s="126">
        <v>540</v>
      </c>
      <c r="C73" s="77">
        <v>0.19469026549999999</v>
      </c>
      <c r="D73" s="15">
        <v>510</v>
      </c>
      <c r="E73" s="32">
        <f t="shared" si="30"/>
        <v>-5.5555555555555552E-2</v>
      </c>
      <c r="F73" s="18">
        <f>IF(ISNUMBER(D73), $B91 * E73, "")</f>
        <v>-5555.5555555555557</v>
      </c>
      <c r="G73" s="31">
        <v>492</v>
      </c>
      <c r="H73" s="32">
        <f t="shared" si="31"/>
        <v>-8.8888888888888892E-2</v>
      </c>
      <c r="I73" s="101">
        <f>IF(ISNUMBER(G73), $B91 * H73, "")</f>
        <v>-8888.8888888888887</v>
      </c>
      <c r="J73" s="15">
        <v>496</v>
      </c>
      <c r="K73" s="32">
        <f t="shared" si="32"/>
        <v>-8.1481481481481488E-2</v>
      </c>
      <c r="L73" s="18">
        <f>IF(ISNUMBER(J73), $B91 * K73, "")</f>
        <v>-8148.1481481481487</v>
      </c>
      <c r="M73" s="31">
        <v>489</v>
      </c>
      <c r="N73" s="32">
        <f t="shared" si="33"/>
        <v>-9.4444444444444442E-2</v>
      </c>
      <c r="O73" s="18">
        <f>IF(ISNUMBER(M73), $B91 * N73, "")</f>
        <v>-9444.4444444444434</v>
      </c>
      <c r="Q73" s="227"/>
      <c r="R73" s="227"/>
      <c r="S73" s="227"/>
    </row>
    <row r="74" spans="1:19" ht="17.25" thickBot="1">
      <c r="A74" s="125" t="s">
        <v>238</v>
      </c>
      <c r="B74" s="126">
        <v>161</v>
      </c>
      <c r="C74" s="77">
        <v>0.14184397160000001</v>
      </c>
      <c r="D74" s="15">
        <v>158</v>
      </c>
      <c r="E74" s="32">
        <f t="shared" si="30"/>
        <v>-1.8633540372670808E-2</v>
      </c>
      <c r="F74" s="18">
        <f>IF(ISNUMBER(D74), $B91 * E74, "")</f>
        <v>-1863.3540372670807</v>
      </c>
      <c r="G74" s="31">
        <v>158</v>
      </c>
      <c r="H74" s="32">
        <f t="shared" si="31"/>
        <v>-1.8633540372670808E-2</v>
      </c>
      <c r="I74" s="101">
        <f>IF(ISNUMBER(G74), $B91 * H74, "")</f>
        <v>-1863.3540372670807</v>
      </c>
      <c r="J74" s="15">
        <v>162</v>
      </c>
      <c r="K74" s="32">
        <f t="shared" si="32"/>
        <v>6.2111801242236021E-3</v>
      </c>
      <c r="L74" s="18">
        <f>IF(ISNUMBER(J74), $B91 * K74, "")</f>
        <v>621.11801242236015</v>
      </c>
      <c r="M74" s="31">
        <v>160</v>
      </c>
      <c r="N74" s="32">
        <f t="shared" si="33"/>
        <v>-6.2111801242236021E-3</v>
      </c>
      <c r="O74" s="18">
        <f>IF(ISNUMBER(M74), $B91 * N74, "")</f>
        <v>-621.11801242236015</v>
      </c>
      <c r="Q74" s="227"/>
      <c r="R74" s="227"/>
      <c r="S74" s="227"/>
    </row>
    <row r="75" spans="1:19" ht="17.25" thickBot="1">
      <c r="A75" s="127" t="s">
        <v>236</v>
      </c>
      <c r="B75" s="128">
        <v>848</v>
      </c>
      <c r="C75" s="78">
        <v>0.1202113606</v>
      </c>
      <c r="D75" s="20">
        <v>823</v>
      </c>
      <c r="E75" s="21">
        <f t="shared" si="30"/>
        <v>-2.9481132075471699E-2</v>
      </c>
      <c r="F75" s="22">
        <f>IF(ISNUMBER(D75), $B91 * E75, "")</f>
        <v>-2948.1132075471701</v>
      </c>
      <c r="G75" s="30">
        <v>819</v>
      </c>
      <c r="H75" s="21">
        <f t="shared" si="31"/>
        <v>-3.4198113207547169E-2</v>
      </c>
      <c r="I75" s="105">
        <f>IF(ISNUMBER(G75), $B91 * H75, "")</f>
        <v>-3419.8113207547167</v>
      </c>
      <c r="J75" s="20">
        <v>821</v>
      </c>
      <c r="K75" s="21">
        <f t="shared" si="32"/>
        <v>-3.1839622641509434E-2</v>
      </c>
      <c r="L75" s="22">
        <f>IF(ISNUMBER(J75), $B91 * K75, "")</f>
        <v>-3183.9622641509432</v>
      </c>
      <c r="M75" s="30">
        <v>814</v>
      </c>
      <c r="N75" s="21">
        <f t="shared" si="33"/>
        <v>-4.0094339622641507E-2</v>
      </c>
      <c r="O75" s="22">
        <f>IF(ISNUMBER(M75), $B91 * N75, "")</f>
        <v>-4009.4339622641505</v>
      </c>
      <c r="Q75" s="227"/>
      <c r="R75" s="227"/>
      <c r="S75" s="227"/>
    </row>
    <row r="76" spans="1:19" ht="17.25" thickBot="1">
      <c r="A76" s="125" t="s">
        <v>222</v>
      </c>
      <c r="B76" s="129">
        <v>213</v>
      </c>
      <c r="C76" s="80">
        <v>0.103626943</v>
      </c>
      <c r="D76" s="106">
        <v>234</v>
      </c>
      <c r="E76" s="107">
        <f>IF(ISNUMBER(D76), (D76 - $B76) / $B76, "")</f>
        <v>9.8591549295774641E-2</v>
      </c>
      <c r="F76" s="108">
        <f>IF(ISNUMBER(D76), $B91 * E76, "")</f>
        <v>9859.1549295774639</v>
      </c>
      <c r="G76" s="109">
        <v>234</v>
      </c>
      <c r="H76" s="107">
        <f>IF(ISNUMBER(G76), (G76 - $B76) / $B76, "")</f>
        <v>9.8591549295774641E-2</v>
      </c>
      <c r="I76" s="110">
        <f>IF(ISNUMBER(G76), $B91 * H76, "")</f>
        <v>9859.1549295774639</v>
      </c>
      <c r="J76" s="106">
        <v>232</v>
      </c>
      <c r="K76" s="107">
        <f>IF(ISNUMBER(J76), (J76 - $B76) / $B76, "")</f>
        <v>8.9201877934272297E-2</v>
      </c>
      <c r="L76" s="108">
        <f>IF(ISNUMBER(J76), $B91 * K76, "")</f>
        <v>8920.1877934272288</v>
      </c>
      <c r="M76" s="109">
        <v>213</v>
      </c>
      <c r="N76" s="107">
        <f>IF(ISNUMBER(M76), (M76 - $B76) / $B76, "")</f>
        <v>0</v>
      </c>
      <c r="O76" s="108">
        <f>IF(ISNUMBER(M76), $B91 * N76, "")</f>
        <v>0</v>
      </c>
      <c r="Q76" s="227"/>
      <c r="R76" s="227"/>
      <c r="S76" s="227"/>
    </row>
    <row r="77" spans="1:19" ht="17.25" thickBot="1">
      <c r="A77" s="125" t="s">
        <v>228</v>
      </c>
      <c r="B77" s="126">
        <v>521</v>
      </c>
      <c r="C77" s="77">
        <v>8.7682672200000006E-2</v>
      </c>
      <c r="D77" s="15">
        <v>1000</v>
      </c>
      <c r="E77" s="32">
        <f t="shared" ref="E77:E80" si="34">IF(ISNUMBER(D77), (D77 - $B77) / $B77, "")</f>
        <v>0.91938579654510555</v>
      </c>
      <c r="F77" s="18">
        <f>IF(ISNUMBER(D77), $B91 * E77, "")</f>
        <v>91938.579654510555</v>
      </c>
      <c r="G77" s="31">
        <v>950</v>
      </c>
      <c r="H77" s="32">
        <f t="shared" ref="H77:H80" si="35">IF(ISNUMBER(G77), (G77 - $B77) / $B77, "")</f>
        <v>0.82341650671785027</v>
      </c>
      <c r="I77" s="101">
        <f>IF(ISNUMBER(G77), $B91 * H77, "")</f>
        <v>82341.650671785028</v>
      </c>
      <c r="J77" s="15">
        <v>915</v>
      </c>
      <c r="K77" s="32">
        <f t="shared" ref="K77:K80" si="36">IF(ISNUMBER(J77), (J77 - $B77) / $B77, "")</f>
        <v>0.7562380038387716</v>
      </c>
      <c r="L77" s="18">
        <f>IF(ISNUMBER(J77), $B91 * K77, "")</f>
        <v>75623.800383877155</v>
      </c>
      <c r="M77" s="31">
        <v>957</v>
      </c>
      <c r="N77" s="32">
        <f t="shared" ref="N77:N80" si="37">IF(ISNUMBER(M77), (M77 - $B77) / $B77, "")</f>
        <v>0.83685220729366605</v>
      </c>
      <c r="O77" s="18">
        <f>IF(ISNUMBER(M77), $B91 * N77, "")</f>
        <v>83685.2207293666</v>
      </c>
      <c r="Q77" s="227"/>
      <c r="R77" s="227"/>
      <c r="S77" s="227"/>
    </row>
    <row r="78" spans="1:19" ht="17.25" thickBot="1">
      <c r="A78" s="125" t="s">
        <v>218</v>
      </c>
      <c r="B78" s="126">
        <v>166</v>
      </c>
      <c r="C78" s="77">
        <v>7.7922077899999997E-2</v>
      </c>
      <c r="D78" s="15">
        <v>181</v>
      </c>
      <c r="E78" s="32">
        <f t="shared" si="34"/>
        <v>9.036144578313253E-2</v>
      </c>
      <c r="F78" s="18">
        <f>IF(ISNUMBER(D78), $B91 * E78, "")</f>
        <v>9036.1445783132531</v>
      </c>
      <c r="G78" s="31">
        <v>183</v>
      </c>
      <c r="H78" s="32">
        <f t="shared" si="35"/>
        <v>0.10240963855421686</v>
      </c>
      <c r="I78" s="101">
        <f>IF(ISNUMBER(G78), $B91 * H78, "")</f>
        <v>10240.963855421687</v>
      </c>
      <c r="J78" s="15">
        <v>188</v>
      </c>
      <c r="K78" s="32">
        <f t="shared" si="36"/>
        <v>0.13253012048192772</v>
      </c>
      <c r="L78" s="18">
        <f>IF(ISNUMBER(J78), $B91 * K78, "")</f>
        <v>13253.012048192772</v>
      </c>
      <c r="M78" s="31">
        <v>167</v>
      </c>
      <c r="N78" s="32">
        <f t="shared" si="37"/>
        <v>6.024096385542169E-3</v>
      </c>
      <c r="O78" s="18">
        <f>IF(ISNUMBER(M78), $B91 * N78, "")</f>
        <v>602.40963855421694</v>
      </c>
      <c r="Q78" s="227"/>
      <c r="R78" s="227"/>
      <c r="S78" s="227"/>
    </row>
    <row r="79" spans="1:19" ht="17.25" thickBot="1">
      <c r="A79" s="125" t="s">
        <v>110</v>
      </c>
      <c r="B79" s="126">
        <v>221</v>
      </c>
      <c r="C79" s="77">
        <v>7.2815534000000001E-2</v>
      </c>
      <c r="D79" s="15">
        <v>240</v>
      </c>
      <c r="E79" s="32">
        <f t="shared" si="34"/>
        <v>8.5972850678733032E-2</v>
      </c>
      <c r="F79" s="18">
        <f>IF(ISNUMBER(D79), $B91 * E79, "")</f>
        <v>8597.285067873303</v>
      </c>
      <c r="G79" s="31">
        <v>246</v>
      </c>
      <c r="H79" s="32">
        <f t="shared" si="35"/>
        <v>0.11312217194570136</v>
      </c>
      <c r="I79" s="101">
        <f>IF(ISNUMBER(G79), $B91 * H79, "")</f>
        <v>11312.217194570136</v>
      </c>
      <c r="J79" s="15">
        <v>244</v>
      </c>
      <c r="K79" s="32">
        <f t="shared" si="36"/>
        <v>0.10407239819004525</v>
      </c>
      <c r="L79" s="18">
        <f>IF(ISNUMBER(J79), $B91 * K79, "")</f>
        <v>10407.239819004526</v>
      </c>
      <c r="M79" s="31">
        <v>225</v>
      </c>
      <c r="N79" s="32">
        <f t="shared" si="37"/>
        <v>1.8099547511312219E-2</v>
      </c>
      <c r="O79" s="18">
        <f>IF(ISNUMBER(M79), $B91 * N79, "")</f>
        <v>1809.9547511312219</v>
      </c>
      <c r="Q79" s="33"/>
      <c r="R79" s="33"/>
    </row>
    <row r="80" spans="1:19" ht="17.25" thickBot="1">
      <c r="A80" s="130" t="s">
        <v>164</v>
      </c>
      <c r="B80" s="131">
        <v>905</v>
      </c>
      <c r="C80" s="79">
        <v>7.2274881499999999E-2</v>
      </c>
      <c r="D80" s="24">
        <v>777</v>
      </c>
      <c r="E80" s="25">
        <f t="shared" si="34"/>
        <v>-0.1414364640883978</v>
      </c>
      <c r="F80" s="104">
        <f>IF(ISNUMBER(D80), $B91 * E80, "")</f>
        <v>-14143.646408839781</v>
      </c>
      <c r="G80" s="102">
        <v>784</v>
      </c>
      <c r="H80" s="25">
        <f t="shared" si="35"/>
        <v>-0.13370165745856355</v>
      </c>
      <c r="I80" s="103">
        <f>IF(ISNUMBER(G80), $B91 * H80, "")</f>
        <v>-13370.165745856355</v>
      </c>
      <c r="J80" s="24">
        <v>784</v>
      </c>
      <c r="K80" s="25">
        <f t="shared" si="36"/>
        <v>-0.13370165745856355</v>
      </c>
      <c r="L80" s="104">
        <f>IF(ISNUMBER(J80), $B91 * K80, "")</f>
        <v>-13370.165745856355</v>
      </c>
      <c r="M80" s="102">
        <v>765</v>
      </c>
      <c r="N80" s="25">
        <f t="shared" si="37"/>
        <v>-0.15469613259668508</v>
      </c>
      <c r="O80" s="104">
        <f>IF(ISNUMBER(M80), $B91 * N80, "")</f>
        <v>-15469.613259668507</v>
      </c>
      <c r="Q80" s="236"/>
      <c r="R80" s="237"/>
      <c r="S80" s="238"/>
    </row>
    <row r="81" spans="1:19">
      <c r="A81" s="123" t="s">
        <v>144</v>
      </c>
      <c r="B81" s="124">
        <v>134</v>
      </c>
      <c r="C81" s="76">
        <v>7.1999999999999995E-2</v>
      </c>
      <c r="D81" s="13">
        <v>138</v>
      </c>
      <c r="E81" s="14">
        <f>IF(ISNUMBER(D81), (D81 - $B81) / $B81, "")</f>
        <v>2.9850746268656716E-2</v>
      </c>
      <c r="F81" s="16">
        <f>IF(ISNUMBER(D81), $B91 * E81, "")</f>
        <v>2985.0746268656717</v>
      </c>
      <c r="G81" s="29">
        <v>140</v>
      </c>
      <c r="H81" s="14">
        <f>IF(ISNUMBER(G81), (G81 - $B81) / $B81, "")</f>
        <v>4.4776119402985072E-2</v>
      </c>
      <c r="I81" s="100">
        <f>IF(ISNUMBER(G81), $B91 * H81, "")</f>
        <v>4477.6119402985069</v>
      </c>
      <c r="J81" s="13">
        <v>147</v>
      </c>
      <c r="K81" s="14">
        <f>IF(ISNUMBER(J81), (J81 - $B81) / $B81, "")</f>
        <v>9.7014925373134331E-2</v>
      </c>
      <c r="L81" s="16">
        <f>IF(ISNUMBER(J81), $B91 * K81, "")</f>
        <v>9701.4925373134338</v>
      </c>
      <c r="M81" s="29">
        <v>141</v>
      </c>
      <c r="N81" s="14">
        <f>IF(ISNUMBER(M81), (M81 - $B81) / $B81, "")</f>
        <v>5.2238805970149252E-2</v>
      </c>
      <c r="O81" s="16">
        <f>IF(ISNUMBER(M81), $B91 * N81, "")</f>
        <v>5223.8805970149251</v>
      </c>
      <c r="Q81" s="239"/>
      <c r="R81" s="240"/>
      <c r="S81" s="241"/>
    </row>
    <row r="82" spans="1:19" ht="17.25" thickBot="1">
      <c r="A82" s="125" t="s">
        <v>242</v>
      </c>
      <c r="B82" s="126">
        <v>786</v>
      </c>
      <c r="C82" s="77">
        <v>7.0844686599999998E-2</v>
      </c>
      <c r="D82" s="15">
        <v>722</v>
      </c>
      <c r="E82" s="32">
        <f t="shared" ref="E82:E85" si="38">IF(ISNUMBER(D82), (D82 - $B82) / $B82, "")</f>
        <v>-8.1424936386768454E-2</v>
      </c>
      <c r="F82" s="18">
        <f>IF(ISNUMBER(D82), $B91 * E82, "")</f>
        <v>-8142.493638676845</v>
      </c>
      <c r="G82" s="31">
        <v>695</v>
      </c>
      <c r="H82" s="32">
        <f t="shared" ref="H82:H85" si="39">IF(ISNUMBER(G82), (G82 - $B82) / $B82, "")</f>
        <v>-0.11577608142493638</v>
      </c>
      <c r="I82" s="101">
        <f>IF(ISNUMBER(G82), $B91 * H82, "")</f>
        <v>-11577.608142493638</v>
      </c>
      <c r="J82" s="15">
        <v>689</v>
      </c>
      <c r="K82" s="32">
        <f t="shared" ref="K82:K85" si="40">IF(ISNUMBER(J82), (J82 - $B82) / $B82, "")</f>
        <v>-0.12340966921119594</v>
      </c>
      <c r="L82" s="18">
        <f>IF(ISNUMBER(J82), $B91 * K82, "")</f>
        <v>-12340.966921119594</v>
      </c>
      <c r="M82" s="31">
        <v>693</v>
      </c>
      <c r="N82" s="32">
        <f t="shared" ref="N82:N85" si="41">IF(ISNUMBER(M82), (M82 - $B82) / $B82, "")</f>
        <v>-0.1183206106870229</v>
      </c>
      <c r="O82" s="18">
        <f>IF(ISNUMBER(M82), $B91 * N82, "")</f>
        <v>-11832.061068702291</v>
      </c>
      <c r="Q82" s="242"/>
      <c r="R82" s="243"/>
      <c r="S82" s="244"/>
    </row>
    <row r="83" spans="1:19" ht="17.25" thickBot="1">
      <c r="A83" s="125" t="s">
        <v>202</v>
      </c>
      <c r="B83" s="126">
        <v>104</v>
      </c>
      <c r="C83" s="77">
        <v>6.9958847699999993E-2</v>
      </c>
      <c r="D83" s="15">
        <v>115</v>
      </c>
      <c r="E83" s="32">
        <f t="shared" si="38"/>
        <v>0.10576923076923077</v>
      </c>
      <c r="F83" s="18">
        <f>IF(ISNUMBER(D83), $B91 * E83, "")</f>
        <v>10576.923076923076</v>
      </c>
      <c r="G83" s="31">
        <v>116</v>
      </c>
      <c r="H83" s="32">
        <f t="shared" si="39"/>
        <v>0.11538461538461539</v>
      </c>
      <c r="I83" s="101">
        <f>IF(ISNUMBER(G83), $B91 * H83, "")</f>
        <v>11538.461538461539</v>
      </c>
      <c r="J83" s="15">
        <v>114</v>
      </c>
      <c r="K83" s="32">
        <f t="shared" si="40"/>
        <v>9.6153846153846159E-2</v>
      </c>
      <c r="L83" s="18">
        <f>IF(ISNUMBER(J83), $B91 * K83, "")</f>
        <v>9615.3846153846152</v>
      </c>
      <c r="M83" s="31">
        <v>110</v>
      </c>
      <c r="N83" s="32">
        <f t="shared" si="41"/>
        <v>5.7692307692307696E-2</v>
      </c>
      <c r="O83" s="18">
        <f>IF(ISNUMBER(M83), $B91 * N83, "")</f>
        <v>5769.2307692307695</v>
      </c>
      <c r="Q83" s="227"/>
      <c r="R83" s="227"/>
      <c r="S83" s="227"/>
    </row>
    <row r="84" spans="1:19" ht="17.25" thickBot="1">
      <c r="A84" s="125" t="s">
        <v>86</v>
      </c>
      <c r="B84" s="126">
        <v>483</v>
      </c>
      <c r="C84" s="77">
        <v>5.6892778999999997E-2</v>
      </c>
      <c r="D84" s="15">
        <v>479</v>
      </c>
      <c r="E84" s="32">
        <f t="shared" si="38"/>
        <v>-8.2815734989648039E-3</v>
      </c>
      <c r="F84" s="18">
        <f>IF(ISNUMBER(D84), $B91 * E84, "")</f>
        <v>-828.15734989648035</v>
      </c>
      <c r="G84" s="31">
        <v>485</v>
      </c>
      <c r="H84" s="32">
        <f t="shared" si="39"/>
        <v>4.140786749482402E-3</v>
      </c>
      <c r="I84" s="101">
        <f>IF(ISNUMBER(G84), $B91 * H84, "")</f>
        <v>414.07867494824018</v>
      </c>
      <c r="J84" s="15">
        <v>482</v>
      </c>
      <c r="K84" s="32">
        <f t="shared" si="40"/>
        <v>-2.070393374741201E-3</v>
      </c>
      <c r="L84" s="18">
        <f>IF(ISNUMBER(J84), $B91 * K84, "")</f>
        <v>-207.03933747412009</v>
      </c>
      <c r="M84" s="31">
        <v>485</v>
      </c>
      <c r="N84" s="32">
        <f t="shared" si="41"/>
        <v>4.140786749482402E-3</v>
      </c>
      <c r="O84" s="18">
        <f>IF(ISNUMBER(M84), $B91 * N84, "")</f>
        <v>414.07867494824018</v>
      </c>
      <c r="Q84" s="222"/>
      <c r="R84" s="222"/>
      <c r="S84" s="222"/>
    </row>
    <row r="85" spans="1:19" ht="17.25" thickBot="1">
      <c r="A85" s="127" t="s">
        <v>192</v>
      </c>
      <c r="B85" s="128">
        <v>338</v>
      </c>
      <c r="C85" s="78">
        <v>5.6250000000000001E-2</v>
      </c>
      <c r="D85" s="20">
        <v>468</v>
      </c>
      <c r="E85" s="21">
        <f t="shared" si="38"/>
        <v>0.38461538461538464</v>
      </c>
      <c r="F85" s="22">
        <f>IF(ISNUMBER(D85), $B91 * E85, "")</f>
        <v>38461.538461538461</v>
      </c>
      <c r="G85" s="30">
        <v>433</v>
      </c>
      <c r="H85" s="21">
        <f t="shared" si="39"/>
        <v>0.28106508875739644</v>
      </c>
      <c r="I85" s="105">
        <f>IF(ISNUMBER(G85), $B91 * H85, "")</f>
        <v>28106.508875739644</v>
      </c>
      <c r="J85" s="20">
        <v>430</v>
      </c>
      <c r="K85" s="21">
        <f t="shared" si="40"/>
        <v>0.27218934911242604</v>
      </c>
      <c r="L85" s="22">
        <f>IF(ISNUMBER(J85), $B91 * K85, "")</f>
        <v>27218.934911242603</v>
      </c>
      <c r="M85" s="30">
        <v>412</v>
      </c>
      <c r="N85" s="21">
        <f t="shared" si="41"/>
        <v>0.21893491124260356</v>
      </c>
      <c r="O85" s="22">
        <f>IF(ISNUMBER(M85), $B91 * N85, "")</f>
        <v>21893.491124260356</v>
      </c>
      <c r="Q85" s="222"/>
      <c r="R85" s="222"/>
      <c r="S85" s="222"/>
    </row>
    <row r="86" spans="1:19" ht="17.25" thickBot="1">
      <c r="A86" s="125" t="s">
        <v>194</v>
      </c>
      <c r="B86" s="129">
        <v>163</v>
      </c>
      <c r="C86" s="80">
        <v>5.1612903199999997E-2</v>
      </c>
      <c r="D86" s="106">
        <v>173</v>
      </c>
      <c r="E86" s="107">
        <f>IF(ISNUMBER(D86), (D86 - $B86) / $B86, "")</f>
        <v>6.1349693251533742E-2</v>
      </c>
      <c r="F86" s="108">
        <f>IF(ISNUMBER(D86), $B91 * E86, "")</f>
        <v>6134.9693251533745</v>
      </c>
      <c r="G86" s="109">
        <v>176</v>
      </c>
      <c r="H86" s="107">
        <f>IF(ISNUMBER(G86), (G86 - $B86) / $B86, "")</f>
        <v>7.9754601226993863E-2</v>
      </c>
      <c r="I86" s="110">
        <f>IF(ISNUMBER(G86), $B91 * H86, "")</f>
        <v>7975.4601226993864</v>
      </c>
      <c r="J86" s="106">
        <v>180</v>
      </c>
      <c r="K86" s="107">
        <f>IF(ISNUMBER(J86), (J86 - $B86) / $B86, "")</f>
        <v>0.10429447852760736</v>
      </c>
      <c r="L86" s="108">
        <f>IF(ISNUMBER(J86), $B91 * K86, "")</f>
        <v>10429.447852760735</v>
      </c>
      <c r="M86" s="109">
        <v>167</v>
      </c>
      <c r="N86" s="107">
        <f>IF(ISNUMBER(M86), (M86 - $B86) / $B86, "")</f>
        <v>2.4539877300613498E-2</v>
      </c>
      <c r="O86" s="108">
        <f>IF(ISNUMBER(M86), $B91 * N86, "")</f>
        <v>2453.9877300613498</v>
      </c>
      <c r="Q86" s="227"/>
      <c r="R86" s="227"/>
      <c r="S86" s="227"/>
    </row>
    <row r="87" spans="1:19" ht="17.25" thickBot="1">
      <c r="A87" s="125" t="s">
        <v>162</v>
      </c>
      <c r="B87" s="126">
        <v>127</v>
      </c>
      <c r="C87" s="77">
        <v>4.9586776899999997E-2</v>
      </c>
      <c r="D87" s="15">
        <v>137</v>
      </c>
      <c r="E87" s="32">
        <f t="shared" ref="E87:E90" si="42">IF(ISNUMBER(D87), (D87 - $B87) / $B87, "")</f>
        <v>7.874015748031496E-2</v>
      </c>
      <c r="F87" s="18">
        <f>IF(ISNUMBER(D87), $B91 * E87, "")</f>
        <v>7874.0157480314956</v>
      </c>
      <c r="G87" s="31">
        <v>137</v>
      </c>
      <c r="H87" s="32">
        <f t="shared" ref="H87:H90" si="43">IF(ISNUMBER(G87), (G87 - $B87) / $B87, "")</f>
        <v>7.874015748031496E-2</v>
      </c>
      <c r="I87" s="101">
        <f>IF(ISNUMBER(G87), $B91 * H87, "")</f>
        <v>7874.0157480314956</v>
      </c>
      <c r="J87" s="15">
        <v>138</v>
      </c>
      <c r="K87" s="32">
        <f t="shared" ref="K87:K90" si="44">IF(ISNUMBER(J87), (J87 - $B87) / $B87, "")</f>
        <v>8.6614173228346455E-2</v>
      </c>
      <c r="L87" s="18">
        <f>IF(ISNUMBER(J87), $B91 * K87, "")</f>
        <v>8661.4173228346463</v>
      </c>
      <c r="M87" s="31">
        <v>139</v>
      </c>
      <c r="N87" s="32">
        <f t="shared" ref="N87:N90" si="45">IF(ISNUMBER(M87), (M87 - $B87) / $B87, "")</f>
        <v>9.4488188976377951E-2</v>
      </c>
      <c r="O87" s="18">
        <f>IF(ISNUMBER(M87), $B91 * N87, "")</f>
        <v>9448.8188976377951</v>
      </c>
      <c r="Q87" s="227"/>
      <c r="R87" s="227"/>
      <c r="S87" s="227"/>
    </row>
    <row r="88" spans="1:19" ht="17.25" thickBot="1">
      <c r="A88" s="125" t="s">
        <v>166</v>
      </c>
      <c r="B88" s="126">
        <v>281</v>
      </c>
      <c r="C88" s="77">
        <v>4.8507462699999997E-2</v>
      </c>
      <c r="D88" s="15">
        <v>300</v>
      </c>
      <c r="E88" s="32">
        <f t="shared" si="42"/>
        <v>6.7615658362989328E-2</v>
      </c>
      <c r="F88" s="18">
        <f>IF(ISNUMBER(D88), $B91 * E88, "")</f>
        <v>6761.5658362989325</v>
      </c>
      <c r="G88" s="31">
        <v>309</v>
      </c>
      <c r="H88" s="32">
        <f t="shared" si="43"/>
        <v>9.9644128113879002E-2</v>
      </c>
      <c r="I88" s="101">
        <f>IF(ISNUMBER(G88), $B91 * H88, "")</f>
        <v>9964.4128113878996</v>
      </c>
      <c r="J88" s="15">
        <v>311</v>
      </c>
      <c r="K88" s="32">
        <f t="shared" si="44"/>
        <v>0.10676156583629894</v>
      </c>
      <c r="L88" s="18">
        <f>IF(ISNUMBER(J88), $B91 * K88, "")</f>
        <v>10676.156583629894</v>
      </c>
      <c r="M88" s="31">
        <v>286</v>
      </c>
      <c r="N88" s="32">
        <f t="shared" si="45"/>
        <v>1.7793594306049824E-2</v>
      </c>
      <c r="O88" s="18">
        <f>IF(ISNUMBER(M88), $B91 * N88, "")</f>
        <v>1779.3594306049824</v>
      </c>
      <c r="Q88" s="227"/>
      <c r="R88" s="227"/>
      <c r="S88" s="227"/>
    </row>
    <row r="89" spans="1:19">
      <c r="A89" s="125" t="s">
        <v>220</v>
      </c>
      <c r="B89" s="126">
        <v>251</v>
      </c>
      <c r="C89" s="77">
        <v>4.5833333300000001E-2</v>
      </c>
      <c r="D89" s="15">
        <v>282</v>
      </c>
      <c r="E89" s="32">
        <f t="shared" si="42"/>
        <v>0.12350597609561753</v>
      </c>
      <c r="F89" s="18">
        <f>IF(ISNUMBER(D89), $B91 * E89, "")</f>
        <v>12350.597609561753</v>
      </c>
      <c r="G89" s="31">
        <v>332</v>
      </c>
      <c r="H89" s="32">
        <f t="shared" si="43"/>
        <v>0.32270916334661354</v>
      </c>
      <c r="I89" s="101">
        <f>IF(ISNUMBER(G89), $B91 * H89, "")</f>
        <v>32270.916334661353</v>
      </c>
      <c r="J89" s="15">
        <v>305</v>
      </c>
      <c r="K89" s="32">
        <f t="shared" si="44"/>
        <v>0.2151394422310757</v>
      </c>
      <c r="L89" s="18">
        <f>IF(ISNUMBER(J89), $B91 * K89, "")</f>
        <v>21513.94422310757</v>
      </c>
      <c r="M89" s="31">
        <v>288</v>
      </c>
      <c r="N89" s="32">
        <f t="shared" si="45"/>
        <v>0.14741035856573706</v>
      </c>
      <c r="O89" s="18">
        <f>IF(ISNUMBER(M89), $B91 * N89, "")</f>
        <v>14741.035856573706</v>
      </c>
      <c r="Q89" s="249"/>
      <c r="R89" s="250"/>
      <c r="S89" s="251"/>
    </row>
    <row r="90" spans="1:19" ht="17.25" thickBot="1">
      <c r="A90" s="130" t="s">
        <v>132</v>
      </c>
      <c r="B90" s="131">
        <v>144</v>
      </c>
      <c r="C90" s="79">
        <v>4.3478260900000003E-2</v>
      </c>
      <c r="D90" s="24">
        <v>147</v>
      </c>
      <c r="E90" s="25">
        <f t="shared" si="42"/>
        <v>2.0833333333333332E-2</v>
      </c>
      <c r="F90" s="104">
        <f>IF(ISNUMBER(D90), $B91 * E90, "")</f>
        <v>2083.333333333333</v>
      </c>
      <c r="G90" s="102">
        <v>150</v>
      </c>
      <c r="H90" s="25">
        <f t="shared" si="43"/>
        <v>4.1666666666666664E-2</v>
      </c>
      <c r="I90" s="103">
        <f>IF(ISNUMBER(G90), $B91 * H90, "")</f>
        <v>4166.6666666666661</v>
      </c>
      <c r="J90" s="24">
        <v>149</v>
      </c>
      <c r="K90" s="25">
        <f t="shared" si="44"/>
        <v>3.4722222222222224E-2</v>
      </c>
      <c r="L90" s="104">
        <f>IF(ISNUMBER(J90), $B91 * K90, "")</f>
        <v>3472.2222222222222</v>
      </c>
      <c r="M90" s="102">
        <v>150</v>
      </c>
      <c r="N90" s="25">
        <f t="shared" si="45"/>
        <v>4.1666666666666664E-2</v>
      </c>
      <c r="O90" s="104">
        <f>IF(ISNUMBER(M90), $B91 * N90, "")</f>
        <v>4166.6666666666661</v>
      </c>
      <c r="Q90" s="252"/>
      <c r="R90" s="253"/>
      <c r="S90" s="254"/>
    </row>
    <row r="91" spans="1:19" ht="17.25" thickBot="1">
      <c r="A91" s="132" t="s">
        <v>270</v>
      </c>
      <c r="B91" s="260">
        <f>$B$37</f>
        <v>100000</v>
      </c>
      <c r="C91" s="261"/>
      <c r="D91" s="26" t="s">
        <v>271</v>
      </c>
      <c r="E91" s="27">
        <f>IF(COUNT(E71:E90), SUM(E71:E90) / COUNT(E71:E90), 0)</f>
        <v>0.10386814908580058</v>
      </c>
      <c r="F91" s="28">
        <f>SUM(F71:F90)</f>
        <v>207736.29817160114</v>
      </c>
      <c r="G91" s="26" t="s">
        <v>271</v>
      </c>
      <c r="H91" s="27">
        <f>IF(COUNT(H71:H90), SUM(H71:H90) / COUNT(H71:H90), 0)</f>
        <v>0.10014961089913479</v>
      </c>
      <c r="I91" s="28">
        <f>SUM(I71:I90)</f>
        <v>200299.22179826957</v>
      </c>
      <c r="J91" s="26" t="s">
        <v>271</v>
      </c>
      <c r="K91" s="27">
        <f>IF(COUNT(K71:K90), SUM(K71:K90) / COUNT(K71:K90), 0)</f>
        <v>9.5865092091442422E-2</v>
      </c>
      <c r="L91" s="28">
        <f>SUM(L71:L90)</f>
        <v>191730.18418288475</v>
      </c>
      <c r="M91" s="26" t="s">
        <v>271</v>
      </c>
      <c r="N91" s="27">
        <f>IF(COUNT(N71:N90), SUM(N71:N90) / COUNT(N71:N90), 0)</f>
        <v>6.2502558278847528E-2</v>
      </c>
      <c r="O91" s="28">
        <f>SUM(O71:O90)</f>
        <v>125005.11655769504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73" t="s">
        <v>267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55149000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2.1442459999999998E-3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2021-09-05(일) 오전 00:00</v>
      </c>
      <c r="C96" s="265"/>
      <c r="D96" s="224" t="str">
        <f>TEXT($G$1, "[$-ko-KR]yyyy-mm-dd(ddd) ") &amp; "오후 14:00"</f>
        <v>2021-09-05(일) 오후 14:00</v>
      </c>
      <c r="E96" s="225"/>
      <c r="F96" s="226"/>
      <c r="G96" s="224" t="str">
        <f>TEXT($G$1, "[$-ko-KR]yyyy-mm-dd(ddd) ") &amp; "오후 19:00"</f>
        <v>2021-09-05(일) 오후 19:00</v>
      </c>
      <c r="H96" s="225"/>
      <c r="I96" s="226"/>
      <c r="J96" s="224" t="str">
        <f>TEXT($G$1, "[$-ko-KR]yyyy-mm-dd(ddd) ") &amp; "오후 21:00"</f>
        <v>2021-09-05(일) 오후 21:00</v>
      </c>
      <c r="K96" s="225"/>
      <c r="L96" s="226"/>
      <c r="M96" s="224" t="str">
        <f>TEXT($G$1+1, "[$-ko-KR]yyyy-mm-dd(ddd) ") &amp; "오전 00:00"</f>
        <v>2021-09-06(월)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7"/>
      <c r="R97" s="227"/>
      <c r="S97" s="227"/>
    </row>
    <row r="98" spans="1:19" ht="17.25" thickBot="1">
      <c r="A98" s="123" t="s">
        <v>124</v>
      </c>
      <c r="B98" s="124">
        <v>721</v>
      </c>
      <c r="C98" s="76">
        <v>0.58810572689999996</v>
      </c>
      <c r="D98" s="13">
        <v>831</v>
      </c>
      <c r="E98" s="14">
        <f>IF(ISNUMBER(D98), (D98 - $B98) / $B98, "")</f>
        <v>0.15256588072122051</v>
      </c>
      <c r="F98" s="16">
        <f>IF(ISNUMBER(D98), $B118 * E98, "")</f>
        <v>15256.588072122051</v>
      </c>
      <c r="G98" s="29">
        <v>789</v>
      </c>
      <c r="H98" s="14">
        <f>IF(ISNUMBER(G98), (G98 - $B98) / $B98, "")</f>
        <v>9.4313453536754507E-2</v>
      </c>
      <c r="I98" s="100">
        <f>IF(ISNUMBER(G98), $B118 * H98, "")</f>
        <v>9431.3453536754514</v>
      </c>
      <c r="J98" s="13">
        <v>783</v>
      </c>
      <c r="K98" s="14">
        <f>IF(ISNUMBER(J98), (J98 - $B98) / $B98, "")</f>
        <v>8.5991678224687937E-2</v>
      </c>
      <c r="L98" s="16">
        <f>IF(ISNUMBER(J98), $B118 * K98, "")</f>
        <v>8599.167822468793</v>
      </c>
      <c r="M98" s="29">
        <v>770</v>
      </c>
      <c r="N98" s="14">
        <f>IF(ISNUMBER(M98), (M98 - $B98) / $B98, "")</f>
        <v>6.7961165048543687E-2</v>
      </c>
      <c r="O98" s="16">
        <f>IF(ISNUMBER(M98), $B118 * N98, "")</f>
        <v>6796.1165048543689</v>
      </c>
      <c r="Q98" s="222"/>
      <c r="R98" s="222"/>
      <c r="S98" s="222"/>
    </row>
    <row r="99" spans="1:19" ht="17.25" thickBot="1">
      <c r="A99" s="125" t="s">
        <v>206</v>
      </c>
      <c r="B99" s="126">
        <v>1215</v>
      </c>
      <c r="C99" s="77">
        <v>0.54580152670000004</v>
      </c>
      <c r="D99" s="15">
        <v>880</v>
      </c>
      <c r="E99" s="32">
        <f t="shared" ref="E99:E102" si="46">IF(ISNUMBER(D99), (D99 - $B99) / $B99, "")</f>
        <v>-0.27572016460905352</v>
      </c>
      <c r="F99" s="18">
        <f>IF(ISNUMBER(D99), $B118 * E99, "")</f>
        <v>-27572.016460905354</v>
      </c>
      <c r="G99" s="31">
        <v>871</v>
      </c>
      <c r="H99" s="32">
        <f t="shared" ref="H99:H102" si="47">IF(ISNUMBER(G99), (G99 - $B99) / $B99, "")</f>
        <v>-0.28312757201646088</v>
      </c>
      <c r="I99" s="101">
        <f>IF(ISNUMBER(G99), $B118 * H99, "")</f>
        <v>-28312.757201646087</v>
      </c>
      <c r="J99" s="15">
        <v>875</v>
      </c>
      <c r="K99" s="32">
        <f t="shared" ref="K99:K102" si="48">IF(ISNUMBER(J99), (J99 - $B99) / $B99, "")</f>
        <v>-0.27983539094650206</v>
      </c>
      <c r="L99" s="18">
        <f>IF(ISNUMBER(J99), $B118 * K99, "")</f>
        <v>-27983.539094650205</v>
      </c>
      <c r="M99" s="31">
        <v>860</v>
      </c>
      <c r="N99" s="32">
        <f t="shared" ref="N99:N102" si="49">IF(ISNUMBER(M99), (M99 - $B99) / $B99, "")</f>
        <v>-0.29218106995884774</v>
      </c>
      <c r="O99" s="18">
        <f>IF(ISNUMBER(M99), $B118 * N99, "")</f>
        <v>-29218.106995884773</v>
      </c>
      <c r="Q99" s="222"/>
      <c r="R99" s="222"/>
      <c r="S99" s="222"/>
    </row>
    <row r="100" spans="1:19" ht="17.25" thickBot="1">
      <c r="A100" s="125" t="s">
        <v>254</v>
      </c>
      <c r="B100" s="126">
        <v>487</v>
      </c>
      <c r="C100" s="77">
        <v>0.28496042220000001</v>
      </c>
      <c r="D100" s="15">
        <v>581</v>
      </c>
      <c r="E100" s="32">
        <f t="shared" si="46"/>
        <v>0.19301848049281314</v>
      </c>
      <c r="F100" s="18">
        <f>IF(ISNUMBER(D100), $B118 * E100, "")</f>
        <v>19301.848049281314</v>
      </c>
      <c r="G100" s="31">
        <v>533</v>
      </c>
      <c r="H100" s="32">
        <f t="shared" si="47"/>
        <v>9.4455852156057493E-2</v>
      </c>
      <c r="I100" s="101">
        <f>IF(ISNUMBER(G100), $B118 * H100, "")</f>
        <v>9445.5852156057499</v>
      </c>
      <c r="J100" s="15">
        <v>537</v>
      </c>
      <c r="K100" s="32">
        <f t="shared" si="48"/>
        <v>0.10266940451745379</v>
      </c>
      <c r="L100" s="18">
        <f>IF(ISNUMBER(J100), $B118 * K100, "")</f>
        <v>10266.940451745379</v>
      </c>
      <c r="M100" s="31">
        <v>524</v>
      </c>
      <c r="N100" s="32">
        <f t="shared" si="49"/>
        <v>7.5975359342915813E-2</v>
      </c>
      <c r="O100" s="18">
        <f>IF(ISNUMBER(M100), $B118 * N100, "")</f>
        <v>7597.5359342915817</v>
      </c>
      <c r="Q100" s="227"/>
      <c r="R100" s="227"/>
      <c r="S100" s="227"/>
    </row>
    <row r="101" spans="1:19" ht="17.25" thickBot="1">
      <c r="A101" s="125" t="s">
        <v>154</v>
      </c>
      <c r="B101" s="126">
        <v>106250</v>
      </c>
      <c r="C101" s="77">
        <v>0.24152839449999999</v>
      </c>
      <c r="D101" s="15">
        <v>95000</v>
      </c>
      <c r="E101" s="32">
        <f t="shared" si="46"/>
        <v>-0.10588235294117647</v>
      </c>
      <c r="F101" s="18">
        <f>IF(ISNUMBER(D101), $B118 * E101, "")</f>
        <v>-10588.235294117647</v>
      </c>
      <c r="G101" s="31">
        <v>96840</v>
      </c>
      <c r="H101" s="32">
        <f t="shared" si="47"/>
        <v>-8.8564705882352934E-2</v>
      </c>
      <c r="I101" s="101">
        <f>IF(ISNUMBER(G101), $B118 * H101, "")</f>
        <v>-8856.4705882352937</v>
      </c>
      <c r="J101" s="15">
        <v>95650</v>
      </c>
      <c r="K101" s="32">
        <f t="shared" si="48"/>
        <v>-9.9764705882352936E-2</v>
      </c>
      <c r="L101" s="18">
        <f>IF(ISNUMBER(J101), $B118 * K101, "")</f>
        <v>-9976.4705882352937</v>
      </c>
      <c r="M101" s="31">
        <v>94530</v>
      </c>
      <c r="N101" s="32">
        <f t="shared" si="49"/>
        <v>-0.11030588235294117</v>
      </c>
      <c r="O101" s="18">
        <f>IF(ISNUMBER(M101), $B118 * N101, "")</f>
        <v>-11030.588235294117</v>
      </c>
      <c r="Q101" s="227"/>
      <c r="R101" s="227"/>
      <c r="S101" s="227"/>
    </row>
    <row r="102" spans="1:19" ht="17.25" thickBot="1">
      <c r="A102" s="127" t="s">
        <v>122</v>
      </c>
      <c r="B102" s="128">
        <v>51.5</v>
      </c>
      <c r="C102" s="78">
        <v>0.24096385540000001</v>
      </c>
      <c r="D102" s="20">
        <v>53</v>
      </c>
      <c r="E102" s="21">
        <f t="shared" si="46"/>
        <v>2.9126213592233011E-2</v>
      </c>
      <c r="F102" s="22">
        <f>IF(ISNUMBER(D102), $B118 * E102, "")</f>
        <v>2912.6213592233012</v>
      </c>
      <c r="G102" s="30">
        <v>51.8</v>
      </c>
      <c r="H102" s="21">
        <f t="shared" si="47"/>
        <v>5.8252427184465466E-3</v>
      </c>
      <c r="I102" s="105">
        <f>IF(ISNUMBER(G102), $B118 * H102, "")</f>
        <v>582.52427184465466</v>
      </c>
      <c r="J102" s="20">
        <v>51.8</v>
      </c>
      <c r="K102" s="21">
        <f t="shared" si="48"/>
        <v>5.8252427184465466E-3</v>
      </c>
      <c r="L102" s="22">
        <f>IF(ISNUMBER(J102), $B118 * K102, "")</f>
        <v>582.52427184465466</v>
      </c>
      <c r="M102" s="30">
        <v>51.4</v>
      </c>
      <c r="N102" s="21">
        <f t="shared" si="49"/>
        <v>-1.9417475728155617E-3</v>
      </c>
      <c r="O102" s="22">
        <f>IF(ISNUMBER(M102), $B118 * N102, "")</f>
        <v>-194.17475728155617</v>
      </c>
      <c r="Q102" s="227"/>
      <c r="R102" s="227"/>
      <c r="S102" s="227"/>
    </row>
    <row r="103" spans="1:19" ht="17.25" thickBot="1">
      <c r="A103" s="125" t="s">
        <v>232</v>
      </c>
      <c r="B103" s="129">
        <v>1020</v>
      </c>
      <c r="C103" s="80">
        <v>0.2333736397</v>
      </c>
      <c r="D103" s="106">
        <v>892</v>
      </c>
      <c r="E103" s="107">
        <f>IF(ISNUMBER(D103), (D103 - $B103) / $B103, "")</f>
        <v>-0.12549019607843137</v>
      </c>
      <c r="F103" s="108">
        <f>IF(ISNUMBER(D103), $B118 * E103, "")</f>
        <v>-12549.019607843136</v>
      </c>
      <c r="G103" s="109">
        <v>881</v>
      </c>
      <c r="H103" s="107">
        <f>IF(ISNUMBER(G103), (G103 - $B103) / $B103, "")</f>
        <v>-0.13627450980392156</v>
      </c>
      <c r="I103" s="110">
        <f>IF(ISNUMBER(G103), $B118 * H103, "")</f>
        <v>-13627.450980392156</v>
      </c>
      <c r="J103" s="106">
        <v>880</v>
      </c>
      <c r="K103" s="107">
        <f>IF(ISNUMBER(J103), (J103 - $B103) / $B103, "")</f>
        <v>-0.13725490196078433</v>
      </c>
      <c r="L103" s="108">
        <f>IF(ISNUMBER(J103), $B118 * K103, "")</f>
        <v>-13725.490196078432</v>
      </c>
      <c r="M103" s="109">
        <v>875</v>
      </c>
      <c r="N103" s="107">
        <f>IF(ISNUMBER(M103), (M103 - $B103) / $B103, "")</f>
        <v>-0.14215686274509803</v>
      </c>
      <c r="O103" s="108">
        <f>IF(ISNUMBER(M103), $B118 * N103, "")</f>
        <v>-14215.686274509804</v>
      </c>
      <c r="Q103" s="227"/>
      <c r="R103" s="227"/>
      <c r="S103" s="227"/>
    </row>
    <row r="104" spans="1:19" ht="17.25" thickBot="1">
      <c r="A104" s="125" t="s">
        <v>174</v>
      </c>
      <c r="B104" s="126">
        <v>540</v>
      </c>
      <c r="C104" s="77">
        <v>0.19469026549999999</v>
      </c>
      <c r="D104" s="15">
        <v>510</v>
      </c>
      <c r="E104" s="32">
        <f t="shared" ref="E104:E107" si="50">IF(ISNUMBER(D104), (D104 - $B104) / $B104, "")</f>
        <v>-5.5555555555555552E-2</v>
      </c>
      <c r="F104" s="18">
        <f>IF(ISNUMBER(D104), $B118 * E104, "")</f>
        <v>-5555.5555555555557</v>
      </c>
      <c r="G104" s="31">
        <v>492</v>
      </c>
      <c r="H104" s="32">
        <f t="shared" ref="H104:H107" si="51">IF(ISNUMBER(G104), (G104 - $B104) / $B104, "")</f>
        <v>-8.8888888888888892E-2</v>
      </c>
      <c r="I104" s="101">
        <f>IF(ISNUMBER(G104), $B118 * H104, "")</f>
        <v>-8888.8888888888887</v>
      </c>
      <c r="J104" s="15">
        <v>496</v>
      </c>
      <c r="K104" s="32">
        <f t="shared" ref="K104:K107" si="52">IF(ISNUMBER(J104), (J104 - $B104) / $B104, "")</f>
        <v>-8.1481481481481488E-2</v>
      </c>
      <c r="L104" s="18">
        <f>IF(ISNUMBER(J104), $B118 * K104, "")</f>
        <v>-8148.1481481481487</v>
      </c>
      <c r="M104" s="31">
        <v>489</v>
      </c>
      <c r="N104" s="32">
        <f t="shared" ref="N104:N107" si="53">IF(ISNUMBER(M104), (M104 - $B104) / $B104, "")</f>
        <v>-9.4444444444444442E-2</v>
      </c>
      <c r="O104" s="18">
        <f>IF(ISNUMBER(M104), $B118 * N104, "")</f>
        <v>-9444.4444444444434</v>
      </c>
      <c r="Q104" s="227"/>
      <c r="R104" s="227"/>
      <c r="S104" s="227"/>
    </row>
    <row r="105" spans="1:19" ht="17.25" thickBot="1">
      <c r="A105" s="125" t="s">
        <v>238</v>
      </c>
      <c r="B105" s="126">
        <v>161</v>
      </c>
      <c r="C105" s="77">
        <v>0.14184397160000001</v>
      </c>
      <c r="D105" s="15">
        <v>158</v>
      </c>
      <c r="E105" s="32">
        <f t="shared" si="50"/>
        <v>-1.8633540372670808E-2</v>
      </c>
      <c r="F105" s="18">
        <f>IF(ISNUMBER(D105), $B118 * E105, "")</f>
        <v>-1863.3540372670807</v>
      </c>
      <c r="G105" s="31">
        <v>158</v>
      </c>
      <c r="H105" s="32">
        <f t="shared" si="51"/>
        <v>-1.8633540372670808E-2</v>
      </c>
      <c r="I105" s="101">
        <f>IF(ISNUMBER(G105), $B118 * H105, "")</f>
        <v>-1863.3540372670807</v>
      </c>
      <c r="J105" s="15">
        <v>162</v>
      </c>
      <c r="K105" s="32">
        <f t="shared" si="52"/>
        <v>6.2111801242236021E-3</v>
      </c>
      <c r="L105" s="18">
        <f>IF(ISNUMBER(J105), $B118 * K105, "")</f>
        <v>621.11801242236015</v>
      </c>
      <c r="M105" s="31">
        <v>160</v>
      </c>
      <c r="N105" s="32">
        <f t="shared" si="53"/>
        <v>-6.2111801242236021E-3</v>
      </c>
      <c r="O105" s="18">
        <f>IF(ISNUMBER(M105), $B118 * N105, "")</f>
        <v>-621.11801242236015</v>
      </c>
      <c r="Q105" s="227"/>
      <c r="R105" s="227"/>
      <c r="S105" s="227"/>
    </row>
    <row r="106" spans="1:19" ht="17.25" thickBot="1">
      <c r="A106" s="125" t="s">
        <v>244</v>
      </c>
      <c r="B106" s="126">
        <v>2045</v>
      </c>
      <c r="C106" s="77">
        <v>0.1329639889</v>
      </c>
      <c r="D106" s="15">
        <v>2035</v>
      </c>
      <c r="E106" s="32">
        <f t="shared" si="50"/>
        <v>-4.8899755501222494E-3</v>
      </c>
      <c r="F106" s="18">
        <f>IF(ISNUMBER(D106), $B118 * E106, "")</f>
        <v>-488.99755501222495</v>
      </c>
      <c r="G106" s="31">
        <v>2040</v>
      </c>
      <c r="H106" s="32">
        <f t="shared" si="51"/>
        <v>-2.4449877750611247E-3</v>
      </c>
      <c r="I106" s="101">
        <f>IF(ISNUMBER(G106), $B118 * H106, "")</f>
        <v>-244.49877750611248</v>
      </c>
      <c r="J106" s="15">
        <v>2045</v>
      </c>
      <c r="K106" s="32">
        <f t="shared" si="52"/>
        <v>0</v>
      </c>
      <c r="L106" s="18">
        <f>IF(ISNUMBER(J106), $B118 * K106, "")</f>
        <v>0</v>
      </c>
      <c r="M106" s="31">
        <v>2030</v>
      </c>
      <c r="N106" s="32">
        <f t="shared" si="53"/>
        <v>-7.3349633251833741E-3</v>
      </c>
      <c r="O106" s="18">
        <f>IF(ISNUMBER(M106), $B118 * N106, "")</f>
        <v>-733.49633251833745</v>
      </c>
      <c r="Q106" s="33"/>
      <c r="R106" s="33"/>
    </row>
    <row r="107" spans="1:19" ht="17.25" thickBot="1">
      <c r="A107" s="130" t="s">
        <v>236</v>
      </c>
      <c r="B107" s="131">
        <v>848</v>
      </c>
      <c r="C107" s="79">
        <v>0.1202113606</v>
      </c>
      <c r="D107" s="24">
        <v>823</v>
      </c>
      <c r="E107" s="25">
        <f t="shared" si="50"/>
        <v>-2.9481132075471699E-2</v>
      </c>
      <c r="F107" s="104">
        <f>IF(ISNUMBER(D107), $B118 * E107, "")</f>
        <v>-2948.1132075471701</v>
      </c>
      <c r="G107" s="102">
        <v>819</v>
      </c>
      <c r="H107" s="25">
        <f t="shared" si="51"/>
        <v>-3.4198113207547169E-2</v>
      </c>
      <c r="I107" s="103">
        <f>IF(ISNUMBER(G107), $B118 * H107, "")</f>
        <v>-3419.8113207547167</v>
      </c>
      <c r="J107" s="24">
        <v>821</v>
      </c>
      <c r="K107" s="25">
        <f t="shared" si="52"/>
        <v>-3.1839622641509434E-2</v>
      </c>
      <c r="L107" s="104">
        <f>IF(ISNUMBER(J107), $B118 * K107, "")</f>
        <v>-3183.9622641509432</v>
      </c>
      <c r="M107" s="102">
        <v>814</v>
      </c>
      <c r="N107" s="25">
        <f t="shared" si="53"/>
        <v>-4.0094339622641507E-2</v>
      </c>
      <c r="O107" s="104">
        <f>IF(ISNUMBER(M107), $B118 * N107, "")</f>
        <v>-4009.4339622641505</v>
      </c>
      <c r="Q107" s="236"/>
      <c r="R107" s="237"/>
      <c r="S107" s="238"/>
    </row>
    <row r="108" spans="1:19">
      <c r="A108" s="123" t="s">
        <v>65</v>
      </c>
      <c r="B108" s="124">
        <v>67.3</v>
      </c>
      <c r="C108" s="76">
        <v>0.1160862355</v>
      </c>
      <c r="D108" s="13">
        <v>72.2</v>
      </c>
      <c r="E108" s="14">
        <f>IF(ISNUMBER(D108), (D108 - $B108) / $B108, "")</f>
        <v>7.2808320950965913E-2</v>
      </c>
      <c r="F108" s="16">
        <f>IF(ISNUMBER(D108), $B118 * E108, "")</f>
        <v>7280.8320950965917</v>
      </c>
      <c r="G108" s="29">
        <v>72.400000000000006</v>
      </c>
      <c r="H108" s="14">
        <f>IF(ISNUMBER(G108), (G108 - $B108) / $B108, "")</f>
        <v>7.5780089153046196E-2</v>
      </c>
      <c r="I108" s="100">
        <f>IF(ISNUMBER(G108), $B118 * H108, "")</f>
        <v>7578.0089153046192</v>
      </c>
      <c r="J108" s="13">
        <v>71.7</v>
      </c>
      <c r="K108" s="14">
        <f>IF(ISNUMBER(J108), (J108 - $B108) / $B108, "")</f>
        <v>6.5378900445765317E-2</v>
      </c>
      <c r="L108" s="16">
        <f>IF(ISNUMBER(J108), $B118 * K108, "")</f>
        <v>6537.8900445765321</v>
      </c>
      <c r="M108" s="29">
        <v>70.099999999999994</v>
      </c>
      <c r="N108" s="14">
        <f>IF(ISNUMBER(M108), (M108 - $B108) / $B108, "")</f>
        <v>4.1604754829123285E-2</v>
      </c>
      <c r="O108" s="16">
        <f>IF(ISNUMBER(M108), $B118 * N108, "")</f>
        <v>4160.4754829123285</v>
      </c>
      <c r="Q108" s="239"/>
      <c r="R108" s="240"/>
      <c r="S108" s="241"/>
    </row>
    <row r="109" spans="1:19" ht="17.25" thickBot="1">
      <c r="A109" s="125" t="s">
        <v>222</v>
      </c>
      <c r="B109" s="126">
        <v>213</v>
      </c>
      <c r="C109" s="77">
        <v>0.103626943</v>
      </c>
      <c r="D109" s="15">
        <v>234</v>
      </c>
      <c r="E109" s="32">
        <f t="shared" ref="E109:E112" si="54">IF(ISNUMBER(D109), (D109 - $B109) / $B109, "")</f>
        <v>9.8591549295774641E-2</v>
      </c>
      <c r="F109" s="18">
        <f>IF(ISNUMBER(D109), $B118 * E109, "")</f>
        <v>9859.1549295774639</v>
      </c>
      <c r="G109" s="31">
        <v>234</v>
      </c>
      <c r="H109" s="32">
        <f t="shared" ref="H109:H112" si="55">IF(ISNUMBER(G109), (G109 - $B109) / $B109, "")</f>
        <v>9.8591549295774641E-2</v>
      </c>
      <c r="I109" s="101">
        <f>IF(ISNUMBER(G109), $B118 * H109, "")</f>
        <v>9859.1549295774639</v>
      </c>
      <c r="J109" s="15">
        <v>232</v>
      </c>
      <c r="K109" s="32">
        <f t="shared" ref="K109:K112" si="56">IF(ISNUMBER(J109), (J109 - $B109) / $B109, "")</f>
        <v>8.9201877934272297E-2</v>
      </c>
      <c r="L109" s="18">
        <f>IF(ISNUMBER(J109), $B118 * K109, "")</f>
        <v>8920.1877934272288</v>
      </c>
      <c r="M109" s="31">
        <v>213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42"/>
      <c r="R109" s="243"/>
      <c r="S109" s="244"/>
    </row>
    <row r="110" spans="1:19" ht="17.25" thickBot="1">
      <c r="A110" s="125" t="s">
        <v>150</v>
      </c>
      <c r="B110" s="126">
        <v>16</v>
      </c>
      <c r="C110" s="77">
        <v>0.1034482759</v>
      </c>
      <c r="D110" s="15">
        <v>17.5</v>
      </c>
      <c r="E110" s="32">
        <f t="shared" si="54"/>
        <v>9.375E-2</v>
      </c>
      <c r="F110" s="18">
        <f>IF(ISNUMBER(D110), $B118 * E110, "")</f>
        <v>9375</v>
      </c>
      <c r="G110" s="31">
        <v>17.8</v>
      </c>
      <c r="H110" s="32">
        <f t="shared" si="55"/>
        <v>0.11250000000000004</v>
      </c>
      <c r="I110" s="101">
        <f>IF(ISNUMBER(G110), $B118 * H110, "")</f>
        <v>11250.000000000004</v>
      </c>
      <c r="J110" s="15">
        <v>17.7</v>
      </c>
      <c r="K110" s="32">
        <f t="shared" si="56"/>
        <v>0.10624999999999996</v>
      </c>
      <c r="L110" s="18">
        <f>IF(ISNUMBER(J110), $B118 * K110, "")</f>
        <v>10624.999999999996</v>
      </c>
      <c r="M110" s="31">
        <v>17.100000000000001</v>
      </c>
      <c r="N110" s="32">
        <f t="shared" si="57"/>
        <v>6.8750000000000089E-2</v>
      </c>
      <c r="O110" s="18">
        <f>IF(ISNUMBER(M110), $B118 * N110, "")</f>
        <v>6875.0000000000091</v>
      </c>
      <c r="Q110" s="227"/>
      <c r="R110" s="227"/>
      <c r="S110" s="227"/>
    </row>
    <row r="111" spans="1:19" ht="17.25" thickBot="1">
      <c r="A111" s="125" t="s">
        <v>176</v>
      </c>
      <c r="B111" s="126">
        <v>1990</v>
      </c>
      <c r="C111" s="77">
        <v>9.6418732800000004E-2</v>
      </c>
      <c r="D111" s="15">
        <v>2125</v>
      </c>
      <c r="E111" s="32">
        <f t="shared" si="54"/>
        <v>6.78391959798995E-2</v>
      </c>
      <c r="F111" s="18">
        <f>IF(ISNUMBER(D111), $B118 * E111, "")</f>
        <v>6783.9195979899496</v>
      </c>
      <c r="G111" s="31">
        <v>2120</v>
      </c>
      <c r="H111" s="32">
        <f t="shared" si="55"/>
        <v>6.5326633165829151E-2</v>
      </c>
      <c r="I111" s="101">
        <f>IF(ISNUMBER(G111), $B118 * H111, "")</f>
        <v>6532.6633165829153</v>
      </c>
      <c r="J111" s="15">
        <v>2095</v>
      </c>
      <c r="K111" s="32">
        <f t="shared" si="56"/>
        <v>5.2763819095477386E-2</v>
      </c>
      <c r="L111" s="18">
        <f>IF(ISNUMBER(J111), $B118 * K111, "")</f>
        <v>5276.3819095477384</v>
      </c>
      <c r="M111" s="31">
        <v>2070</v>
      </c>
      <c r="N111" s="32">
        <f t="shared" si="57"/>
        <v>4.0201005025125629E-2</v>
      </c>
      <c r="O111" s="18">
        <f>IF(ISNUMBER(M111), $B118 * N111, "")</f>
        <v>4020.1005025125628</v>
      </c>
      <c r="Q111" s="222"/>
      <c r="R111" s="222"/>
      <c r="S111" s="222"/>
    </row>
    <row r="112" spans="1:19" ht="17.25" thickBot="1">
      <c r="A112" s="127" t="s">
        <v>170</v>
      </c>
      <c r="B112" s="128">
        <v>37700</v>
      </c>
      <c r="C112" s="78">
        <v>9.3704670700000006E-2</v>
      </c>
      <c r="D112" s="20">
        <v>37550</v>
      </c>
      <c r="E112" s="21">
        <f t="shared" si="54"/>
        <v>-3.9787798408488064E-3</v>
      </c>
      <c r="F112" s="22">
        <f>IF(ISNUMBER(D112), $B118 * E112, "")</f>
        <v>-397.87798408488067</v>
      </c>
      <c r="G112" s="30">
        <v>38250</v>
      </c>
      <c r="H112" s="21">
        <f t="shared" si="55"/>
        <v>1.4588859416445624E-2</v>
      </c>
      <c r="I112" s="105">
        <f>IF(ISNUMBER(G112), $B118 * H112, "")</f>
        <v>1458.8859416445623</v>
      </c>
      <c r="J112" s="20">
        <v>41190</v>
      </c>
      <c r="K112" s="21">
        <f t="shared" si="56"/>
        <v>9.2572944297082224E-2</v>
      </c>
      <c r="L112" s="22">
        <f>IF(ISNUMBER(J112), $B118 * K112, "")</f>
        <v>9257.2944297082231</v>
      </c>
      <c r="M112" s="30">
        <v>39040</v>
      </c>
      <c r="N112" s="21">
        <f t="shared" si="57"/>
        <v>3.5543766578249335E-2</v>
      </c>
      <c r="O112" s="22">
        <f>IF(ISNUMBER(M112), $B118 * N112, "")</f>
        <v>3554.3766578249333</v>
      </c>
      <c r="Q112" s="222"/>
      <c r="R112" s="222"/>
      <c r="S112" s="222"/>
    </row>
    <row r="113" spans="1:19" ht="17.25" thickBot="1">
      <c r="A113" s="125" t="s">
        <v>228</v>
      </c>
      <c r="B113" s="129">
        <v>521</v>
      </c>
      <c r="C113" s="80">
        <v>8.7682672200000006E-2</v>
      </c>
      <c r="D113" s="106">
        <v>1000</v>
      </c>
      <c r="E113" s="107">
        <f>IF(ISNUMBER(D113), (D113 - $B113) / $B113, "")</f>
        <v>0.91938579654510555</v>
      </c>
      <c r="F113" s="108">
        <f>IF(ISNUMBER(D113), $B118 * E113, "")</f>
        <v>91938.579654510555</v>
      </c>
      <c r="G113" s="109">
        <v>950</v>
      </c>
      <c r="H113" s="107">
        <f>IF(ISNUMBER(G113), (G113 - $B113) / $B113, "")</f>
        <v>0.82341650671785027</v>
      </c>
      <c r="I113" s="110">
        <f>IF(ISNUMBER(G113), $B118 * H113, "")</f>
        <v>82341.650671785028</v>
      </c>
      <c r="J113" s="106">
        <v>915</v>
      </c>
      <c r="K113" s="107">
        <f>IF(ISNUMBER(J113), (J113 - $B113) / $B113, "")</f>
        <v>0.7562380038387716</v>
      </c>
      <c r="L113" s="108">
        <f>IF(ISNUMBER(J113), $B118 * K113, "")</f>
        <v>75623.800383877155</v>
      </c>
      <c r="M113" s="109">
        <v>957</v>
      </c>
      <c r="N113" s="107">
        <f>IF(ISNUMBER(M113), (M113 - $B113) / $B113, "")</f>
        <v>0.83685220729366605</v>
      </c>
      <c r="O113" s="108">
        <f>IF(ISNUMBER(M113), $B118 * N113, "")</f>
        <v>83685.2207293666</v>
      </c>
      <c r="Q113" s="227"/>
      <c r="R113" s="227"/>
      <c r="S113" s="227"/>
    </row>
    <row r="114" spans="1:19" ht="17.25" thickBot="1">
      <c r="A114" s="125" t="s">
        <v>218</v>
      </c>
      <c r="B114" s="126">
        <v>166</v>
      </c>
      <c r="C114" s="77">
        <v>7.7922077899999997E-2</v>
      </c>
      <c r="D114" s="15">
        <v>181</v>
      </c>
      <c r="E114" s="32">
        <f t="shared" ref="E114:E117" si="58">IF(ISNUMBER(D114), (D114 - $B114) / $B114, "")</f>
        <v>9.036144578313253E-2</v>
      </c>
      <c r="F114" s="18">
        <f>IF(ISNUMBER(D114), $B118 * E114, "")</f>
        <v>9036.1445783132531</v>
      </c>
      <c r="G114" s="31">
        <v>183</v>
      </c>
      <c r="H114" s="32">
        <f t="shared" ref="H114:H117" si="59">IF(ISNUMBER(G114), (G114 - $B114) / $B114, "")</f>
        <v>0.10240963855421686</v>
      </c>
      <c r="I114" s="101">
        <f>IF(ISNUMBER(G114), $B118 * H114, "")</f>
        <v>10240.963855421687</v>
      </c>
      <c r="J114" s="15">
        <v>188</v>
      </c>
      <c r="K114" s="32">
        <f t="shared" ref="K114:K117" si="60">IF(ISNUMBER(J114), (J114 - $B114) / $B114, "")</f>
        <v>0.13253012048192772</v>
      </c>
      <c r="L114" s="18">
        <f>IF(ISNUMBER(J114), $B118 * K114, "")</f>
        <v>13253.012048192772</v>
      </c>
      <c r="M114" s="31">
        <v>167</v>
      </c>
      <c r="N114" s="32">
        <f t="shared" ref="N114:N117" si="61">IF(ISNUMBER(M114), (M114 - $B114) / $B114, "")</f>
        <v>6.024096385542169E-3</v>
      </c>
      <c r="O114" s="18">
        <f>IF(ISNUMBER(M114), $B118 * N114, "")</f>
        <v>602.40963855421694</v>
      </c>
      <c r="Q114" s="227"/>
      <c r="R114" s="227"/>
      <c r="S114" s="227"/>
    </row>
    <row r="115" spans="1:19" ht="17.25" thickBot="1">
      <c r="A115" s="125" t="s">
        <v>208</v>
      </c>
      <c r="B115" s="126">
        <v>16.2</v>
      </c>
      <c r="C115" s="77">
        <v>7.2847682100000005E-2</v>
      </c>
      <c r="D115" s="15">
        <v>17.7</v>
      </c>
      <c r="E115" s="32">
        <f t="shared" si="58"/>
        <v>9.2592592592592601E-2</v>
      </c>
      <c r="F115" s="18">
        <f>IF(ISNUMBER(D115), $B118 * E115, "")</f>
        <v>9259.2592592592609</v>
      </c>
      <c r="G115" s="31">
        <v>17.8</v>
      </c>
      <c r="H115" s="32">
        <f t="shared" si="59"/>
        <v>9.8765432098765524E-2</v>
      </c>
      <c r="I115" s="101">
        <f>IF(ISNUMBER(G115), $B118 * H115, "")</f>
        <v>9876.5432098765523</v>
      </c>
      <c r="J115" s="15">
        <v>18</v>
      </c>
      <c r="K115" s="32">
        <f t="shared" si="60"/>
        <v>0.11111111111111116</v>
      </c>
      <c r="L115" s="18">
        <f>IF(ISNUMBER(J115), $B118 * K115, "")</f>
        <v>11111.111111111117</v>
      </c>
      <c r="M115" s="31">
        <v>17.2</v>
      </c>
      <c r="N115" s="32">
        <f t="shared" si="61"/>
        <v>6.1728395061728399E-2</v>
      </c>
      <c r="O115" s="18">
        <f>IF(ISNUMBER(M115), $B118 * N115, "")</f>
        <v>6172.8395061728397</v>
      </c>
      <c r="Q115" s="227"/>
      <c r="R115" s="227"/>
      <c r="S115" s="227"/>
    </row>
    <row r="116" spans="1:19">
      <c r="A116" s="125" t="s">
        <v>110</v>
      </c>
      <c r="B116" s="126">
        <v>221</v>
      </c>
      <c r="C116" s="77">
        <v>7.2815534000000001E-2</v>
      </c>
      <c r="D116" s="15">
        <v>240</v>
      </c>
      <c r="E116" s="32">
        <f t="shared" si="58"/>
        <v>8.5972850678733032E-2</v>
      </c>
      <c r="F116" s="18">
        <f>IF(ISNUMBER(D116), $B118 * E116, "")</f>
        <v>8597.285067873303</v>
      </c>
      <c r="G116" s="31">
        <v>246</v>
      </c>
      <c r="H116" s="32">
        <f t="shared" si="59"/>
        <v>0.11312217194570136</v>
      </c>
      <c r="I116" s="101">
        <f>IF(ISNUMBER(G116), $B118 * H116, "")</f>
        <v>11312.217194570136</v>
      </c>
      <c r="J116" s="15">
        <v>244</v>
      </c>
      <c r="K116" s="32">
        <f t="shared" si="60"/>
        <v>0.10407239819004525</v>
      </c>
      <c r="L116" s="18">
        <f>IF(ISNUMBER(J116), $B118 * K116, "")</f>
        <v>10407.239819004526</v>
      </c>
      <c r="M116" s="31">
        <v>225</v>
      </c>
      <c r="N116" s="32">
        <f t="shared" si="61"/>
        <v>1.8099547511312219E-2</v>
      </c>
      <c r="O116" s="18">
        <f>IF(ISNUMBER(M116), $B118 * N116, "")</f>
        <v>1809.9547511312219</v>
      </c>
      <c r="Q116" s="249"/>
      <c r="R116" s="250"/>
      <c r="S116" s="251"/>
    </row>
    <row r="117" spans="1:19" ht="17.25" thickBot="1">
      <c r="A117" s="130" t="s">
        <v>164</v>
      </c>
      <c r="B117" s="131">
        <v>905</v>
      </c>
      <c r="C117" s="79">
        <v>7.2274881499999999E-2</v>
      </c>
      <c r="D117" s="24">
        <v>777</v>
      </c>
      <c r="E117" s="25">
        <f t="shared" si="58"/>
        <v>-0.1414364640883978</v>
      </c>
      <c r="F117" s="104">
        <f>IF(ISNUMBER(D117), $B118 * E117, "")</f>
        <v>-14143.646408839781</v>
      </c>
      <c r="G117" s="102">
        <v>784</v>
      </c>
      <c r="H117" s="25">
        <f t="shared" si="59"/>
        <v>-0.13370165745856355</v>
      </c>
      <c r="I117" s="103">
        <f>IF(ISNUMBER(G117), $B118 * H117, "")</f>
        <v>-13370.165745856355</v>
      </c>
      <c r="J117" s="24">
        <v>784</v>
      </c>
      <c r="K117" s="25">
        <f t="shared" si="60"/>
        <v>-0.13370165745856355</v>
      </c>
      <c r="L117" s="104">
        <f>IF(ISNUMBER(J117), $B118 * K117, "")</f>
        <v>-13370.165745856355</v>
      </c>
      <c r="M117" s="102">
        <v>765</v>
      </c>
      <c r="N117" s="25">
        <f t="shared" si="61"/>
        <v>-0.15469613259668508</v>
      </c>
      <c r="O117" s="104">
        <f>IF(ISNUMBER(M117), $B118 * N117, "")</f>
        <v>-15469.613259668507</v>
      </c>
      <c r="Q117" s="252"/>
      <c r="R117" s="253"/>
      <c r="S117" s="254"/>
    </row>
    <row r="118" spans="1:19" ht="17.25" thickBot="1">
      <c r="A118" s="132" t="s">
        <v>270</v>
      </c>
      <c r="B118" s="260">
        <f>$B$37</f>
        <v>100000</v>
      </c>
      <c r="C118" s="261"/>
      <c r="D118" s="26" t="s">
        <v>271</v>
      </c>
      <c r="E118" s="27">
        <f>IF(COUNT(E98:E117), SUM(E98:E117) / COUNT(E98:E117), 0)</f>
        <v>5.6747208276037096E-2</v>
      </c>
      <c r="F118" s="28">
        <f>SUM(F98:F117)</f>
        <v>113494.41655207422</v>
      </c>
      <c r="G118" s="26" t="s">
        <v>271</v>
      </c>
      <c r="H118" s="27">
        <f>IF(COUNT(H98:H117), SUM(H98:H117) / COUNT(H98:H117), 0)</f>
        <v>4.5663072667671063E-2</v>
      </c>
      <c r="I118" s="28">
        <f>SUM(I98:I117)</f>
        <v>91326.145335342124</v>
      </c>
      <c r="J118" s="26" t="s">
        <v>271</v>
      </c>
      <c r="K118" s="27">
        <f>IF(COUNT(K98:K117), SUM(K98:K117) / COUNT(K98:K117), 0)</f>
        <v>4.7346946030403556E-2</v>
      </c>
      <c r="L118" s="28">
        <f>SUM(L98:L117)</f>
        <v>94693.892060807091</v>
      </c>
      <c r="M118" s="26" t="s">
        <v>271</v>
      </c>
      <c r="N118" s="27">
        <f>IF(COUNT(N98:N117), SUM(N98:N117) / COUNT(N98:N117), 0)</f>
        <v>2.0168683716666309E-2</v>
      </c>
      <c r="O118" s="28">
        <f>SUM(O98:O117)</f>
        <v>40337.367433332613</v>
      </c>
      <c r="Q118" s="255"/>
      <c r="R118" s="256"/>
      <c r="S118" s="257"/>
    </row>
    <row r="120" spans="1:19" ht="17.25" thickBot="1"/>
    <row r="121" spans="1:19" ht="17.25" thickBot="1">
      <c r="A121" s="201" t="s">
        <v>258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73" t="s">
        <v>267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55149000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2.1442459999999998E-3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2021-09-05(일) 오전 00:00</v>
      </c>
      <c r="C123" s="265"/>
      <c r="D123" s="224" t="str">
        <f>TEXT($G$1, "[$-ko-KR]yyyy-mm-dd(ddd) ") &amp; "오후 14:00"</f>
        <v>2021-09-05(일) 오후 14:00</v>
      </c>
      <c r="E123" s="225"/>
      <c r="F123" s="226"/>
      <c r="G123" s="224" t="str">
        <f>TEXT($G$1, "[$-ko-KR]yyyy-mm-dd(ddd) ") &amp; "오후 19:00"</f>
        <v>2021-09-05(일) 오후 19:00</v>
      </c>
      <c r="H123" s="225"/>
      <c r="I123" s="226"/>
      <c r="J123" s="224" t="str">
        <f>TEXT($G$1, "[$-ko-KR]yyyy-mm-dd(ddd) ") &amp; "오후 21:00"</f>
        <v>2021-09-05(일) 오후 21:00</v>
      </c>
      <c r="K123" s="225"/>
      <c r="L123" s="226"/>
      <c r="M123" s="224" t="str">
        <f>TEXT($G$1+1, "[$-ko-KR]yyyy-mm-dd(ddd) ") &amp; "오전 00:00"</f>
        <v>2021-09-06(월)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7"/>
      <c r="R124" s="227"/>
      <c r="S124" s="227"/>
    </row>
    <row r="125" spans="1:19" ht="17.25" thickBot="1">
      <c r="A125" s="123" t="s">
        <v>122</v>
      </c>
      <c r="B125" s="124">
        <v>51.5</v>
      </c>
      <c r="C125" s="76">
        <v>0.24096385540000001</v>
      </c>
      <c r="D125" s="13">
        <v>53</v>
      </c>
      <c r="E125" s="14">
        <f>IF(ISNUMBER(D125), (D125 - $B125) / $B125, "")</f>
        <v>2.9126213592233011E-2</v>
      </c>
      <c r="F125" s="16">
        <f>IF(ISNUMBER(D125), $B145 * E125, "")</f>
        <v>2912.6213592233012</v>
      </c>
      <c r="G125" s="29">
        <v>51.8</v>
      </c>
      <c r="H125" s="14">
        <f>IF(ISNUMBER(G125), (G125 - $B125) / $B125, "")</f>
        <v>5.8252427184465466E-3</v>
      </c>
      <c r="I125" s="100">
        <f>IF(ISNUMBER(G125), $B145 * H125, "")</f>
        <v>582.52427184465466</v>
      </c>
      <c r="J125" s="13">
        <v>51.8</v>
      </c>
      <c r="K125" s="14">
        <f>IF(ISNUMBER(J125), (J125 - $B125) / $B125, "")</f>
        <v>5.8252427184465466E-3</v>
      </c>
      <c r="L125" s="16">
        <f>IF(ISNUMBER(J125), $B145 * K125, "")</f>
        <v>582.52427184465466</v>
      </c>
      <c r="M125" s="29">
        <v>51.4</v>
      </c>
      <c r="N125" s="14">
        <f>IF(ISNUMBER(M125), (M125 - $B125) / $B125, "")</f>
        <v>-1.9417475728155617E-3</v>
      </c>
      <c r="O125" s="16">
        <f>IF(ISNUMBER(M125), $B145 * N125, "")</f>
        <v>-194.17475728155617</v>
      </c>
      <c r="Q125" s="222"/>
      <c r="R125" s="222"/>
      <c r="S125" s="222"/>
    </row>
    <row r="126" spans="1:19" ht="17.25" thickBot="1">
      <c r="A126" s="125" t="s">
        <v>65</v>
      </c>
      <c r="B126" s="126">
        <v>67.3</v>
      </c>
      <c r="C126" s="77">
        <v>0.1160862355</v>
      </c>
      <c r="D126" s="15">
        <v>72.2</v>
      </c>
      <c r="E126" s="32">
        <f t="shared" ref="E126:E129" si="62">IF(ISNUMBER(D126), (D126 - $B126) / $B126, "")</f>
        <v>7.2808320950965913E-2</v>
      </c>
      <c r="F126" s="18">
        <f>IF(ISNUMBER(D126), $B145 * E126, "")</f>
        <v>7280.8320950965917</v>
      </c>
      <c r="G126" s="31">
        <v>72.400000000000006</v>
      </c>
      <c r="H126" s="32">
        <f t="shared" ref="H126:H129" si="63">IF(ISNUMBER(G126), (G126 - $B126) / $B126, "")</f>
        <v>7.5780089153046196E-2</v>
      </c>
      <c r="I126" s="101">
        <f>IF(ISNUMBER(G126), $B145 * H126, "")</f>
        <v>7578.0089153046192</v>
      </c>
      <c r="J126" s="15">
        <v>71.7</v>
      </c>
      <c r="K126" s="32">
        <f t="shared" ref="K126:K129" si="64">IF(ISNUMBER(J126), (J126 - $B126) / $B126, "")</f>
        <v>6.5378900445765317E-2</v>
      </c>
      <c r="L126" s="18">
        <f>IF(ISNUMBER(J126), $B145 * K126, "")</f>
        <v>6537.8900445765321</v>
      </c>
      <c r="M126" s="31">
        <v>70.099999999999994</v>
      </c>
      <c r="N126" s="32">
        <f t="shared" ref="N126:N129" si="65">IF(ISNUMBER(M126), (M126 - $B126) / $B126, "")</f>
        <v>4.1604754829123285E-2</v>
      </c>
      <c r="O126" s="18">
        <f>IF(ISNUMBER(M126), $B145 * N126, "")</f>
        <v>4160.4754829123285</v>
      </c>
      <c r="Q126" s="222"/>
      <c r="R126" s="222"/>
      <c r="S126" s="222"/>
    </row>
    <row r="127" spans="1:19" ht="17.25" thickBot="1">
      <c r="A127" s="125" t="s">
        <v>150</v>
      </c>
      <c r="B127" s="126">
        <v>16</v>
      </c>
      <c r="C127" s="77">
        <v>0.1034482759</v>
      </c>
      <c r="D127" s="15">
        <v>17.5</v>
      </c>
      <c r="E127" s="32">
        <f t="shared" si="62"/>
        <v>9.375E-2</v>
      </c>
      <c r="F127" s="18">
        <f>IF(ISNUMBER(D127), $B145 * E127, "")</f>
        <v>9375</v>
      </c>
      <c r="G127" s="31">
        <v>17.8</v>
      </c>
      <c r="H127" s="32">
        <f t="shared" si="63"/>
        <v>0.11250000000000004</v>
      </c>
      <c r="I127" s="101">
        <f>IF(ISNUMBER(G127), $B145 * H127, "")</f>
        <v>11250.000000000004</v>
      </c>
      <c r="J127" s="15">
        <v>17.7</v>
      </c>
      <c r="K127" s="32">
        <f t="shared" si="64"/>
        <v>0.10624999999999996</v>
      </c>
      <c r="L127" s="18">
        <f>IF(ISNUMBER(J127), $B145 * K127, "")</f>
        <v>10624.999999999996</v>
      </c>
      <c r="M127" s="31">
        <v>17.100000000000001</v>
      </c>
      <c r="N127" s="32">
        <f t="shared" si="65"/>
        <v>6.8750000000000089E-2</v>
      </c>
      <c r="O127" s="18">
        <f>IF(ISNUMBER(M127), $B145 * N127, "")</f>
        <v>6875.0000000000091</v>
      </c>
      <c r="Q127" s="227"/>
      <c r="R127" s="227"/>
      <c r="S127" s="227"/>
    </row>
    <row r="128" spans="1:19" ht="17.25" thickBot="1">
      <c r="A128" s="125" t="s">
        <v>208</v>
      </c>
      <c r="B128" s="126">
        <v>16.2</v>
      </c>
      <c r="C128" s="77">
        <v>7.2847682100000005E-2</v>
      </c>
      <c r="D128" s="15">
        <v>17.7</v>
      </c>
      <c r="E128" s="32">
        <f t="shared" si="62"/>
        <v>9.2592592592592601E-2</v>
      </c>
      <c r="F128" s="18">
        <f>IF(ISNUMBER(D128), $B145 * E128, "")</f>
        <v>9259.2592592592609</v>
      </c>
      <c r="G128" s="31">
        <v>17.8</v>
      </c>
      <c r="H128" s="32">
        <f t="shared" si="63"/>
        <v>9.8765432098765524E-2</v>
      </c>
      <c r="I128" s="101">
        <f>IF(ISNUMBER(G128), $B145 * H128, "")</f>
        <v>9876.5432098765523</v>
      </c>
      <c r="J128" s="15">
        <v>18</v>
      </c>
      <c r="K128" s="32">
        <f t="shared" si="64"/>
        <v>0.11111111111111116</v>
      </c>
      <c r="L128" s="18">
        <f>IF(ISNUMBER(J128), $B145 * K128, "")</f>
        <v>11111.111111111117</v>
      </c>
      <c r="M128" s="31">
        <v>17.2</v>
      </c>
      <c r="N128" s="32">
        <f t="shared" si="65"/>
        <v>6.1728395061728399E-2</v>
      </c>
      <c r="O128" s="18">
        <f>IF(ISNUMBER(M128), $B145 * N128, "")</f>
        <v>6172.8395061728397</v>
      </c>
      <c r="Q128" s="227"/>
      <c r="R128" s="227"/>
      <c r="S128" s="227"/>
    </row>
    <row r="129" spans="1:19" ht="17.25" thickBot="1">
      <c r="A129" s="127" t="s">
        <v>188</v>
      </c>
      <c r="B129" s="128">
        <v>15.6</v>
      </c>
      <c r="C129" s="78">
        <v>6.8493150700000005E-2</v>
      </c>
      <c r="D129" s="20">
        <v>17.8</v>
      </c>
      <c r="E129" s="21">
        <f t="shared" si="62"/>
        <v>0.14102564102564111</v>
      </c>
      <c r="F129" s="22">
        <f>IF(ISNUMBER(D129), $B145 * E129, "")</f>
        <v>14102.564102564111</v>
      </c>
      <c r="G129" s="30">
        <v>17.8</v>
      </c>
      <c r="H129" s="21">
        <f t="shared" si="63"/>
        <v>0.14102564102564111</v>
      </c>
      <c r="I129" s="105">
        <f>IF(ISNUMBER(G129), $B145 * H129, "")</f>
        <v>14102.564102564111</v>
      </c>
      <c r="J129" s="20">
        <v>17.8</v>
      </c>
      <c r="K129" s="21">
        <f t="shared" si="64"/>
        <v>0.14102564102564111</v>
      </c>
      <c r="L129" s="22">
        <f>IF(ISNUMBER(J129), $B145 * K129, "")</f>
        <v>14102.564102564111</v>
      </c>
      <c r="M129" s="30">
        <v>17.3</v>
      </c>
      <c r="N129" s="21">
        <f t="shared" si="65"/>
        <v>0.10897435897435905</v>
      </c>
      <c r="O129" s="22">
        <f>IF(ISNUMBER(M129), $B145 * N129, "")</f>
        <v>10897.435897435904</v>
      </c>
      <c r="Q129" s="227"/>
      <c r="R129" s="227"/>
      <c r="S129" s="227"/>
    </row>
    <row r="130" spans="1:19" ht="17.25" thickBot="1">
      <c r="A130" s="125" t="s">
        <v>72</v>
      </c>
      <c r="B130" s="129">
        <v>30.1</v>
      </c>
      <c r="C130" s="80">
        <v>5.9859154900000003E-2</v>
      </c>
      <c r="D130" s="106">
        <v>33.1</v>
      </c>
      <c r="E130" s="107">
        <f>IF(ISNUMBER(D130), (D130 - $B130) / $B130, "")</f>
        <v>9.9667774086378738E-2</v>
      </c>
      <c r="F130" s="108">
        <f>IF(ISNUMBER(D130), $B145 * E130, "")</f>
        <v>9966.777408637874</v>
      </c>
      <c r="G130" s="109">
        <v>32.9</v>
      </c>
      <c r="H130" s="107">
        <f>IF(ISNUMBER(G130), (G130 - $B130) / $B130, "")</f>
        <v>9.302325581395339E-2</v>
      </c>
      <c r="I130" s="110">
        <f>IF(ISNUMBER(G130), $B145 * H130, "")</f>
        <v>9302.3255813953383</v>
      </c>
      <c r="J130" s="106">
        <v>32.700000000000003</v>
      </c>
      <c r="K130" s="107">
        <f>IF(ISNUMBER(J130), (J130 - $B130) / $B130, "")</f>
        <v>8.6378737541528278E-2</v>
      </c>
      <c r="L130" s="108">
        <f>IF(ISNUMBER(J130), $B145 * K130, "")</f>
        <v>8637.873754152828</v>
      </c>
      <c r="M130" s="109">
        <v>31.4</v>
      </c>
      <c r="N130" s="107">
        <f>IF(ISNUMBER(M130), (M130 - $B130) / $B130, "")</f>
        <v>4.3189368770764021E-2</v>
      </c>
      <c r="O130" s="108">
        <f>IF(ISNUMBER(M130), $B145 * N130, "")</f>
        <v>4318.9368770764022</v>
      </c>
      <c r="Q130" s="227"/>
      <c r="R130" s="227"/>
      <c r="S130" s="227"/>
    </row>
    <row r="131" spans="1:19" ht="17.25" thickBot="1">
      <c r="A131" s="125" t="s">
        <v>178</v>
      </c>
      <c r="B131" s="126">
        <v>22.2</v>
      </c>
      <c r="C131" s="77">
        <v>5.71428571E-2</v>
      </c>
      <c r="D131" s="15">
        <v>23.6</v>
      </c>
      <c r="E131" s="32">
        <f t="shared" ref="E131:E134" si="66">IF(ISNUMBER(D131), (D131 - $B131) / $B131, "")</f>
        <v>6.3063063063063154E-2</v>
      </c>
      <c r="F131" s="18">
        <f>IF(ISNUMBER(D131), $B145 * E131, "")</f>
        <v>6306.3063063063155</v>
      </c>
      <c r="G131" s="31">
        <v>23.8</v>
      </c>
      <c r="H131" s="32">
        <f t="shared" ref="H131:H134" si="67">IF(ISNUMBER(G131), (G131 - $B131) / $B131, "")</f>
        <v>7.2072072072072141E-2</v>
      </c>
      <c r="I131" s="101">
        <f>IF(ISNUMBER(G131), $B145 * H131, "")</f>
        <v>7207.2072072072142</v>
      </c>
      <c r="J131" s="15">
        <v>24</v>
      </c>
      <c r="K131" s="32">
        <f t="shared" ref="K131:K134" si="68">IF(ISNUMBER(J131), (J131 - $B131) / $B131, "")</f>
        <v>8.1081081081081113E-2</v>
      </c>
      <c r="L131" s="18">
        <f>IF(ISNUMBER(J131), $B145 * K131, "")</f>
        <v>8108.1081081081111</v>
      </c>
      <c r="M131" s="31">
        <v>23.3</v>
      </c>
      <c r="N131" s="32">
        <f t="shared" ref="N131:N134" si="69">IF(ISNUMBER(M131), (M131 - $B131) / $B131, "")</f>
        <v>4.9549549549549612E-2</v>
      </c>
      <c r="O131" s="18">
        <f>IF(ISNUMBER(M131), $B145 * N131, "")</f>
        <v>4954.9549549549611</v>
      </c>
      <c r="Q131" s="227"/>
      <c r="R131" s="227"/>
      <c r="S131" s="227"/>
    </row>
    <row r="132" spans="1:19" ht="17.25" thickBot="1">
      <c r="A132" s="125" t="s">
        <v>148</v>
      </c>
      <c r="B132" s="126">
        <v>26.1</v>
      </c>
      <c r="C132" s="77">
        <v>5.6680161899999998E-2</v>
      </c>
      <c r="D132" s="15">
        <v>28.2</v>
      </c>
      <c r="E132" s="32">
        <f t="shared" si="66"/>
        <v>8.0459770114942444E-2</v>
      </c>
      <c r="F132" s="18">
        <f>IF(ISNUMBER(D132), $B145 * E132, "")</f>
        <v>8045.9770114942448</v>
      </c>
      <c r="G132" s="31">
        <v>29</v>
      </c>
      <c r="H132" s="32">
        <f t="shared" si="67"/>
        <v>0.11111111111111105</v>
      </c>
      <c r="I132" s="101">
        <f>IF(ISNUMBER(G132), $B145 * H132, "")</f>
        <v>11111.111111111104</v>
      </c>
      <c r="J132" s="15">
        <v>29.2</v>
      </c>
      <c r="K132" s="32">
        <f t="shared" si="68"/>
        <v>0.11877394636015316</v>
      </c>
      <c r="L132" s="18">
        <f>IF(ISNUMBER(J132), $B145 * K132, "")</f>
        <v>11877.394636015317</v>
      </c>
      <c r="M132" s="31">
        <v>29.3</v>
      </c>
      <c r="N132" s="32">
        <f t="shared" si="69"/>
        <v>0.1226053639846743</v>
      </c>
      <c r="O132" s="18">
        <f>IF(ISNUMBER(M132), $B145 * N132, "")</f>
        <v>12260.53639846743</v>
      </c>
      <c r="Q132" s="227"/>
      <c r="R132" s="227"/>
      <c r="S132" s="227"/>
    </row>
    <row r="133" spans="1:19" ht="17.25" thickBot="1">
      <c r="A133" s="125" t="s">
        <v>216</v>
      </c>
      <c r="B133" s="126">
        <v>13.2</v>
      </c>
      <c r="C133" s="77">
        <v>5.6000000000000001E-2</v>
      </c>
      <c r="D133" s="15">
        <v>14.7</v>
      </c>
      <c r="E133" s="32">
        <f t="shared" si="66"/>
        <v>0.11363636363636365</v>
      </c>
      <c r="F133" s="18">
        <f>IF(ISNUMBER(D133), $B145 * E133, "")</f>
        <v>11363.636363636364</v>
      </c>
      <c r="G133" s="31">
        <v>14.9</v>
      </c>
      <c r="H133" s="32">
        <f t="shared" si="67"/>
        <v>0.12878787878787887</v>
      </c>
      <c r="I133" s="101">
        <f>IF(ISNUMBER(G133), $B145 * H133, "")</f>
        <v>12878.787878787887</v>
      </c>
      <c r="J133" s="15">
        <v>15.2</v>
      </c>
      <c r="K133" s="32">
        <f t="shared" si="68"/>
        <v>0.15151515151515152</v>
      </c>
      <c r="L133" s="18">
        <f>IF(ISNUMBER(J133), $B145 * K133, "")</f>
        <v>15151.515151515152</v>
      </c>
      <c r="M133" s="31">
        <v>13.9</v>
      </c>
      <c r="N133" s="32">
        <f t="shared" si="69"/>
        <v>5.3030303030303115E-2</v>
      </c>
      <c r="O133" s="18">
        <f>IF(ISNUMBER(M133), $B145 * N133, "")</f>
        <v>5303.0303030303112</v>
      </c>
      <c r="Q133" s="33"/>
      <c r="R133" s="33"/>
    </row>
    <row r="134" spans="1:19" ht="17.25" thickBot="1">
      <c r="A134" s="130" t="s">
        <v>234</v>
      </c>
      <c r="B134" s="131">
        <v>95.3</v>
      </c>
      <c r="C134" s="79">
        <v>5.5370985599999999E-2</v>
      </c>
      <c r="D134" s="24">
        <v>103</v>
      </c>
      <c r="E134" s="25">
        <f t="shared" si="66"/>
        <v>8.0797481636936022E-2</v>
      </c>
      <c r="F134" s="104">
        <f>IF(ISNUMBER(D134), $B145 * E134, "")</f>
        <v>8079.7481636936018</v>
      </c>
      <c r="G134" s="102">
        <v>106</v>
      </c>
      <c r="H134" s="25">
        <f t="shared" si="67"/>
        <v>0.11227701993704095</v>
      </c>
      <c r="I134" s="103">
        <f>IF(ISNUMBER(G134), $B145 * H134, "")</f>
        <v>11227.701993704095</v>
      </c>
      <c r="J134" s="24">
        <v>107</v>
      </c>
      <c r="K134" s="25">
        <f t="shared" si="68"/>
        <v>0.12277019937040927</v>
      </c>
      <c r="L134" s="104">
        <f>IF(ISNUMBER(J134), $B145 * K134, "")</f>
        <v>12277.019937040926</v>
      </c>
      <c r="M134" s="102">
        <v>103</v>
      </c>
      <c r="N134" s="25">
        <f t="shared" si="69"/>
        <v>8.0797481636936022E-2</v>
      </c>
      <c r="O134" s="104">
        <f>IF(ISNUMBER(M134), $B145 * N134, "")</f>
        <v>8079.7481636936018</v>
      </c>
      <c r="Q134" s="236"/>
      <c r="R134" s="237"/>
      <c r="S134" s="238"/>
    </row>
    <row r="135" spans="1:19">
      <c r="A135" s="123" t="s">
        <v>190</v>
      </c>
      <c r="B135" s="124">
        <v>21.9</v>
      </c>
      <c r="C135" s="76">
        <v>5.2884615400000001E-2</v>
      </c>
      <c r="D135" s="13">
        <v>24</v>
      </c>
      <c r="E135" s="14">
        <f>IF(ISNUMBER(D135), (D135 - $B135) / $B135, "")</f>
        <v>9.5890410958904188E-2</v>
      </c>
      <c r="F135" s="16">
        <f>IF(ISNUMBER(D135), $B145 * E135, "")</f>
        <v>9589.0410958904195</v>
      </c>
      <c r="G135" s="29">
        <v>24.3</v>
      </c>
      <c r="H135" s="14">
        <f>IF(ISNUMBER(G135), (G135 - $B135) / $B135, "")</f>
        <v>0.10958904109589052</v>
      </c>
      <c r="I135" s="100">
        <f>IF(ISNUMBER(G135), $B145 * H135, "")</f>
        <v>10958.904109589052</v>
      </c>
      <c r="J135" s="13">
        <v>24.4</v>
      </c>
      <c r="K135" s="14">
        <f>IF(ISNUMBER(J135), (J135 - $B135) / $B135, "")</f>
        <v>0.11415525114155252</v>
      </c>
      <c r="L135" s="16">
        <f>IF(ISNUMBER(J135), $B145 * K135, "")</f>
        <v>11415.525114155253</v>
      </c>
      <c r="M135" s="29">
        <v>22.4</v>
      </c>
      <c r="N135" s="14">
        <f>IF(ISNUMBER(M135), (M135 - $B135) / $B135, "")</f>
        <v>2.2831050228310504E-2</v>
      </c>
      <c r="O135" s="16">
        <f>IF(ISNUMBER(M135), $B145 * N135, "")</f>
        <v>2283.1050228310505</v>
      </c>
      <c r="Q135" s="239"/>
      <c r="R135" s="240"/>
      <c r="S135" s="241"/>
    </row>
    <row r="136" spans="1:19" ht="17.25" thickBot="1">
      <c r="A136" s="125" t="s">
        <v>204</v>
      </c>
      <c r="B136" s="126">
        <v>18.100000000000001</v>
      </c>
      <c r="C136" s="77">
        <v>4.0229885100000001E-2</v>
      </c>
      <c r="D136" s="15">
        <v>20</v>
      </c>
      <c r="E136" s="32">
        <f t="shared" ref="E136:E139" si="70">IF(ISNUMBER(D136), (D136 - $B136) / $B136, "")</f>
        <v>0.10497237569060765</v>
      </c>
      <c r="F136" s="18">
        <f>IF(ISNUMBER(D136), $B145 * E136, "")</f>
        <v>10497.237569060764</v>
      </c>
      <c r="G136" s="31">
        <v>19.7</v>
      </c>
      <c r="H136" s="32">
        <f t="shared" ref="H136:H139" si="71">IF(ISNUMBER(G136), (G136 - $B136) / $B136, "")</f>
        <v>8.839779005524849E-2</v>
      </c>
      <c r="I136" s="101">
        <f>IF(ISNUMBER(G136), $B145 * H136, "")</f>
        <v>8839.7790055248497</v>
      </c>
      <c r="J136" s="15">
        <v>20</v>
      </c>
      <c r="K136" s="32">
        <f t="shared" ref="K136:K139" si="72">IF(ISNUMBER(J136), (J136 - $B136) / $B136, "")</f>
        <v>0.10497237569060765</v>
      </c>
      <c r="L136" s="18">
        <f>IF(ISNUMBER(J136), $B145 * K136, "")</f>
        <v>10497.237569060764</v>
      </c>
      <c r="M136" s="31">
        <v>19.100000000000001</v>
      </c>
      <c r="N136" s="32">
        <f t="shared" ref="N136:N139" si="73">IF(ISNUMBER(M136), (M136 - $B136) / $B136, "")</f>
        <v>5.5248618784530384E-2</v>
      </c>
      <c r="O136" s="18">
        <f>IF(ISNUMBER(M136), $B145 * N136, "")</f>
        <v>5524.8618784530381</v>
      </c>
      <c r="Q136" s="242"/>
      <c r="R136" s="243"/>
      <c r="S136" s="244"/>
    </row>
    <row r="137" spans="1:19" ht="17.25" thickBot="1">
      <c r="A137" s="125" t="s">
        <v>240</v>
      </c>
      <c r="B137" s="126">
        <v>81.8</v>
      </c>
      <c r="C137" s="77">
        <v>2.3779724700000001E-2</v>
      </c>
      <c r="D137" s="15">
        <v>90.1</v>
      </c>
      <c r="E137" s="32">
        <f t="shared" si="70"/>
        <v>0.10146699266503664</v>
      </c>
      <c r="F137" s="18">
        <f>IF(ISNUMBER(D137), $B145 * E137, "")</f>
        <v>10146.699266503665</v>
      </c>
      <c r="G137" s="31">
        <v>90.9</v>
      </c>
      <c r="H137" s="32">
        <f t="shared" si="71"/>
        <v>0.11124694376528128</v>
      </c>
      <c r="I137" s="101">
        <f>IF(ISNUMBER(G137), $B145 * H137, "")</f>
        <v>11124.694376528128</v>
      </c>
      <c r="J137" s="15">
        <v>90.2</v>
      </c>
      <c r="K137" s="32">
        <f t="shared" si="72"/>
        <v>0.10268948655256731</v>
      </c>
      <c r="L137" s="18">
        <f>IF(ISNUMBER(J137), $B145 * K137, "")</f>
        <v>10268.94865525673</v>
      </c>
      <c r="M137" s="31">
        <v>85.6</v>
      </c>
      <c r="N137" s="32">
        <f t="shared" si="73"/>
        <v>4.6454767726161333E-2</v>
      </c>
      <c r="O137" s="18">
        <f>IF(ISNUMBER(M137), $B145 * N137, "")</f>
        <v>4645.4767726161335</v>
      </c>
      <c r="Q137" s="227"/>
      <c r="R137" s="227"/>
      <c r="S137" s="227"/>
    </row>
    <row r="138" spans="1:19" ht="17.25" thickBot="1">
      <c r="A138" s="125" t="s">
        <v>210</v>
      </c>
      <c r="B138" s="126">
        <v>17.100000000000001</v>
      </c>
      <c r="C138" s="77">
        <v>1.1834319500000001E-2</v>
      </c>
      <c r="D138" s="15">
        <v>18.600000000000001</v>
      </c>
      <c r="E138" s="32">
        <f t="shared" si="70"/>
        <v>8.771929824561403E-2</v>
      </c>
      <c r="F138" s="18">
        <f>IF(ISNUMBER(D138), $B145 * E138, "")</f>
        <v>8771.9298245614027</v>
      </c>
      <c r="G138" s="31">
        <v>18.600000000000001</v>
      </c>
      <c r="H138" s="32">
        <f t="shared" si="71"/>
        <v>8.771929824561403E-2</v>
      </c>
      <c r="I138" s="101">
        <f>IF(ISNUMBER(G138), $B145 * H138, "")</f>
        <v>8771.9298245614027</v>
      </c>
      <c r="J138" s="15">
        <v>18.5</v>
      </c>
      <c r="K138" s="32">
        <f t="shared" si="72"/>
        <v>8.1871345029239678E-2</v>
      </c>
      <c r="L138" s="18">
        <f>IF(ISNUMBER(J138), $B145 * K138, "")</f>
        <v>8187.1345029239674</v>
      </c>
      <c r="M138" s="31">
        <v>18.3</v>
      </c>
      <c r="N138" s="32">
        <f t="shared" si="73"/>
        <v>7.0175438596491183E-2</v>
      </c>
      <c r="O138" s="18">
        <f>IF(ISNUMBER(M138), $B145 * N138, "")</f>
        <v>7017.5438596491185</v>
      </c>
      <c r="Q138" s="222"/>
      <c r="R138" s="222"/>
      <c r="S138" s="222"/>
    </row>
    <row r="139" spans="1:19" ht="17.25" thickBot="1">
      <c r="A139" s="127" t="s">
        <v>98</v>
      </c>
      <c r="B139" s="128">
        <v>5.56</v>
      </c>
      <c r="C139" s="78">
        <v>-1.2433392499999999E-2</v>
      </c>
      <c r="D139" s="20">
        <v>5.45</v>
      </c>
      <c r="E139" s="21">
        <f t="shared" si="70"/>
        <v>-1.9784172661870401E-2</v>
      </c>
      <c r="F139" s="22">
        <f>IF(ISNUMBER(D139), $B145 * E139, "")</f>
        <v>-1978.4172661870402</v>
      </c>
      <c r="G139" s="30">
        <v>5.51</v>
      </c>
      <c r="H139" s="21">
        <f t="shared" si="71"/>
        <v>-8.9928057553956518E-3</v>
      </c>
      <c r="I139" s="105">
        <f>IF(ISNUMBER(G139), $B145 * H139, "")</f>
        <v>-899.28057553956523</v>
      </c>
      <c r="J139" s="20">
        <v>5.52</v>
      </c>
      <c r="K139" s="21">
        <f t="shared" si="72"/>
        <v>-7.1942446043165541E-3</v>
      </c>
      <c r="L139" s="22">
        <f>IF(ISNUMBER(J139), $B145 * K139, "")</f>
        <v>-719.42446043165546</v>
      </c>
      <c r="M139" s="30">
        <v>5.54</v>
      </c>
      <c r="N139" s="21">
        <f t="shared" si="73"/>
        <v>-3.5971223021581968E-3</v>
      </c>
      <c r="O139" s="22">
        <f>IF(ISNUMBER(M139), $B145 * N139, "")</f>
        <v>-359.71223021581966</v>
      </c>
      <c r="Q139" s="222"/>
      <c r="R139" s="222"/>
      <c r="S139" s="222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27"/>
      <c r="R140" s="227"/>
      <c r="S140" s="227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7"/>
      <c r="R141" s="227"/>
      <c r="S141" s="22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132" t="s">
        <v>270</v>
      </c>
      <c r="B145" s="260">
        <f>$B$37</f>
        <v>100000</v>
      </c>
      <c r="C145" s="261"/>
      <c r="D145" s="26" t="s">
        <v>271</v>
      </c>
      <c r="E145" s="27">
        <f>IF(COUNT(E125:E144), SUM(E125:E144) / COUNT(E125:E144), 0)</f>
        <v>8.2479475039827249E-2</v>
      </c>
      <c r="F145" s="28">
        <f>SUM(F125:F144)</f>
        <v>123719.21255974089</v>
      </c>
      <c r="G145" s="26" t="s">
        <v>271</v>
      </c>
      <c r="H145" s="27">
        <f>IF(COUNT(H125:H144), SUM(H125:H144) / COUNT(H125:H144), 0)</f>
        <v>8.9275200674972952E-2</v>
      </c>
      <c r="I145" s="28">
        <f>SUM(I125:I144)</f>
        <v>133912.80101245944</v>
      </c>
      <c r="J145" s="26" t="s">
        <v>271</v>
      </c>
      <c r="K145" s="27">
        <f>IF(COUNT(K125:K144), SUM(K125:K144) / COUNT(K125:K144), 0)</f>
        <v>9.2440281665262525E-2</v>
      </c>
      <c r="L145" s="28">
        <f>SUM(L125:L144)</f>
        <v>138660.4224978938</v>
      </c>
      <c r="M145" s="26" t="s">
        <v>271</v>
      </c>
      <c r="N145" s="27">
        <f>IF(COUNT(N125:N144), SUM(N125:N144) / COUNT(N125:N144), 0)</f>
        <v>5.4626705419863829E-2</v>
      </c>
      <c r="O145" s="28">
        <f>SUM(O125:O144)</f>
        <v>81940.05812979574</v>
      </c>
      <c r="Q145" s="255"/>
      <c r="R145" s="256"/>
      <c r="S145" s="257"/>
    </row>
    <row r="147" spans="1:19" ht="17.25" thickBot="1"/>
    <row r="148" spans="1:19" ht="17.25" thickBot="1">
      <c r="A148" s="201" t="s">
        <v>259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73" t="s">
        <v>267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55149000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2.1442459999999998E-3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2021-09-05(일) 오전 00:00</v>
      </c>
      <c r="C150" s="265"/>
      <c r="D150" s="224" t="str">
        <f>TEXT($G$1, "[$-ko-KR]yyyy-mm-dd(ddd) ") &amp; "오후 14:00"</f>
        <v>2021-09-05(일) 오후 14:00</v>
      </c>
      <c r="E150" s="225"/>
      <c r="F150" s="226"/>
      <c r="G150" s="224" t="str">
        <f>TEXT($G$1, "[$-ko-KR]yyyy-mm-dd(ddd) ") &amp; "오후 19:00"</f>
        <v>2021-09-05(일) 오후 19:00</v>
      </c>
      <c r="H150" s="225"/>
      <c r="I150" s="226"/>
      <c r="J150" s="224" t="str">
        <f>TEXT($G$1, "[$-ko-KR]yyyy-mm-dd(ddd) ") &amp; "오후 21:00"</f>
        <v>2021-09-05(일) 오후 21:00</v>
      </c>
      <c r="K150" s="225"/>
      <c r="L150" s="226"/>
      <c r="M150" s="224" t="str">
        <f>TEXT($G$1+1, "[$-ko-KR]yyyy-mm-dd(ddd) ") &amp; "오전 00:00"</f>
        <v>2021-09-06(월)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7"/>
      <c r="R151" s="227"/>
      <c r="S151" s="227"/>
    </row>
    <row r="152" spans="1:19" ht="17.25" thickBot="1">
      <c r="A152" s="123" t="s">
        <v>202</v>
      </c>
      <c r="B152" s="124">
        <v>104</v>
      </c>
      <c r="C152" s="76">
        <v>6.9958847699999993E-2</v>
      </c>
      <c r="D152" s="13">
        <v>115</v>
      </c>
      <c r="E152" s="14">
        <f>IF(ISNUMBER(D152), (D152 - $B152) / $B152, "")</f>
        <v>0.10576923076923077</v>
      </c>
      <c r="F152" s="16">
        <f>IF(ISNUMBER(D152), $B172 * E152, "")</f>
        <v>10576.923076923076</v>
      </c>
      <c r="G152" s="29">
        <v>116</v>
      </c>
      <c r="H152" s="14">
        <f>IF(ISNUMBER(G152), (G152 - $B152) / $B152, "")</f>
        <v>0.11538461538461539</v>
      </c>
      <c r="I152" s="100">
        <f>IF(ISNUMBER(G152), $B172 * H152, "")</f>
        <v>11538.461538461539</v>
      </c>
      <c r="J152" s="13">
        <v>114</v>
      </c>
      <c r="K152" s="14">
        <f>IF(ISNUMBER(J152), (J152 - $B152) / $B152, "")</f>
        <v>9.6153846153846159E-2</v>
      </c>
      <c r="L152" s="16">
        <f>IF(ISNUMBER(J152), $B172 * K152, "")</f>
        <v>9615.3846153846152</v>
      </c>
      <c r="M152" s="29">
        <v>110</v>
      </c>
      <c r="N152" s="14">
        <f>IF(ISNUMBER(M152), (M152 - $B152) / $B152, "")</f>
        <v>5.7692307692307696E-2</v>
      </c>
      <c r="O152" s="16">
        <f>IF(ISNUMBER(M152), $B172 * N152, "")</f>
        <v>5769.2307692307695</v>
      </c>
      <c r="Q152" s="222"/>
      <c r="R152" s="222"/>
      <c r="S152" s="222"/>
    </row>
    <row r="153" spans="1:19" ht="17.25" thickBot="1">
      <c r="A153" s="125" t="s">
        <v>86</v>
      </c>
      <c r="B153" s="126">
        <v>483</v>
      </c>
      <c r="C153" s="77">
        <v>5.6892778999999997E-2</v>
      </c>
      <c r="D153" s="15">
        <v>479</v>
      </c>
      <c r="E153" s="32">
        <f t="shared" ref="E153:E156" si="78">IF(ISNUMBER(D153), (D153 - $B153) / $B153, "")</f>
        <v>-8.2815734989648039E-3</v>
      </c>
      <c r="F153" s="18">
        <f>IF(ISNUMBER(D153), $B172 * E153, "")</f>
        <v>-828.15734989648035</v>
      </c>
      <c r="G153" s="31">
        <v>485</v>
      </c>
      <c r="H153" s="32">
        <f t="shared" ref="H153:H156" si="79">IF(ISNUMBER(G153), (G153 - $B153) / $B153, "")</f>
        <v>4.140786749482402E-3</v>
      </c>
      <c r="I153" s="101">
        <f>IF(ISNUMBER(G153), $B172 * H153, "")</f>
        <v>414.07867494824018</v>
      </c>
      <c r="J153" s="15">
        <v>482</v>
      </c>
      <c r="K153" s="32">
        <f t="shared" ref="K153:K156" si="80">IF(ISNUMBER(J153), (J153 - $B153) / $B153, "")</f>
        <v>-2.070393374741201E-3</v>
      </c>
      <c r="L153" s="18">
        <f>IF(ISNUMBER(J153), $B172 * K153, "")</f>
        <v>-207.03933747412009</v>
      </c>
      <c r="M153" s="31">
        <v>485</v>
      </c>
      <c r="N153" s="32">
        <f t="shared" ref="N153:N156" si="81">IF(ISNUMBER(M153), (M153 - $B153) / $B153, "")</f>
        <v>4.140786749482402E-3</v>
      </c>
      <c r="O153" s="18">
        <f>IF(ISNUMBER(M153), $B172 * N153, "")</f>
        <v>414.07867494824018</v>
      </c>
      <c r="Q153" s="222"/>
      <c r="R153" s="222"/>
      <c r="S153" s="222"/>
    </row>
    <row r="154" spans="1:19" ht="17.25" thickBot="1">
      <c r="A154" s="125" t="s">
        <v>192</v>
      </c>
      <c r="B154" s="126">
        <v>338</v>
      </c>
      <c r="C154" s="77">
        <v>5.6250000000000001E-2</v>
      </c>
      <c r="D154" s="15">
        <v>468</v>
      </c>
      <c r="E154" s="32">
        <f t="shared" si="78"/>
        <v>0.38461538461538464</v>
      </c>
      <c r="F154" s="18">
        <f>IF(ISNUMBER(D154), $B172 * E154, "")</f>
        <v>38461.538461538461</v>
      </c>
      <c r="G154" s="31">
        <v>433</v>
      </c>
      <c r="H154" s="32">
        <f t="shared" si="79"/>
        <v>0.28106508875739644</v>
      </c>
      <c r="I154" s="101">
        <f>IF(ISNUMBER(G154), $B172 * H154, "")</f>
        <v>28106.508875739644</v>
      </c>
      <c r="J154" s="15">
        <v>430</v>
      </c>
      <c r="K154" s="32">
        <f t="shared" si="80"/>
        <v>0.27218934911242604</v>
      </c>
      <c r="L154" s="18">
        <f>IF(ISNUMBER(J154), $B172 * K154, "")</f>
        <v>27218.934911242603</v>
      </c>
      <c r="M154" s="31">
        <v>412</v>
      </c>
      <c r="N154" s="32">
        <f t="shared" si="81"/>
        <v>0.21893491124260356</v>
      </c>
      <c r="O154" s="18">
        <f>IF(ISNUMBER(M154), $B172 * N154, "")</f>
        <v>21893.491124260356</v>
      </c>
      <c r="Q154" s="227"/>
      <c r="R154" s="227"/>
      <c r="S154" s="227"/>
    </row>
    <row r="155" spans="1:19" ht="17.25" thickBot="1">
      <c r="A155" s="125" t="s">
        <v>194</v>
      </c>
      <c r="B155" s="126">
        <v>163</v>
      </c>
      <c r="C155" s="77">
        <v>5.1612903199999997E-2</v>
      </c>
      <c r="D155" s="15">
        <v>173</v>
      </c>
      <c r="E155" s="32">
        <f t="shared" si="78"/>
        <v>6.1349693251533742E-2</v>
      </c>
      <c r="F155" s="18">
        <f>IF(ISNUMBER(D155), $B172 * E155, "")</f>
        <v>6134.9693251533745</v>
      </c>
      <c r="G155" s="31">
        <v>176</v>
      </c>
      <c r="H155" s="32">
        <f t="shared" si="79"/>
        <v>7.9754601226993863E-2</v>
      </c>
      <c r="I155" s="101">
        <f>IF(ISNUMBER(G155), $B172 * H155, "")</f>
        <v>7975.4601226993864</v>
      </c>
      <c r="J155" s="15">
        <v>180</v>
      </c>
      <c r="K155" s="32">
        <f t="shared" si="80"/>
        <v>0.10429447852760736</v>
      </c>
      <c r="L155" s="18">
        <f>IF(ISNUMBER(J155), $B172 * K155, "")</f>
        <v>10429.447852760735</v>
      </c>
      <c r="M155" s="31">
        <v>167</v>
      </c>
      <c r="N155" s="32">
        <f t="shared" si="81"/>
        <v>2.4539877300613498E-2</v>
      </c>
      <c r="O155" s="18">
        <f>IF(ISNUMBER(M155), $B172 * N155, "")</f>
        <v>2453.9877300613498</v>
      </c>
      <c r="Q155" s="227"/>
      <c r="R155" s="227"/>
      <c r="S155" s="227"/>
    </row>
    <row r="156" spans="1:19" ht="17.25" thickBot="1">
      <c r="A156" s="127" t="s">
        <v>162</v>
      </c>
      <c r="B156" s="128">
        <v>127</v>
      </c>
      <c r="C156" s="78">
        <v>4.9586776899999997E-2</v>
      </c>
      <c r="D156" s="20">
        <v>137</v>
      </c>
      <c r="E156" s="21">
        <f t="shared" si="78"/>
        <v>7.874015748031496E-2</v>
      </c>
      <c r="F156" s="22">
        <f>IF(ISNUMBER(D156), $B172 * E156, "")</f>
        <v>7874.0157480314956</v>
      </c>
      <c r="G156" s="30">
        <v>137</v>
      </c>
      <c r="H156" s="21">
        <f t="shared" si="79"/>
        <v>7.874015748031496E-2</v>
      </c>
      <c r="I156" s="105">
        <f>IF(ISNUMBER(G156), $B172 * H156, "")</f>
        <v>7874.0157480314956</v>
      </c>
      <c r="J156" s="20">
        <v>138</v>
      </c>
      <c r="K156" s="21">
        <f t="shared" si="80"/>
        <v>8.6614173228346455E-2</v>
      </c>
      <c r="L156" s="22">
        <f>IF(ISNUMBER(J156), $B172 * K156, "")</f>
        <v>8661.4173228346463</v>
      </c>
      <c r="M156" s="30">
        <v>139</v>
      </c>
      <c r="N156" s="21">
        <f t="shared" si="81"/>
        <v>9.4488188976377951E-2</v>
      </c>
      <c r="O156" s="22">
        <f>IF(ISNUMBER(M156), $B172 * N156, "")</f>
        <v>9448.8188976377951</v>
      </c>
      <c r="Q156" s="227"/>
      <c r="R156" s="227"/>
      <c r="S156" s="227"/>
    </row>
    <row r="157" spans="1:19" ht="17.25" thickBot="1">
      <c r="A157" s="125" t="s">
        <v>166</v>
      </c>
      <c r="B157" s="129">
        <v>281</v>
      </c>
      <c r="C157" s="80">
        <v>4.8507462699999997E-2</v>
      </c>
      <c r="D157" s="106">
        <v>300</v>
      </c>
      <c r="E157" s="107">
        <f>IF(ISNUMBER(D157), (D157 - $B157) / $B157, "")</f>
        <v>6.7615658362989328E-2</v>
      </c>
      <c r="F157" s="108">
        <f>IF(ISNUMBER(D157), $B172 * E157, "")</f>
        <v>6761.5658362989325</v>
      </c>
      <c r="G157" s="109">
        <v>309</v>
      </c>
      <c r="H157" s="107">
        <f>IF(ISNUMBER(G157), (G157 - $B157) / $B157, "")</f>
        <v>9.9644128113879002E-2</v>
      </c>
      <c r="I157" s="110">
        <f>IF(ISNUMBER(G157), $B172 * H157, "")</f>
        <v>9964.4128113878996</v>
      </c>
      <c r="J157" s="106">
        <v>311</v>
      </c>
      <c r="K157" s="107">
        <f>IF(ISNUMBER(J157), (J157 - $B157) / $B157, "")</f>
        <v>0.10676156583629894</v>
      </c>
      <c r="L157" s="108">
        <f>IF(ISNUMBER(J157), $B172 * K157, "")</f>
        <v>10676.156583629894</v>
      </c>
      <c r="M157" s="109">
        <v>286</v>
      </c>
      <c r="N157" s="107">
        <f>IF(ISNUMBER(M157), (M157 - $B157) / $B157, "")</f>
        <v>1.7793594306049824E-2</v>
      </c>
      <c r="O157" s="108">
        <f>IF(ISNUMBER(M157), $B172 * N157, "")</f>
        <v>1779.3594306049824</v>
      </c>
      <c r="Q157" s="227"/>
      <c r="R157" s="227"/>
      <c r="S157" s="227"/>
    </row>
    <row r="158" spans="1:19" ht="17.25" thickBot="1">
      <c r="A158" s="125" t="s">
        <v>220</v>
      </c>
      <c r="B158" s="126">
        <v>251</v>
      </c>
      <c r="C158" s="77">
        <v>4.5833333300000001E-2</v>
      </c>
      <c r="D158" s="15">
        <v>282</v>
      </c>
      <c r="E158" s="32">
        <f t="shared" ref="E158:E161" si="82">IF(ISNUMBER(D158), (D158 - $B158) / $B158, "")</f>
        <v>0.12350597609561753</v>
      </c>
      <c r="F158" s="18">
        <f>IF(ISNUMBER(D158), $B172 * E158, "")</f>
        <v>12350.597609561753</v>
      </c>
      <c r="G158" s="31">
        <v>332</v>
      </c>
      <c r="H158" s="32">
        <f t="shared" ref="H158:H161" si="83">IF(ISNUMBER(G158), (G158 - $B158) / $B158, "")</f>
        <v>0.32270916334661354</v>
      </c>
      <c r="I158" s="101">
        <f>IF(ISNUMBER(G158), $B172 * H158, "")</f>
        <v>32270.916334661353</v>
      </c>
      <c r="J158" s="15">
        <v>305</v>
      </c>
      <c r="K158" s="32">
        <f t="shared" ref="K158:K161" si="84">IF(ISNUMBER(J158), (J158 - $B158) / $B158, "")</f>
        <v>0.2151394422310757</v>
      </c>
      <c r="L158" s="18">
        <f>IF(ISNUMBER(J158), $B172 * K158, "")</f>
        <v>21513.94422310757</v>
      </c>
      <c r="M158" s="31">
        <v>288</v>
      </c>
      <c r="N158" s="32">
        <f t="shared" ref="N158:N161" si="85">IF(ISNUMBER(M158), (M158 - $B158) / $B158, "")</f>
        <v>0.14741035856573706</v>
      </c>
      <c r="O158" s="18">
        <f>IF(ISNUMBER(M158), $B172 * N158, "")</f>
        <v>14741.035856573706</v>
      </c>
      <c r="Q158" s="227"/>
      <c r="R158" s="227"/>
      <c r="S158" s="227"/>
    </row>
    <row r="159" spans="1:19" ht="17.25" thickBot="1">
      <c r="A159" s="125" t="s">
        <v>132</v>
      </c>
      <c r="B159" s="126">
        <v>144</v>
      </c>
      <c r="C159" s="77">
        <v>4.3478260900000003E-2</v>
      </c>
      <c r="D159" s="15">
        <v>147</v>
      </c>
      <c r="E159" s="32">
        <f t="shared" si="82"/>
        <v>2.0833333333333332E-2</v>
      </c>
      <c r="F159" s="18">
        <f>IF(ISNUMBER(D159), $B172 * E159, "")</f>
        <v>2083.333333333333</v>
      </c>
      <c r="G159" s="31">
        <v>150</v>
      </c>
      <c r="H159" s="32">
        <f t="shared" si="83"/>
        <v>4.1666666666666664E-2</v>
      </c>
      <c r="I159" s="101">
        <f>IF(ISNUMBER(G159), $B172 * H159, "")</f>
        <v>4166.6666666666661</v>
      </c>
      <c r="J159" s="15">
        <v>149</v>
      </c>
      <c r="K159" s="32">
        <f t="shared" si="84"/>
        <v>3.4722222222222224E-2</v>
      </c>
      <c r="L159" s="18">
        <f>IF(ISNUMBER(J159), $B172 * K159, "")</f>
        <v>3472.2222222222222</v>
      </c>
      <c r="M159" s="31">
        <v>150</v>
      </c>
      <c r="N159" s="32">
        <f t="shared" si="85"/>
        <v>4.1666666666666664E-2</v>
      </c>
      <c r="O159" s="18">
        <f>IF(ISNUMBER(M159), $B172 * N159, "")</f>
        <v>4166.6666666666661</v>
      </c>
      <c r="Q159" s="227"/>
      <c r="R159" s="227"/>
      <c r="S159" s="227"/>
    </row>
    <row r="160" spans="1:19" ht="17.25" thickBot="1">
      <c r="A160" s="125" t="s">
        <v>57</v>
      </c>
      <c r="B160" s="126">
        <v>251</v>
      </c>
      <c r="C160" s="77">
        <v>4.1493775900000002E-2</v>
      </c>
      <c r="D160" s="15">
        <v>261</v>
      </c>
      <c r="E160" s="32">
        <f t="shared" si="82"/>
        <v>3.9840637450199202E-2</v>
      </c>
      <c r="F160" s="18">
        <f>IF(ISNUMBER(D160), $B172 * E160, "")</f>
        <v>3984.0637450199201</v>
      </c>
      <c r="G160" s="31">
        <v>268</v>
      </c>
      <c r="H160" s="32">
        <f t="shared" si="83"/>
        <v>6.7729083665338641E-2</v>
      </c>
      <c r="I160" s="101">
        <f>IF(ISNUMBER(G160), $B172 * H160, "")</f>
        <v>6772.908366533864</v>
      </c>
      <c r="J160" s="15">
        <v>267</v>
      </c>
      <c r="K160" s="32">
        <f t="shared" si="84"/>
        <v>6.3745019920318724E-2</v>
      </c>
      <c r="L160" s="18">
        <f>IF(ISNUMBER(J160), $B172 * K160, "")</f>
        <v>6374.5019920318728</v>
      </c>
      <c r="M160" s="31">
        <v>267</v>
      </c>
      <c r="N160" s="32">
        <f t="shared" si="85"/>
        <v>6.3745019920318724E-2</v>
      </c>
      <c r="O160" s="18">
        <f>IF(ISNUMBER(M160), $B172 * N160, "")</f>
        <v>6374.5019920318728</v>
      </c>
      <c r="Q160" s="33"/>
      <c r="R160" s="33"/>
    </row>
    <row r="161" spans="1:19" ht="17.25" thickBot="1">
      <c r="A161" s="130" t="s">
        <v>118</v>
      </c>
      <c r="B161" s="131">
        <v>199</v>
      </c>
      <c r="C161" s="79">
        <v>3.64583333E-2</v>
      </c>
      <c r="D161" s="24">
        <v>201</v>
      </c>
      <c r="E161" s="25">
        <f t="shared" si="82"/>
        <v>1.0050251256281407E-2</v>
      </c>
      <c r="F161" s="104">
        <f>IF(ISNUMBER(D161), $B172 * E161, "")</f>
        <v>1005.0251256281407</v>
      </c>
      <c r="G161" s="102">
        <v>208</v>
      </c>
      <c r="H161" s="25">
        <f t="shared" si="83"/>
        <v>4.5226130653266333E-2</v>
      </c>
      <c r="I161" s="103">
        <f>IF(ISNUMBER(G161), $B172 * H161, "")</f>
        <v>4522.6130653266337</v>
      </c>
      <c r="J161" s="24">
        <v>208</v>
      </c>
      <c r="K161" s="25">
        <f t="shared" si="84"/>
        <v>4.5226130653266333E-2</v>
      </c>
      <c r="L161" s="104">
        <f>IF(ISNUMBER(J161), $B172 * K161, "")</f>
        <v>4522.6130653266337</v>
      </c>
      <c r="M161" s="102">
        <v>208</v>
      </c>
      <c r="N161" s="25">
        <f t="shared" si="85"/>
        <v>4.5226130653266333E-2</v>
      </c>
      <c r="O161" s="104">
        <f>IF(ISNUMBER(M161), $B172 * N161, "")</f>
        <v>4522.6130653266337</v>
      </c>
      <c r="Q161" s="236"/>
      <c r="R161" s="237"/>
      <c r="S161" s="238"/>
    </row>
    <row r="162" spans="1:19">
      <c r="A162" s="123" t="s">
        <v>128</v>
      </c>
      <c r="B162" s="124">
        <v>171</v>
      </c>
      <c r="C162" s="76">
        <v>3.6363636400000003E-2</v>
      </c>
      <c r="D162" s="13">
        <v>168</v>
      </c>
      <c r="E162" s="14">
        <f>IF(ISNUMBER(D162), (D162 - $B162) / $B162, "")</f>
        <v>-1.7543859649122806E-2</v>
      </c>
      <c r="F162" s="16">
        <f>IF(ISNUMBER(D162), $B172 * E162, "")</f>
        <v>-1754.3859649122805</v>
      </c>
      <c r="G162" s="29">
        <v>170</v>
      </c>
      <c r="H162" s="14">
        <f>IF(ISNUMBER(G162), (G162 - $B162) / $B162, "")</f>
        <v>-5.8479532163742687E-3</v>
      </c>
      <c r="I162" s="100">
        <f>IF(ISNUMBER(G162), $B172 * H162, "")</f>
        <v>-584.79532163742692</v>
      </c>
      <c r="J162" s="13">
        <v>172</v>
      </c>
      <c r="K162" s="14">
        <f>IF(ISNUMBER(J162), (J162 - $B162) / $B162, "")</f>
        <v>5.8479532163742687E-3</v>
      </c>
      <c r="L162" s="16">
        <f>IF(ISNUMBER(J162), $B172 * K162, "")</f>
        <v>584.79532163742692</v>
      </c>
      <c r="M162" s="29">
        <v>172</v>
      </c>
      <c r="N162" s="14">
        <f>IF(ISNUMBER(M162), (M162 - $B162) / $B162, "")</f>
        <v>5.8479532163742687E-3</v>
      </c>
      <c r="O162" s="16">
        <f>IF(ISNUMBER(M162), $B172 * N162, "")</f>
        <v>584.79532163742692</v>
      </c>
      <c r="Q162" s="239"/>
      <c r="R162" s="240"/>
      <c r="S162" s="241"/>
    </row>
    <row r="163" spans="1:19" ht="17.25" thickBot="1">
      <c r="A163" s="125" t="s">
        <v>200</v>
      </c>
      <c r="B163" s="126">
        <v>201</v>
      </c>
      <c r="C163" s="77">
        <v>3.6082474199999999E-2</v>
      </c>
      <c r="D163" s="15">
        <v>232</v>
      </c>
      <c r="E163" s="32">
        <f t="shared" ref="E163:E166" si="86">IF(ISNUMBER(D163), (D163 - $B163) / $B163, "")</f>
        <v>0.15422885572139303</v>
      </c>
      <c r="F163" s="18">
        <f>IF(ISNUMBER(D163), $B172 * E163, "")</f>
        <v>15422.885572139303</v>
      </c>
      <c r="G163" s="31">
        <v>238</v>
      </c>
      <c r="H163" s="32">
        <f t="shared" ref="H163:H166" si="87">IF(ISNUMBER(G163), (G163 - $B163) / $B163, "")</f>
        <v>0.18407960199004975</v>
      </c>
      <c r="I163" s="101">
        <f>IF(ISNUMBER(G163), $B172 * H163, "")</f>
        <v>18407.960199004974</v>
      </c>
      <c r="J163" s="15">
        <v>227</v>
      </c>
      <c r="K163" s="32">
        <f t="shared" ref="K163:K166" si="88">IF(ISNUMBER(J163), (J163 - $B163) / $B163, "")</f>
        <v>0.12935323383084577</v>
      </c>
      <c r="L163" s="18">
        <f>IF(ISNUMBER(J163), $B172 * K163, "")</f>
        <v>12935.323383084577</v>
      </c>
      <c r="M163" s="31">
        <v>217</v>
      </c>
      <c r="N163" s="32">
        <f t="shared" ref="N163:N166" si="89">IF(ISNUMBER(M163), (M163 - $B163) / $B163, "")</f>
        <v>7.9601990049751242E-2</v>
      </c>
      <c r="O163" s="18">
        <f>IF(ISNUMBER(M163), $B172 * N163, "")</f>
        <v>7960.1990049751239</v>
      </c>
      <c r="Q163" s="242"/>
      <c r="R163" s="243"/>
      <c r="S163" s="244"/>
    </row>
    <row r="164" spans="1:19" ht="17.25" thickBot="1">
      <c r="A164" s="125" t="s">
        <v>266</v>
      </c>
      <c r="B164" s="126">
        <v>354</v>
      </c>
      <c r="C164" s="77">
        <v>3.20699708E-2</v>
      </c>
      <c r="D164" s="15">
        <v>344</v>
      </c>
      <c r="E164" s="32">
        <f t="shared" si="86"/>
        <v>-2.8248587570621469E-2</v>
      </c>
      <c r="F164" s="18">
        <f>IF(ISNUMBER(D164), $B172 * E164, "")</f>
        <v>-2824.8587570621471</v>
      </c>
      <c r="G164" s="31">
        <v>348</v>
      </c>
      <c r="H164" s="32">
        <f t="shared" si="87"/>
        <v>-1.6949152542372881E-2</v>
      </c>
      <c r="I164" s="101">
        <f>IF(ISNUMBER(G164), $B172 * H164, "")</f>
        <v>-1694.9152542372881</v>
      </c>
      <c r="J164" s="15">
        <v>347</v>
      </c>
      <c r="K164" s="32">
        <f t="shared" si="88"/>
        <v>-1.977401129943503E-2</v>
      </c>
      <c r="L164" s="18">
        <f>IF(ISNUMBER(J164), $B172 * K164, "")</f>
        <v>-1977.4011299435031</v>
      </c>
      <c r="M164" s="31">
        <v>349</v>
      </c>
      <c r="N164" s="32">
        <f t="shared" si="89"/>
        <v>-1.4124293785310734E-2</v>
      </c>
      <c r="O164" s="18">
        <f>IF(ISNUMBER(M164), $B172 * N164, "")</f>
        <v>-1412.4293785310736</v>
      </c>
      <c r="Q164" s="227"/>
      <c r="R164" s="227"/>
      <c r="S164" s="227"/>
    </row>
    <row r="165" spans="1:19" ht="17.25" thickBot="1">
      <c r="A165" s="125" t="s">
        <v>54</v>
      </c>
      <c r="B165" s="126">
        <v>339</v>
      </c>
      <c r="C165" s="77">
        <v>2.7272727300000001E-2</v>
      </c>
      <c r="D165" s="15">
        <v>352</v>
      </c>
      <c r="E165" s="32">
        <f t="shared" si="86"/>
        <v>3.8348082595870206E-2</v>
      </c>
      <c r="F165" s="18">
        <f>IF(ISNUMBER(D165), $B172 * E165, "")</f>
        <v>3834.8082595870205</v>
      </c>
      <c r="G165" s="31">
        <v>353</v>
      </c>
      <c r="H165" s="32">
        <f t="shared" si="87"/>
        <v>4.1297935103244837E-2</v>
      </c>
      <c r="I165" s="101">
        <f>IF(ISNUMBER(G165), $B172 * H165, "")</f>
        <v>4129.7935103244836</v>
      </c>
      <c r="J165" s="15">
        <v>352</v>
      </c>
      <c r="K165" s="32">
        <f t="shared" si="88"/>
        <v>3.8348082595870206E-2</v>
      </c>
      <c r="L165" s="18">
        <f>IF(ISNUMBER(J165), $B172 * K165, "")</f>
        <v>3834.8082595870205</v>
      </c>
      <c r="M165" s="31">
        <v>351</v>
      </c>
      <c r="N165" s="32">
        <f t="shared" si="89"/>
        <v>3.5398230088495575E-2</v>
      </c>
      <c r="O165" s="18">
        <f>IF(ISNUMBER(M165), $B172 * N165, "")</f>
        <v>3539.8230088495575</v>
      </c>
      <c r="Q165" s="222"/>
      <c r="R165" s="222"/>
      <c r="S165" s="222"/>
    </row>
    <row r="166" spans="1:19" ht="17.25" thickBot="1">
      <c r="A166" s="127" t="s">
        <v>130</v>
      </c>
      <c r="B166" s="128">
        <v>155</v>
      </c>
      <c r="C166" s="78">
        <v>2.6490066199999999E-2</v>
      </c>
      <c r="D166" s="20">
        <v>162</v>
      </c>
      <c r="E166" s="21">
        <f t="shared" si="86"/>
        <v>4.5161290322580643E-2</v>
      </c>
      <c r="F166" s="22">
        <f>IF(ISNUMBER(D166), $B172 * E166, "")</f>
        <v>4516.1290322580644</v>
      </c>
      <c r="G166" s="30">
        <v>174</v>
      </c>
      <c r="H166" s="21">
        <f t="shared" si="87"/>
        <v>0.12258064516129032</v>
      </c>
      <c r="I166" s="105">
        <f>IF(ISNUMBER(G166), $B172 * H166, "")</f>
        <v>12258.064516129032</v>
      </c>
      <c r="J166" s="20">
        <v>180</v>
      </c>
      <c r="K166" s="21">
        <f t="shared" si="88"/>
        <v>0.16129032258064516</v>
      </c>
      <c r="L166" s="22">
        <f>IF(ISNUMBER(J166), $B172 * K166, "")</f>
        <v>16129.032258064515</v>
      </c>
      <c r="M166" s="30">
        <v>165</v>
      </c>
      <c r="N166" s="21">
        <f t="shared" si="89"/>
        <v>6.4516129032258063E-2</v>
      </c>
      <c r="O166" s="22">
        <f>IF(ISNUMBER(M166), $B172 * N166, "")</f>
        <v>6451.6129032258059</v>
      </c>
      <c r="Q166" s="222"/>
      <c r="R166" s="222"/>
      <c r="S166" s="222"/>
    </row>
    <row r="167" spans="1:19" ht="17.25" thickBot="1">
      <c r="A167" s="125" t="s">
        <v>138</v>
      </c>
      <c r="B167" s="129">
        <v>437</v>
      </c>
      <c r="C167" s="80">
        <v>2.5821596200000001E-2</v>
      </c>
      <c r="D167" s="106">
        <v>439</v>
      </c>
      <c r="E167" s="107">
        <f>IF(ISNUMBER(D167), (D167 - $B167) / $B167, "")</f>
        <v>4.5766590389016018E-3</v>
      </c>
      <c r="F167" s="108">
        <f>IF(ISNUMBER(D167), $B172 * E167, "")</f>
        <v>457.66590389016017</v>
      </c>
      <c r="G167" s="109">
        <v>442</v>
      </c>
      <c r="H167" s="107">
        <f>IF(ISNUMBER(G167), (G167 - $B167) / $B167, "")</f>
        <v>1.1441647597254004E-2</v>
      </c>
      <c r="I167" s="110">
        <f>IF(ISNUMBER(G167), $B172 * H167, "")</f>
        <v>1144.1647597254005</v>
      </c>
      <c r="J167" s="106">
        <v>442</v>
      </c>
      <c r="K167" s="107">
        <f>IF(ISNUMBER(J167), (J167 - $B167) / $B167, "")</f>
        <v>1.1441647597254004E-2</v>
      </c>
      <c r="L167" s="108">
        <f>IF(ISNUMBER(J167), $B172 * K167, "")</f>
        <v>1144.1647597254005</v>
      </c>
      <c r="M167" s="109">
        <v>439</v>
      </c>
      <c r="N167" s="107">
        <f>IF(ISNUMBER(M167), (M167 - $B167) / $B167, "")</f>
        <v>4.5766590389016018E-3</v>
      </c>
      <c r="O167" s="108">
        <f>IF(ISNUMBER(M167), $B172 * N167, "")</f>
        <v>457.66590389016017</v>
      </c>
      <c r="Q167" s="227"/>
      <c r="R167" s="227"/>
      <c r="S167" s="227"/>
    </row>
    <row r="168" spans="1:19" ht="17.25" thickBot="1">
      <c r="A168" s="125" t="s">
        <v>51</v>
      </c>
      <c r="B168" s="126">
        <v>435</v>
      </c>
      <c r="C168" s="77">
        <v>2.1126760599999999E-2</v>
      </c>
      <c r="D168" s="15">
        <v>431</v>
      </c>
      <c r="E168" s="32">
        <f t="shared" ref="E168:E171" si="90">IF(ISNUMBER(D168), (D168 - $B168) / $B168, "")</f>
        <v>-9.1954022988505746E-3</v>
      </c>
      <c r="F168" s="18">
        <f>IF(ISNUMBER(D168), $B172 * E168, "")</f>
        <v>-919.54022988505744</v>
      </c>
      <c r="G168" s="31">
        <v>440</v>
      </c>
      <c r="H168" s="32">
        <f t="shared" ref="H168:H171" si="91">IF(ISNUMBER(G168), (G168 - $B168) / $B168, "")</f>
        <v>1.1494252873563218E-2</v>
      </c>
      <c r="I168" s="101">
        <f>IF(ISNUMBER(G168), $B172 * H168, "")</f>
        <v>1149.4252873563219</v>
      </c>
      <c r="J168" s="15">
        <v>439</v>
      </c>
      <c r="K168" s="32">
        <f t="shared" ref="K168:K171" si="92">IF(ISNUMBER(J168), (J168 - $B168) / $B168, "")</f>
        <v>9.1954022988505746E-3</v>
      </c>
      <c r="L168" s="18">
        <f>IF(ISNUMBER(J168), $B172 * K168, "")</f>
        <v>919.54022988505744</v>
      </c>
      <c r="M168" s="31">
        <v>448</v>
      </c>
      <c r="N168" s="32">
        <f t="shared" ref="N168:N171" si="93">IF(ISNUMBER(M168), (M168 - $B168) / $B168, "")</f>
        <v>2.9885057471264367E-2</v>
      </c>
      <c r="O168" s="18">
        <f>IF(ISNUMBER(M168), $B172 * N168, "")</f>
        <v>2988.5057471264367</v>
      </c>
      <c r="Q168" s="227"/>
      <c r="R168" s="227"/>
      <c r="S168" s="227"/>
    </row>
    <row r="169" spans="1:19" ht="17.25" thickBot="1">
      <c r="A169" s="125" t="s">
        <v>250</v>
      </c>
      <c r="B169" s="126">
        <v>101</v>
      </c>
      <c r="C169" s="77">
        <v>1.30391174E-2</v>
      </c>
      <c r="D169" s="15">
        <v>105</v>
      </c>
      <c r="E169" s="32">
        <f t="shared" si="90"/>
        <v>3.9603960396039604E-2</v>
      </c>
      <c r="F169" s="18">
        <f>IF(ISNUMBER(D169), $B172 * E169, "")</f>
        <v>3960.3960396039606</v>
      </c>
      <c r="G169" s="31">
        <v>103</v>
      </c>
      <c r="H169" s="32">
        <f t="shared" si="91"/>
        <v>1.9801980198019802E-2</v>
      </c>
      <c r="I169" s="101">
        <f>IF(ISNUMBER(G169), $B172 * H169, "")</f>
        <v>1980.1980198019803</v>
      </c>
      <c r="J169" s="15">
        <v>104</v>
      </c>
      <c r="K169" s="32">
        <f t="shared" si="92"/>
        <v>2.9702970297029702E-2</v>
      </c>
      <c r="L169" s="18">
        <f>IF(ISNUMBER(J169), $B172 * K169, "")</f>
        <v>2970.2970297029701</v>
      </c>
      <c r="M169" s="31">
        <v>105</v>
      </c>
      <c r="N169" s="32">
        <f t="shared" si="93"/>
        <v>3.9603960396039604E-2</v>
      </c>
      <c r="O169" s="18">
        <f>IF(ISNUMBER(M169), $B172 * N169, "")</f>
        <v>3960.3960396039606</v>
      </c>
      <c r="Q169" s="227"/>
      <c r="R169" s="227"/>
      <c r="S169" s="227"/>
    </row>
    <row r="170" spans="1:19">
      <c r="A170" s="125" t="s">
        <v>152</v>
      </c>
      <c r="B170" s="126">
        <v>118</v>
      </c>
      <c r="C170" s="77">
        <v>8.5470084999999998E-3</v>
      </c>
      <c r="D170" s="15">
        <v>117</v>
      </c>
      <c r="E170" s="32">
        <f t="shared" si="90"/>
        <v>-8.4745762711864406E-3</v>
      </c>
      <c r="F170" s="18">
        <f>IF(ISNUMBER(D170), $B172 * E170, "")</f>
        <v>-847.45762711864404</v>
      </c>
      <c r="G170" s="31">
        <v>118</v>
      </c>
      <c r="H170" s="32">
        <f t="shared" si="91"/>
        <v>0</v>
      </c>
      <c r="I170" s="101">
        <f>IF(ISNUMBER(G170), $B172 * H170, "")</f>
        <v>0</v>
      </c>
      <c r="J170" s="15">
        <v>118</v>
      </c>
      <c r="K170" s="32">
        <f t="shared" si="92"/>
        <v>0</v>
      </c>
      <c r="L170" s="18">
        <f>IF(ISNUMBER(J170), $B172 * K170, "")</f>
        <v>0</v>
      </c>
      <c r="M170" s="31">
        <v>119</v>
      </c>
      <c r="N170" s="32">
        <f t="shared" si="93"/>
        <v>8.4745762711864406E-3</v>
      </c>
      <c r="O170" s="18">
        <f>IF(ISNUMBER(M170), $B172 * N170, "")</f>
        <v>847.45762711864404</v>
      </c>
      <c r="Q170" s="249"/>
      <c r="R170" s="250"/>
      <c r="S170" s="251"/>
    </row>
    <row r="171" spans="1:19" ht="17.25" thickBot="1">
      <c r="A171" s="130" t="s">
        <v>230</v>
      </c>
      <c r="B171" s="131">
        <v>417</v>
      </c>
      <c r="C171" s="79">
        <v>2.4038461999999999E-3</v>
      </c>
      <c r="D171" s="24">
        <v>430</v>
      </c>
      <c r="E171" s="25">
        <f t="shared" si="90"/>
        <v>3.117505995203837E-2</v>
      </c>
      <c r="F171" s="104">
        <f>IF(ISNUMBER(D171), $B172 * E171, "")</f>
        <v>3117.5059952038368</v>
      </c>
      <c r="G171" s="102">
        <v>418</v>
      </c>
      <c r="H171" s="25">
        <f t="shared" si="91"/>
        <v>2.3980815347721821E-3</v>
      </c>
      <c r="I171" s="103">
        <f>IF(ISNUMBER(G171), $B172 * H171, "")</f>
        <v>239.80815347721821</v>
      </c>
      <c r="J171" s="24">
        <v>417</v>
      </c>
      <c r="K171" s="25">
        <f t="shared" si="92"/>
        <v>0</v>
      </c>
      <c r="L171" s="104">
        <f>IF(ISNUMBER(J171), $B172 * K171, "")</f>
        <v>0</v>
      </c>
      <c r="M171" s="102">
        <v>419</v>
      </c>
      <c r="N171" s="25">
        <f t="shared" si="93"/>
        <v>4.7961630695443642E-3</v>
      </c>
      <c r="O171" s="104">
        <f>IF(ISNUMBER(M171), $B172 * N171, "")</f>
        <v>479.61630695443642</v>
      </c>
      <c r="Q171" s="252"/>
      <c r="R171" s="253"/>
      <c r="S171" s="254"/>
    </row>
    <row r="172" spans="1:19" ht="17.25" thickBot="1">
      <c r="A172" s="132" t="s">
        <v>270</v>
      </c>
      <c r="B172" s="260">
        <f>$B$37</f>
        <v>100000</v>
      </c>
      <c r="C172" s="261"/>
      <c r="D172" s="26" t="s">
        <v>271</v>
      </c>
      <c r="E172" s="27">
        <f>IF(COUNT(E152:E171), SUM(E152:E171) / COUNT(E152:E171), 0)</f>
        <v>5.6683511567648136E-2</v>
      </c>
      <c r="F172" s="28">
        <f>SUM(F152:F171)</f>
        <v>113367.02313529623</v>
      </c>
      <c r="G172" s="26" t="s">
        <v>271</v>
      </c>
      <c r="H172" s="27">
        <f>IF(COUNT(H152:H171), SUM(H152:H171) / COUNT(H152:H171), 0)</f>
        <v>7.5317873037200722E-2</v>
      </c>
      <c r="I172" s="28">
        <f>SUM(I152:I171)</f>
        <v>150635.7460744014</v>
      </c>
      <c r="J172" s="26" t="s">
        <v>271</v>
      </c>
      <c r="K172" s="27">
        <f>IF(COUNT(K152:K171), SUM(K152:K171) / COUNT(K152:K171), 0)</f>
        <v>6.9409071781405068E-2</v>
      </c>
      <c r="L172" s="28">
        <f>SUM(L152:L171)</f>
        <v>138818.14356281012</v>
      </c>
      <c r="M172" s="26" t="s">
        <v>271</v>
      </c>
      <c r="N172" s="27">
        <f>IF(COUNT(N152:N171), SUM(N152:N171) / COUNT(N152:N171), 0)</f>
        <v>4.8710713346096411E-2</v>
      </c>
      <c r="O172" s="28">
        <f>SUM(O152:O171)</f>
        <v>97421.426692192836</v>
      </c>
      <c r="Q172" s="255"/>
      <c r="R172" s="256"/>
      <c r="S172" s="257"/>
    </row>
    <row r="174" spans="1:19" ht="17.25" thickBot="1"/>
    <row r="175" spans="1:19" ht="17.25" thickBot="1">
      <c r="A175" s="201" t="s">
        <v>255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73" t="s">
        <v>267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55149000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2.1442459999999998E-3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2021-09-05(일) 오전 00:00</v>
      </c>
      <c r="C177" s="265"/>
      <c r="D177" s="224" t="str">
        <f>TEXT($G$1, "[$-ko-KR]yyyy-mm-dd(ddd) ") &amp; "오후 14:00"</f>
        <v>2021-09-05(일) 오후 14:00</v>
      </c>
      <c r="E177" s="225"/>
      <c r="F177" s="226"/>
      <c r="G177" s="224" t="str">
        <f>TEXT($G$1, "[$-ko-KR]yyyy-mm-dd(ddd) ") &amp; "오후 19:00"</f>
        <v>2021-09-05(일) 오후 19:00</v>
      </c>
      <c r="H177" s="225"/>
      <c r="I177" s="226"/>
      <c r="J177" s="224" t="str">
        <f>TEXT($G$1, "[$-ko-KR]yyyy-mm-dd(ddd) ") &amp; "오후 21:00"</f>
        <v>2021-09-05(일) 오후 21:00</v>
      </c>
      <c r="K177" s="225"/>
      <c r="L177" s="226"/>
      <c r="M177" s="224" t="str">
        <f>TEXT($G$1+1, "[$-ko-KR]yyyy-mm-dd(ddd) ") &amp; "오전 00:00"</f>
        <v>2021-09-06(월)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7"/>
      <c r="R178" s="227"/>
      <c r="S178" s="227"/>
    </row>
    <row r="179" spans="1:19" ht="17.25" thickBot="1">
      <c r="A179" s="123" t="s">
        <v>152</v>
      </c>
      <c r="B179" s="124">
        <v>118</v>
      </c>
      <c r="C179" s="76">
        <v>8.5470084999999998E-3</v>
      </c>
      <c r="D179" s="13">
        <v>117</v>
      </c>
      <c r="E179" s="14">
        <f>IF(ISNUMBER(D179), (D179 - $B179) / $B179, "")</f>
        <v>-8.4745762711864406E-3</v>
      </c>
      <c r="F179" s="16">
        <f>IF(ISNUMBER(D179), $B199 * E179, "")</f>
        <v>-847.45762711864404</v>
      </c>
      <c r="G179" s="29">
        <v>118</v>
      </c>
      <c r="H179" s="14">
        <f>IF(ISNUMBER(G179), (G179 - $B179) / $B179, "")</f>
        <v>0</v>
      </c>
      <c r="I179" s="100">
        <f>IF(ISNUMBER(G179), $B199 * H179, "")</f>
        <v>0</v>
      </c>
      <c r="J179" s="13">
        <v>118</v>
      </c>
      <c r="K179" s="14">
        <f>IF(ISNUMBER(J179), (J179 - $B179) / $B179, "")</f>
        <v>0</v>
      </c>
      <c r="L179" s="16">
        <f>IF(ISNUMBER(J179), $B199 * K179, "")</f>
        <v>0</v>
      </c>
      <c r="M179" s="29">
        <v>119</v>
      </c>
      <c r="N179" s="14">
        <f>IF(ISNUMBER(M179), (M179 - $B179) / $B179, "")</f>
        <v>8.4745762711864406E-3</v>
      </c>
      <c r="O179" s="16">
        <f>IF(ISNUMBER(M179), $B199 * N179, "")</f>
        <v>847.45762711864404</v>
      </c>
      <c r="Q179" s="222"/>
      <c r="R179" s="222"/>
      <c r="S179" s="222"/>
    </row>
    <row r="180" spans="1:19" ht="17.25" thickBot="1">
      <c r="A180" s="125" t="s">
        <v>146</v>
      </c>
      <c r="B180" s="126">
        <v>4310</v>
      </c>
      <c r="C180" s="77">
        <v>8.1871345000000002E-3</v>
      </c>
      <c r="D180" s="15">
        <v>4315</v>
      </c>
      <c r="E180" s="32">
        <f t="shared" ref="E180:E183" si="94">IF(ISNUMBER(D180), (D180 - $B180) / $B180, "")</f>
        <v>1.1600928074245939E-3</v>
      </c>
      <c r="F180" s="18">
        <f>IF(ISNUMBER(D180), $B199 * E180, "")</f>
        <v>116.0092807424594</v>
      </c>
      <c r="G180" s="31">
        <v>4390</v>
      </c>
      <c r="H180" s="32">
        <f t="shared" ref="H180:H183" si="95">IF(ISNUMBER(G180), (G180 - $B180) / $B180, "")</f>
        <v>1.8561484918793503E-2</v>
      </c>
      <c r="I180" s="101">
        <f>IF(ISNUMBER(G180), $B199 * H180, "")</f>
        <v>1856.1484918793503</v>
      </c>
      <c r="J180" s="15">
        <v>4365</v>
      </c>
      <c r="K180" s="32">
        <f t="shared" ref="K180:K183" si="96">IF(ISNUMBER(J180), (J180 - $B180) / $B180, "")</f>
        <v>1.2761020881670533E-2</v>
      </c>
      <c r="L180" s="18">
        <f>IF(ISNUMBER(J180), $B199 * K180, "")</f>
        <v>1276.1020881670534</v>
      </c>
      <c r="M180" s="31">
        <v>4495</v>
      </c>
      <c r="N180" s="32">
        <f t="shared" ref="N180:N183" si="97">IF(ISNUMBER(M180), (M180 - $B180) / $B180, "")</f>
        <v>4.2923433874709975E-2</v>
      </c>
      <c r="O180" s="18">
        <f>IF(ISNUMBER(M180), $B199 * N180, "")</f>
        <v>4292.3433874709972</v>
      </c>
      <c r="Q180" s="222"/>
      <c r="R180" s="222"/>
      <c r="S180" s="222"/>
    </row>
    <row r="181" spans="1:19" ht="17.25" thickBot="1">
      <c r="A181" s="125" t="s">
        <v>116</v>
      </c>
      <c r="B181" s="126">
        <v>9350</v>
      </c>
      <c r="C181" s="77">
        <v>2.6809651E-3</v>
      </c>
      <c r="D181" s="15">
        <v>9180</v>
      </c>
      <c r="E181" s="32">
        <f t="shared" si="94"/>
        <v>-1.8181818181818181E-2</v>
      </c>
      <c r="F181" s="18">
        <f>IF(ISNUMBER(D181), $B199 * E181, "")</f>
        <v>-1818.181818181818</v>
      </c>
      <c r="G181" s="31">
        <v>9190</v>
      </c>
      <c r="H181" s="32">
        <f t="shared" si="95"/>
        <v>-1.7112299465240642E-2</v>
      </c>
      <c r="I181" s="101">
        <f>IF(ISNUMBER(G181), $B199 * H181, "")</f>
        <v>-1711.2299465240642</v>
      </c>
      <c r="J181" s="15">
        <v>9200</v>
      </c>
      <c r="K181" s="32">
        <f t="shared" si="96"/>
        <v>-1.6042780748663103E-2</v>
      </c>
      <c r="L181" s="18">
        <f>IF(ISNUMBER(J181), $B199 * K181, "")</f>
        <v>-1604.2780748663104</v>
      </c>
      <c r="M181" s="31">
        <v>9240</v>
      </c>
      <c r="N181" s="32">
        <f t="shared" si="97"/>
        <v>-1.1764705882352941E-2</v>
      </c>
      <c r="O181" s="18">
        <f>IF(ISNUMBER(M181), $B199 * N181, "")</f>
        <v>-1176.4705882352941</v>
      </c>
      <c r="Q181" s="227"/>
      <c r="R181" s="227"/>
      <c r="S181" s="227"/>
    </row>
    <row r="182" spans="1:19" ht="17.25" thickBot="1">
      <c r="A182" s="125" t="s">
        <v>230</v>
      </c>
      <c r="B182" s="126">
        <v>417</v>
      </c>
      <c r="C182" s="77">
        <v>2.4038461999999999E-3</v>
      </c>
      <c r="D182" s="15">
        <v>430</v>
      </c>
      <c r="E182" s="32">
        <f t="shared" si="94"/>
        <v>3.117505995203837E-2</v>
      </c>
      <c r="F182" s="18">
        <f>IF(ISNUMBER(D182), $B199 * E182, "")</f>
        <v>3117.5059952038368</v>
      </c>
      <c r="G182" s="31">
        <v>418</v>
      </c>
      <c r="H182" s="32">
        <f t="shared" si="95"/>
        <v>2.3980815347721821E-3</v>
      </c>
      <c r="I182" s="101">
        <f>IF(ISNUMBER(G182), $B199 * H182, "")</f>
        <v>239.80815347721821</v>
      </c>
      <c r="J182" s="15">
        <v>417</v>
      </c>
      <c r="K182" s="32">
        <f t="shared" si="96"/>
        <v>0</v>
      </c>
      <c r="L182" s="18">
        <f>IF(ISNUMBER(J182), $B199 * K182, "")</f>
        <v>0</v>
      </c>
      <c r="M182" s="31">
        <v>419</v>
      </c>
      <c r="N182" s="32">
        <f t="shared" si="97"/>
        <v>4.7961630695443642E-3</v>
      </c>
      <c r="O182" s="18">
        <f>IF(ISNUMBER(M182), $B199 * N182, "")</f>
        <v>479.61630695443642</v>
      </c>
      <c r="Q182" s="227"/>
      <c r="R182" s="227"/>
      <c r="S182" s="227"/>
    </row>
    <row r="183" spans="1:19" ht="17.25" thickBot="1">
      <c r="A183" s="127" t="s">
        <v>49</v>
      </c>
      <c r="B183" s="128">
        <v>57798000</v>
      </c>
      <c r="C183" s="78">
        <v>2.5959190000000002E-4</v>
      </c>
      <c r="D183" s="20">
        <v>57476000</v>
      </c>
      <c r="E183" s="21">
        <f t="shared" si="94"/>
        <v>-5.571127028616907E-3</v>
      </c>
      <c r="F183" s="22">
        <f>IF(ISNUMBER(D183), $B199 * E183, "")</f>
        <v>-557.11270286169065</v>
      </c>
      <c r="G183" s="30">
        <v>58068000</v>
      </c>
      <c r="H183" s="21">
        <f t="shared" si="95"/>
        <v>4.6714419184054811E-3</v>
      </c>
      <c r="I183" s="105">
        <f>IF(ISNUMBER(G183), $B199 * H183, "")</f>
        <v>467.1441918405481</v>
      </c>
      <c r="J183" s="20">
        <v>57951000</v>
      </c>
      <c r="K183" s="21">
        <f t="shared" si="96"/>
        <v>2.6471504204297726E-3</v>
      </c>
      <c r="L183" s="22">
        <f>IF(ISNUMBER(J183), $B199 * K183, "")</f>
        <v>264.71504204297725</v>
      </c>
      <c r="M183" s="30">
        <v>57998000</v>
      </c>
      <c r="N183" s="21">
        <f t="shared" si="97"/>
        <v>3.4603273469670233E-3</v>
      </c>
      <c r="O183" s="22">
        <f>IF(ISNUMBER(M183), $B199 * N183, "")</f>
        <v>346.03273469670233</v>
      </c>
      <c r="Q183" s="227"/>
      <c r="R183" s="227"/>
      <c r="S183" s="227"/>
    </row>
    <row r="184" spans="1:19" ht="17.25" thickBot="1">
      <c r="A184" s="125" t="s">
        <v>214</v>
      </c>
      <c r="B184" s="129">
        <v>1415</v>
      </c>
      <c r="C184" s="80">
        <v>0</v>
      </c>
      <c r="D184" s="106">
        <v>1365</v>
      </c>
      <c r="E184" s="107">
        <f>IF(ISNUMBER(D184), (D184 - $B184) / $B184, "")</f>
        <v>-3.5335689045936397E-2</v>
      </c>
      <c r="F184" s="108">
        <f>IF(ISNUMBER(D184), $B199 * E184, "")</f>
        <v>-3533.5689045936397</v>
      </c>
      <c r="G184" s="109">
        <v>1375</v>
      </c>
      <c r="H184" s="107">
        <f>IF(ISNUMBER(G184), (G184 - $B184) / $B184, "")</f>
        <v>-2.8268551236749116E-2</v>
      </c>
      <c r="I184" s="110">
        <f>IF(ISNUMBER(G184), $B199 * H184, "")</f>
        <v>-2826.8551236749117</v>
      </c>
      <c r="J184" s="106">
        <v>1375</v>
      </c>
      <c r="K184" s="107">
        <f>IF(ISNUMBER(J184), (J184 - $B184) / $B184, "")</f>
        <v>-2.8268551236749116E-2</v>
      </c>
      <c r="L184" s="108">
        <f>IF(ISNUMBER(J184), $B199 * K184, "")</f>
        <v>-2826.8551236749117</v>
      </c>
      <c r="M184" s="109">
        <v>1365</v>
      </c>
      <c r="N184" s="107">
        <f>IF(ISNUMBER(M184), (M184 - $B184) / $B184, "")</f>
        <v>-3.5335689045936397E-2</v>
      </c>
      <c r="O184" s="108">
        <f>IF(ISNUMBER(M184), $B199 * N184, "")</f>
        <v>-3533.5689045936397</v>
      </c>
      <c r="Q184" s="227"/>
      <c r="R184" s="227"/>
      <c r="S184" s="227"/>
    </row>
    <row r="185" spans="1:19" ht="17.25" thickBot="1">
      <c r="A185" s="125" t="s">
        <v>84</v>
      </c>
      <c r="B185" s="126">
        <v>6520</v>
      </c>
      <c r="C185" s="77">
        <v>-3.0581039999999999E-3</v>
      </c>
      <c r="D185" s="15">
        <v>6500</v>
      </c>
      <c r="E185" s="32">
        <f t="shared" ref="E185:E188" si="98">IF(ISNUMBER(D185), (D185 - $B185) / $B185, "")</f>
        <v>-3.0674846625766872E-3</v>
      </c>
      <c r="F185" s="18">
        <f>IF(ISNUMBER(D185), $B199 * E185, "")</f>
        <v>-306.74846625766872</v>
      </c>
      <c r="G185" s="31">
        <v>6575</v>
      </c>
      <c r="H185" s="32">
        <f t="shared" ref="H185:H188" si="99">IF(ISNUMBER(G185), (G185 - $B185) / $B185, "")</f>
        <v>8.4355828220858894E-3</v>
      </c>
      <c r="I185" s="101">
        <f>IF(ISNUMBER(G185), $B199 * H185, "")</f>
        <v>843.55828220858893</v>
      </c>
      <c r="J185" s="15">
        <v>6575</v>
      </c>
      <c r="K185" s="32">
        <f t="shared" ref="K185:K188" si="100">IF(ISNUMBER(J185), (J185 - $B185) / $B185, "")</f>
        <v>8.4355828220858894E-3</v>
      </c>
      <c r="L185" s="18">
        <f>IF(ISNUMBER(J185), $B199 * K185, "")</f>
        <v>843.55828220858893</v>
      </c>
      <c r="M185" s="31">
        <v>7030</v>
      </c>
      <c r="N185" s="32">
        <f t="shared" ref="N185:N188" si="101">IF(ISNUMBER(M185), (M185 - $B185) / $B185, "")</f>
        <v>7.8220858895705528E-2</v>
      </c>
      <c r="O185" s="18">
        <f>IF(ISNUMBER(M185), $B199 * N185, "")</f>
        <v>7822.0858895705524</v>
      </c>
      <c r="Q185" s="227"/>
      <c r="R185" s="227"/>
      <c r="S185" s="227"/>
    </row>
    <row r="186" spans="1:19" ht="17.25" thickBot="1">
      <c r="A186" s="125" t="s">
        <v>78</v>
      </c>
      <c r="B186" s="126">
        <v>819500</v>
      </c>
      <c r="C186" s="77">
        <v>-3.8896317E-3</v>
      </c>
      <c r="D186" s="15">
        <v>810200</v>
      </c>
      <c r="E186" s="32">
        <f t="shared" si="98"/>
        <v>-1.1348383160463698E-2</v>
      </c>
      <c r="F186" s="18">
        <f>IF(ISNUMBER(D186), $B199 * E186, "")</f>
        <v>-1134.8383160463698</v>
      </c>
      <c r="G186" s="31">
        <v>822700</v>
      </c>
      <c r="H186" s="32">
        <f t="shared" si="99"/>
        <v>3.9048200122025626E-3</v>
      </c>
      <c r="I186" s="101">
        <f>IF(ISNUMBER(G186), $B199 * H186, "")</f>
        <v>390.48200122025628</v>
      </c>
      <c r="J186" s="15">
        <v>820100</v>
      </c>
      <c r="K186" s="32">
        <f t="shared" si="100"/>
        <v>7.3215375228798043E-4</v>
      </c>
      <c r="L186" s="18">
        <f>IF(ISNUMBER(J186), $B199 * K186, "")</f>
        <v>73.215375228798038</v>
      </c>
      <c r="M186" s="31">
        <v>843900</v>
      </c>
      <c r="N186" s="32">
        <f t="shared" si="101"/>
        <v>2.9774252593044538E-2</v>
      </c>
      <c r="O186" s="18">
        <f>IF(ISNUMBER(M186), $B199 * N186, "")</f>
        <v>2977.4252593044539</v>
      </c>
      <c r="Q186" s="227"/>
      <c r="R186" s="227"/>
      <c r="S186" s="227"/>
    </row>
    <row r="187" spans="1:19" ht="17.25" thickBot="1">
      <c r="A187" s="125" t="s">
        <v>100</v>
      </c>
      <c r="B187" s="126">
        <v>80400</v>
      </c>
      <c r="C187" s="77">
        <v>-4.0876997E-3</v>
      </c>
      <c r="D187" s="15">
        <v>79280</v>
      </c>
      <c r="E187" s="32">
        <f t="shared" si="98"/>
        <v>-1.3930348258706468E-2</v>
      </c>
      <c r="F187" s="18">
        <f>IF(ISNUMBER(D187), $B199 * E187, "")</f>
        <v>-1393.0348258706467</v>
      </c>
      <c r="G187" s="31">
        <v>80860</v>
      </c>
      <c r="H187" s="32">
        <f t="shared" si="99"/>
        <v>5.7213930348258705E-3</v>
      </c>
      <c r="I187" s="101">
        <f>IF(ISNUMBER(G187), $B199 * H187, "")</f>
        <v>572.13930348258702</v>
      </c>
      <c r="J187" s="15">
        <v>80330</v>
      </c>
      <c r="K187" s="32">
        <f t="shared" si="100"/>
        <v>-8.7064676616915426E-4</v>
      </c>
      <c r="L187" s="18">
        <f>IF(ISNUMBER(J187), $B199 * K187, "")</f>
        <v>-87.06467661691542</v>
      </c>
      <c r="M187" s="31">
        <v>82150</v>
      </c>
      <c r="N187" s="32">
        <f t="shared" si="101"/>
        <v>2.1766169154228857E-2</v>
      </c>
      <c r="O187" s="18">
        <f>IF(ISNUMBER(M187), $B199 * N187, "")</f>
        <v>2176.6169154228855</v>
      </c>
      <c r="Q187" s="33"/>
      <c r="R187" s="33"/>
    </row>
    <row r="188" spans="1:19" ht="17.25" thickBot="1">
      <c r="A188" s="130" t="s">
        <v>76</v>
      </c>
      <c r="B188" s="131">
        <v>35360</v>
      </c>
      <c r="C188" s="79">
        <v>-4.5045045000000001E-3</v>
      </c>
      <c r="D188" s="24">
        <v>34580</v>
      </c>
      <c r="E188" s="25">
        <f t="shared" si="98"/>
        <v>-2.2058823529411766E-2</v>
      </c>
      <c r="F188" s="104">
        <f>IF(ISNUMBER(D188), $B199 * E188, "")</f>
        <v>-2205.8823529411766</v>
      </c>
      <c r="G188" s="102">
        <v>35230</v>
      </c>
      <c r="H188" s="25">
        <f t="shared" si="99"/>
        <v>-3.6764705882352941E-3</v>
      </c>
      <c r="I188" s="103">
        <f>IF(ISNUMBER(G188), $B199 * H188, "")</f>
        <v>-367.64705882352939</v>
      </c>
      <c r="J188" s="24">
        <v>35070</v>
      </c>
      <c r="K188" s="25">
        <f t="shared" si="100"/>
        <v>-8.2013574660633488E-3</v>
      </c>
      <c r="L188" s="104">
        <f>IF(ISNUMBER(J188), $B199 * K188, "")</f>
        <v>-820.13574660633492</v>
      </c>
      <c r="M188" s="102">
        <v>35690</v>
      </c>
      <c r="N188" s="25">
        <f t="shared" si="101"/>
        <v>9.3325791855203618E-3</v>
      </c>
      <c r="O188" s="104">
        <f>IF(ISNUMBER(M188), $B199 * N188, "")</f>
        <v>933.25791855203613</v>
      </c>
      <c r="Q188" s="236"/>
      <c r="R188" s="237"/>
      <c r="S188" s="238"/>
    </row>
    <row r="189" spans="1:19">
      <c r="A189" s="123" t="s">
        <v>158</v>
      </c>
      <c r="B189" s="124">
        <v>35420</v>
      </c>
      <c r="C189" s="76">
        <v>-6.1728395E-3</v>
      </c>
      <c r="D189" s="13">
        <v>34810</v>
      </c>
      <c r="E189" s="14">
        <f>IF(ISNUMBER(D189), (D189 - $B189) / $B189, "")</f>
        <v>-1.7221908526256352E-2</v>
      </c>
      <c r="F189" s="16">
        <f>IF(ISNUMBER(D189), $B199 * E189, "")</f>
        <v>-1722.1908526256352</v>
      </c>
      <c r="G189" s="29">
        <v>34220</v>
      </c>
      <c r="H189" s="14">
        <f>IF(ISNUMBER(G189), (G189 - $B189) / $B189, "")</f>
        <v>-3.387916431394692E-2</v>
      </c>
      <c r="I189" s="100">
        <f>IF(ISNUMBER(G189), $B199 * H189, "")</f>
        <v>-3387.9164313946922</v>
      </c>
      <c r="J189" s="13">
        <v>33890</v>
      </c>
      <c r="K189" s="14">
        <f>IF(ISNUMBER(J189), (J189 - $B189) / $B189, "")</f>
        <v>-4.3195934500282328E-2</v>
      </c>
      <c r="L189" s="16">
        <f>IF(ISNUMBER(J189), $B199 * K189, "")</f>
        <v>-4319.5934500282328</v>
      </c>
      <c r="M189" s="29">
        <v>33960</v>
      </c>
      <c r="N189" s="14">
        <f>IF(ISNUMBER(M189), (M189 - $B189) / $B189, "")</f>
        <v>-4.1219649915302088E-2</v>
      </c>
      <c r="O189" s="16">
        <f>IF(ISNUMBER(M189), $B199 * N189, "")</f>
        <v>-4121.9649915302089</v>
      </c>
      <c r="Q189" s="239"/>
      <c r="R189" s="240"/>
      <c r="S189" s="241"/>
    </row>
    <row r="190" spans="1:19" ht="17.25" thickBot="1">
      <c r="A190" s="125" t="s">
        <v>94</v>
      </c>
      <c r="B190" s="126">
        <v>4519000</v>
      </c>
      <c r="C190" s="77">
        <v>-7.0314217000000002E-3</v>
      </c>
      <c r="D190" s="15">
        <v>4462000</v>
      </c>
      <c r="E190" s="32">
        <f t="shared" ref="E190:E193" si="102">IF(ISNUMBER(D190), (D190 - $B190) / $B190, "")</f>
        <v>-1.2613410046470458E-2</v>
      </c>
      <c r="F190" s="18">
        <f>IF(ISNUMBER(D190), $B199 * E190, "")</f>
        <v>-1261.3410046470458</v>
      </c>
      <c r="G190" s="31">
        <v>4557000</v>
      </c>
      <c r="H190" s="32">
        <f t="shared" ref="H190:H193" si="103">IF(ISNUMBER(G190), (G190 - $B190) / $B190, "")</f>
        <v>8.4089400309803053E-3</v>
      </c>
      <c r="I190" s="101">
        <f>IF(ISNUMBER(G190), $B199 * H190, "")</f>
        <v>840.89400309803057</v>
      </c>
      <c r="J190" s="15">
        <v>4523000</v>
      </c>
      <c r="K190" s="32">
        <f t="shared" ref="K190:K193" si="104">IF(ISNUMBER(J190), (J190 - $B190) / $B190, "")</f>
        <v>8.8515158220845325E-4</v>
      </c>
      <c r="L190" s="18">
        <f>IF(ISNUMBER(J190), $B199 * K190, "")</f>
        <v>88.515158220845322</v>
      </c>
      <c r="M190" s="31">
        <v>4520000</v>
      </c>
      <c r="N190" s="32">
        <f t="shared" ref="N190:N193" si="105">IF(ISNUMBER(M190), (M190 - $B190) / $B190, "")</f>
        <v>2.2128789555211331E-4</v>
      </c>
      <c r="O190" s="18">
        <f>IF(ISNUMBER(M190), $B199 * N190, "")</f>
        <v>22.128789555211331</v>
      </c>
      <c r="Q190" s="242"/>
      <c r="R190" s="243"/>
      <c r="S190" s="244"/>
    </row>
    <row r="191" spans="1:19" ht="17.25" thickBot="1">
      <c r="A191" s="125" t="s">
        <v>98</v>
      </c>
      <c r="B191" s="126">
        <v>5.56</v>
      </c>
      <c r="C191" s="77">
        <v>-1.2433392499999999E-2</v>
      </c>
      <c r="D191" s="15">
        <v>5.45</v>
      </c>
      <c r="E191" s="32">
        <f t="shared" si="102"/>
        <v>-1.9784172661870401E-2</v>
      </c>
      <c r="F191" s="18">
        <f>IF(ISNUMBER(D191), $B199 * E191, "")</f>
        <v>-1978.4172661870402</v>
      </c>
      <c r="G191" s="31">
        <v>5.51</v>
      </c>
      <c r="H191" s="32">
        <f t="shared" si="103"/>
        <v>-8.9928057553956518E-3</v>
      </c>
      <c r="I191" s="101">
        <f>IF(ISNUMBER(G191), $B199 * H191, "")</f>
        <v>-899.28057553956523</v>
      </c>
      <c r="J191" s="15">
        <v>5.52</v>
      </c>
      <c r="K191" s="32">
        <f t="shared" si="104"/>
        <v>-7.1942446043165541E-3</v>
      </c>
      <c r="L191" s="18">
        <f>IF(ISNUMBER(J191), $B199 * K191, "")</f>
        <v>-719.42446043165546</v>
      </c>
      <c r="M191" s="31">
        <v>5.54</v>
      </c>
      <c r="N191" s="32">
        <f t="shared" si="105"/>
        <v>-3.5971223021581968E-3</v>
      </c>
      <c r="O191" s="18">
        <f>IF(ISNUMBER(M191), $B199 * N191, "")</f>
        <v>-359.71223021581966</v>
      </c>
      <c r="Q191" s="227"/>
      <c r="R191" s="227"/>
      <c r="S191" s="227"/>
    </row>
    <row r="192" spans="1:19" ht="17.25" thickBot="1">
      <c r="A192" s="125" t="s">
        <v>90</v>
      </c>
      <c r="B192" s="126">
        <v>1465</v>
      </c>
      <c r="C192" s="77">
        <v>-1.3468013500000001E-2</v>
      </c>
      <c r="D192" s="15">
        <v>1435</v>
      </c>
      <c r="E192" s="32">
        <f t="shared" si="102"/>
        <v>-2.0477815699658702E-2</v>
      </c>
      <c r="F192" s="18">
        <f>IF(ISNUMBER(D192), $B199 * E192, "")</f>
        <v>-2047.7815699658702</v>
      </c>
      <c r="G192" s="31">
        <v>1460</v>
      </c>
      <c r="H192" s="32">
        <f t="shared" si="103"/>
        <v>-3.4129692832764505E-3</v>
      </c>
      <c r="I192" s="101">
        <f>IF(ISNUMBER(G192), $B199 * H192, "")</f>
        <v>-341.29692832764505</v>
      </c>
      <c r="J192" s="15">
        <v>1455</v>
      </c>
      <c r="K192" s="32">
        <f t="shared" si="104"/>
        <v>-6.8259385665529011E-3</v>
      </c>
      <c r="L192" s="18">
        <f>IF(ISNUMBER(J192), $B199 * K192, "")</f>
        <v>-682.5938566552901</v>
      </c>
      <c r="M192" s="31">
        <v>1475</v>
      </c>
      <c r="N192" s="32">
        <f t="shared" si="105"/>
        <v>6.8259385665529011E-3</v>
      </c>
      <c r="O192" s="18">
        <f>IF(ISNUMBER(M192), $B199 * N192, "")</f>
        <v>682.5938566552901</v>
      </c>
      <c r="Q192" s="222"/>
      <c r="R192" s="222"/>
      <c r="S192" s="222"/>
    </row>
    <row r="193" spans="1:19" ht="17.25" thickBot="1">
      <c r="A193" s="127" t="s">
        <v>82</v>
      </c>
      <c r="B193" s="128">
        <v>3375</v>
      </c>
      <c r="C193" s="78">
        <v>-1.45985401E-2</v>
      </c>
      <c r="D193" s="20">
        <v>3315</v>
      </c>
      <c r="E193" s="21">
        <f t="shared" si="102"/>
        <v>-1.7777777777777778E-2</v>
      </c>
      <c r="F193" s="22">
        <f>IF(ISNUMBER(D193), $B199 * E193, "")</f>
        <v>-1777.7777777777778</v>
      </c>
      <c r="G193" s="30">
        <v>3330</v>
      </c>
      <c r="H193" s="21">
        <f t="shared" si="103"/>
        <v>-1.3333333333333334E-2</v>
      </c>
      <c r="I193" s="105">
        <f>IF(ISNUMBER(G193), $B199 * H193, "")</f>
        <v>-1333.3333333333335</v>
      </c>
      <c r="J193" s="20">
        <v>3305</v>
      </c>
      <c r="K193" s="21">
        <f t="shared" si="104"/>
        <v>-2.074074074074074E-2</v>
      </c>
      <c r="L193" s="22">
        <f>IF(ISNUMBER(J193), $B199 * K193, "")</f>
        <v>-2074.0740740740739</v>
      </c>
      <c r="M193" s="30">
        <v>3320</v>
      </c>
      <c r="N193" s="21">
        <f t="shared" si="105"/>
        <v>-1.6296296296296295E-2</v>
      </c>
      <c r="O193" s="22">
        <f>IF(ISNUMBER(M193), $B199 * N193, "")</f>
        <v>-1629.6296296296296</v>
      </c>
      <c r="Q193" s="222"/>
      <c r="R193" s="222"/>
      <c r="S193" s="222"/>
    </row>
    <row r="194" spans="1:19" ht="17.25" thickBot="1">
      <c r="A194" s="125" t="s">
        <v>134</v>
      </c>
      <c r="B194" s="129">
        <v>38160</v>
      </c>
      <c r="C194" s="80">
        <v>-1.49716056E-2</v>
      </c>
      <c r="D194" s="106">
        <v>37220</v>
      </c>
      <c r="E194" s="107">
        <f>IF(ISNUMBER(D194), (D194 - $B194) / $B194, "")</f>
        <v>-2.4633123689727462E-2</v>
      </c>
      <c r="F194" s="108">
        <f>IF(ISNUMBER(D194), $B199 * E194, "")</f>
        <v>-2463.3123689727463</v>
      </c>
      <c r="G194" s="109">
        <v>37870</v>
      </c>
      <c r="H194" s="107">
        <f>IF(ISNUMBER(G194), (G194 - $B194) / $B194, "")</f>
        <v>-7.5995807127882597E-3</v>
      </c>
      <c r="I194" s="110">
        <f>IF(ISNUMBER(G194), $B199 * H194, "")</f>
        <v>-759.95807127882597</v>
      </c>
      <c r="J194" s="106">
        <v>37650</v>
      </c>
      <c r="K194" s="107">
        <f>IF(ISNUMBER(J194), (J194 - $B194) / $B194, "")</f>
        <v>-1.3364779874213837E-2</v>
      </c>
      <c r="L194" s="108">
        <f>IF(ISNUMBER(J194), $B199 * K194, "")</f>
        <v>-1336.4779874213837</v>
      </c>
      <c r="M194" s="109">
        <v>38750</v>
      </c>
      <c r="N194" s="107">
        <f>IF(ISNUMBER(M194), (M194 - $B194) / $B194, "")</f>
        <v>1.5461215932914047E-2</v>
      </c>
      <c r="O194" s="108">
        <f>IF(ISNUMBER(M194), $B199 * N194, "")</f>
        <v>1546.1215932914047</v>
      </c>
      <c r="Q194" s="227"/>
      <c r="R194" s="227"/>
      <c r="S194" s="227"/>
    </row>
    <row r="195" spans="1:19" ht="17.25" thickBot="1">
      <c r="A195" s="125" t="s">
        <v>92</v>
      </c>
      <c r="B195" s="126">
        <v>96270</v>
      </c>
      <c r="C195" s="77">
        <v>-2.0451770500000001E-2</v>
      </c>
      <c r="D195" s="15">
        <v>93310</v>
      </c>
      <c r="E195" s="32">
        <f t="shared" ref="E195:E198" si="106">IF(ISNUMBER(D195), (D195 - $B195) / $B195, "")</f>
        <v>-3.0746857795782696E-2</v>
      </c>
      <c r="F195" s="18">
        <f>IF(ISNUMBER(D195), $B199 * E195, "")</f>
        <v>-3074.6857795782694</v>
      </c>
      <c r="G195" s="31">
        <v>94590</v>
      </c>
      <c r="H195" s="32">
        <f t="shared" ref="H195:H198" si="107">IF(ISNUMBER(G195), (G195 - $B195) / $B195, "")</f>
        <v>-1.7450919289498285E-2</v>
      </c>
      <c r="I195" s="101">
        <f>IF(ISNUMBER(G195), $B199 * H195, "")</f>
        <v>-1745.0919289498286</v>
      </c>
      <c r="J195" s="15">
        <v>94460</v>
      </c>
      <c r="K195" s="32">
        <f t="shared" ref="K195:K198" si="108">IF(ISNUMBER(J195), (J195 - $B195) / $B195, "")</f>
        <v>-1.8801288044042797E-2</v>
      </c>
      <c r="L195" s="18">
        <f>IF(ISNUMBER(J195), $B199 * K195, "")</f>
        <v>-1880.1288044042797</v>
      </c>
      <c r="M195" s="31">
        <v>95720</v>
      </c>
      <c r="N195" s="32">
        <f t="shared" ref="N195:N198" si="109">IF(ISNUMBER(M195), (M195 - $B195) / $B195, "")</f>
        <v>-5.7130985769190817E-3</v>
      </c>
      <c r="O195" s="18">
        <f>IF(ISNUMBER(M195), $B199 * N195, "")</f>
        <v>-571.30985769190818</v>
      </c>
      <c r="Q195" s="227"/>
      <c r="R195" s="227"/>
      <c r="S195" s="227"/>
    </row>
    <row r="196" spans="1:19" ht="17.25" thickBot="1">
      <c r="A196" s="125" t="s">
        <v>172</v>
      </c>
      <c r="B196" s="126">
        <v>4820</v>
      </c>
      <c r="C196" s="77">
        <v>-2.2312373199999999E-2</v>
      </c>
      <c r="D196" s="15">
        <v>4695</v>
      </c>
      <c r="E196" s="32">
        <f t="shared" si="106"/>
        <v>-2.5933609958506226E-2</v>
      </c>
      <c r="F196" s="18">
        <f>IF(ISNUMBER(D196), $B199 * E196, "")</f>
        <v>-2593.3609958506227</v>
      </c>
      <c r="G196" s="31">
        <v>4710</v>
      </c>
      <c r="H196" s="32">
        <f t="shared" si="107"/>
        <v>-2.2821576763485476E-2</v>
      </c>
      <c r="I196" s="101">
        <f>IF(ISNUMBER(G196), $B199 * H196, "")</f>
        <v>-2282.1576763485477</v>
      </c>
      <c r="J196" s="15">
        <v>4720</v>
      </c>
      <c r="K196" s="32">
        <f t="shared" si="108"/>
        <v>-2.0746887966804978E-2</v>
      </c>
      <c r="L196" s="18">
        <f>IF(ISNUMBER(J196), $B199 * K196, "")</f>
        <v>-2074.6887966804979</v>
      </c>
      <c r="M196" s="31">
        <v>4755</v>
      </c>
      <c r="N196" s="32">
        <f t="shared" si="109"/>
        <v>-1.3485477178423237E-2</v>
      </c>
      <c r="O196" s="18">
        <f>IF(ISNUMBER(M196), $B199 * N196, "")</f>
        <v>-1348.5477178423237</v>
      </c>
      <c r="Q196" s="227"/>
      <c r="R196" s="227"/>
      <c r="S196" s="227"/>
    </row>
    <row r="197" spans="1:19">
      <c r="A197" s="125" t="s">
        <v>69</v>
      </c>
      <c r="B197" s="126">
        <v>10390</v>
      </c>
      <c r="C197" s="77">
        <v>-2.98786181E-2</v>
      </c>
      <c r="D197" s="15">
        <v>9955</v>
      </c>
      <c r="E197" s="32">
        <f t="shared" si="106"/>
        <v>-4.1867179980750721E-2</v>
      </c>
      <c r="F197" s="18">
        <f>IF(ISNUMBER(D197), $B199 * E197, "")</f>
        <v>-4186.7179980750725</v>
      </c>
      <c r="G197" s="31">
        <v>10110</v>
      </c>
      <c r="H197" s="32">
        <f t="shared" si="107"/>
        <v>-2.6948989412897015E-2</v>
      </c>
      <c r="I197" s="101">
        <f>IF(ISNUMBER(G197), $B199 * H197, "")</f>
        <v>-2694.8989412897013</v>
      </c>
      <c r="J197" s="15">
        <v>10040</v>
      </c>
      <c r="K197" s="32">
        <f t="shared" si="108"/>
        <v>-3.3686236766121272E-2</v>
      </c>
      <c r="L197" s="18">
        <f>IF(ISNUMBER(J197), $B199 * K197, "")</f>
        <v>-3368.6236766121274</v>
      </c>
      <c r="M197" s="31">
        <v>10030</v>
      </c>
      <c r="N197" s="32">
        <f t="shared" si="109"/>
        <v>-3.4648700673724733E-2</v>
      </c>
      <c r="O197" s="18">
        <f>IF(ISNUMBER(M197), $B199 * N197, "")</f>
        <v>-3464.8700673724734</v>
      </c>
      <c r="Q197" s="249"/>
      <c r="R197" s="250"/>
      <c r="S197" s="251"/>
    </row>
    <row r="198" spans="1:19" ht="17.25" thickBot="1">
      <c r="A198" s="130" t="s">
        <v>88</v>
      </c>
      <c r="B198" s="131">
        <v>283000</v>
      </c>
      <c r="C198" s="79">
        <v>-4.5048085000000002E-2</v>
      </c>
      <c r="D198" s="24">
        <v>268400</v>
      </c>
      <c r="E198" s="25">
        <f t="shared" si="106"/>
        <v>-5.1590106007067135E-2</v>
      </c>
      <c r="F198" s="104">
        <f>IF(ISNUMBER(D198), $B199 * E198, "")</f>
        <v>-5159.0106007067134</v>
      </c>
      <c r="G198" s="102">
        <v>270500</v>
      </c>
      <c r="H198" s="25">
        <f t="shared" si="107"/>
        <v>-4.4169611307420496E-2</v>
      </c>
      <c r="I198" s="103">
        <f>IF(ISNUMBER(G198), $B199 * H198, "")</f>
        <v>-4416.96113074205</v>
      </c>
      <c r="J198" s="24">
        <v>269050</v>
      </c>
      <c r="K198" s="25">
        <f t="shared" si="108"/>
        <v>-4.9293286219081273E-2</v>
      </c>
      <c r="L198" s="104">
        <f>IF(ISNUMBER(J198), $B199 * K198, "")</f>
        <v>-4929.3286219081274</v>
      </c>
      <c r="M198" s="102">
        <v>270550</v>
      </c>
      <c r="N198" s="25">
        <f t="shared" si="109"/>
        <v>-4.399293286219081E-2</v>
      </c>
      <c r="O198" s="104">
        <f>IF(ISNUMBER(M198), $B199 * N198, "")</f>
        <v>-4399.293286219081</v>
      </c>
      <c r="Q198" s="252"/>
      <c r="R198" s="253"/>
      <c r="S198" s="254"/>
    </row>
    <row r="199" spans="1:19" ht="17.25" thickBot="1">
      <c r="A199" s="132" t="s">
        <v>270</v>
      </c>
      <c r="B199" s="260">
        <f>$B$37</f>
        <v>100000</v>
      </c>
      <c r="C199" s="261"/>
      <c r="D199" s="26" t="s">
        <v>271</v>
      </c>
      <c r="E199" s="27">
        <f>IF(COUNT(E179:E198), SUM(E179:E198) / COUNT(E179:E198), 0)</f>
        <v>-1.7413952976156076E-2</v>
      </c>
      <c r="F199" s="28">
        <f>SUM(F179:F198)</f>
        <v>-34827.905952312154</v>
      </c>
      <c r="G199" s="26" t="s">
        <v>271</v>
      </c>
      <c r="H199" s="27">
        <f>IF(COUNT(H179:H198), SUM(H179:H198) / COUNT(H179:H198), 0)</f>
        <v>-8.7782263595100572E-3</v>
      </c>
      <c r="I199" s="28">
        <f>SUM(I179:I198)</f>
        <v>-17556.452719020115</v>
      </c>
      <c r="J199" s="26" t="s">
        <v>271</v>
      </c>
      <c r="K199" s="27">
        <f>IF(COUNT(K179:K198), SUM(K179:K198) / COUNT(K179:K198), 0)</f>
        <v>-1.2088580702055939E-2</v>
      </c>
      <c r="L199" s="28">
        <f>SUM(L179:L198)</f>
        <v>-24177.161404111874</v>
      </c>
      <c r="M199" s="26" t="s">
        <v>271</v>
      </c>
      <c r="N199" s="27">
        <f>IF(COUNT(N179:N198), SUM(N179:N198) / COUNT(N179:N198), 0)</f>
        <v>7.6015650263111978E-4</v>
      </c>
      <c r="O199" s="28">
        <f>SUM(O179:O198)</f>
        <v>1520.3130052622355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CDD6F-B036-44D3-90A0-E8255F88FF21}">
  <sheetPr codeName="Sheet12"/>
  <dimension ref="A1:S199"/>
  <sheetViews>
    <sheetView topLeftCell="A17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44445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320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328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16,424 KRW (0.82%)</v>
      </c>
      <c r="H3" s="217"/>
      <c r="I3" s="218"/>
      <c r="J3" s="4" t="s">
        <v>7</v>
      </c>
      <c r="K3" s="213" t="s">
        <v>321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322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319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-31,000 KRW (-2.21%)</v>
      </c>
      <c r="H5" s="217"/>
      <c r="I5" s="218"/>
      <c r="J5" s="4" t="s">
        <v>15</v>
      </c>
      <c r="K5" s="213" t="s">
        <v>323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324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19,142 KRW (0.96%)</v>
      </c>
      <c r="H7" s="217"/>
      <c r="I7" s="218"/>
      <c r="J7" s="4" t="s">
        <v>21</v>
      </c>
      <c r="K7" s="213" t="s">
        <v>325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255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31,648 KRW (1.58%)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326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327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318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77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55149000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2.1442459999999998E-3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2021-09-06(월) 오전 00:00</v>
      </c>
      <c r="C15" s="268"/>
      <c r="D15" s="224" t="str">
        <f>TEXT($G$1, "[$-ko-KR]yyyy-mm-dd(ddd) ") &amp; "오후 14:00"</f>
        <v>2021-09-06(월) 오후 14:00</v>
      </c>
      <c r="E15" s="225"/>
      <c r="F15" s="226"/>
      <c r="G15" s="224" t="str">
        <f>TEXT($G$1, "[$-ko-KR]yyyy-mm-dd(ddd) ") &amp; "오후 19:00"</f>
        <v>2021-09-06(월) 오후 19:00</v>
      </c>
      <c r="H15" s="225"/>
      <c r="I15" s="226"/>
      <c r="J15" s="224" t="str">
        <f>TEXT($G$1, "[$-ko-KR]yyyy-mm-dd(ddd) ") &amp; "오후 21:00"</f>
        <v>2021-09-06(월) 오후 21:00</v>
      </c>
      <c r="K15" s="225"/>
      <c r="L15" s="226"/>
      <c r="M15" s="224" t="str">
        <f>TEXT($G$1+1, "[$-ko-KR]yyyy-mm-dd(ddd) ") &amp; "오전 00:00"</f>
        <v>2021-09-07(화)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77" t="s">
        <v>267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55149000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2.1442459999999998E-3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2021-09-06(월) 오전 00:00</v>
      </c>
      <c r="C42" s="265"/>
      <c r="D42" s="224" t="str">
        <f>TEXT($G$1, "[$-ko-KR]yyyy-mm-dd(ddd) ") &amp; "오후 14:00"</f>
        <v>2021-09-06(월) 오후 14:00</v>
      </c>
      <c r="E42" s="225"/>
      <c r="F42" s="226"/>
      <c r="G42" s="224" t="str">
        <f>TEXT($G$1, "[$-ko-KR]yyyy-mm-dd(ddd) ") &amp; "오후 19:00"</f>
        <v>2021-09-06(월) 오후 19:00</v>
      </c>
      <c r="H42" s="225"/>
      <c r="I42" s="226"/>
      <c r="J42" s="224" t="str">
        <f>TEXT($G$1, "[$-ko-KR]yyyy-mm-dd(ddd) ") &amp; "오후 21:00"</f>
        <v>2021-09-06(월) 오후 21:00</v>
      </c>
      <c r="K42" s="225"/>
      <c r="L42" s="226"/>
      <c r="M42" s="224" t="str">
        <f>TEXT($G$1+1, "[$-ko-KR]yyyy-mm-dd(ddd) ") &amp; "오전 00:00"</f>
        <v>2021-09-07(화)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7"/>
      <c r="R43" s="227"/>
      <c r="S43" s="227"/>
    </row>
    <row r="44" spans="1:19" ht="17.25" customHeight="1" thickBot="1">
      <c r="A44" s="123" t="s">
        <v>188</v>
      </c>
      <c r="B44" s="124">
        <v>17.3</v>
      </c>
      <c r="C44" s="76">
        <v>6.7901234599999999E-2</v>
      </c>
      <c r="D44" s="13">
        <v>17.600000000000001</v>
      </c>
      <c r="E44" s="14">
        <f>IF(ISNUMBER(D44), (D44 - $B44) / $B44, "")</f>
        <v>1.7341040462427786E-2</v>
      </c>
      <c r="F44" s="16">
        <f>IF(ISNUMBER(D44), $B64 * E44, "")</f>
        <v>1734.1040462427786</v>
      </c>
      <c r="G44" s="29">
        <v>17.5</v>
      </c>
      <c r="H44" s="14">
        <f>IF(ISNUMBER(G44), (G44 - $B44) / $B44, "")</f>
        <v>1.1560693641618455E-2</v>
      </c>
      <c r="I44" s="100">
        <f>IF(ISNUMBER(G44), $B64 * H44, "")</f>
        <v>1156.0693641618454</v>
      </c>
      <c r="J44" s="13">
        <v>17.100000000000001</v>
      </c>
      <c r="K44" s="14">
        <f>IF(ISNUMBER(J44), (J44 - $B44) / $B44, "")</f>
        <v>-1.1560693641618455E-2</v>
      </c>
      <c r="L44" s="16">
        <f>IF(ISNUMBER(J44), $B64 * K44, "")</f>
        <v>-1156.0693641618454</v>
      </c>
      <c r="M44" s="29">
        <v>17.399999999999999</v>
      </c>
      <c r="N44" s="14">
        <f>IF(ISNUMBER(M44), (M44 - $B44) / $B44, "")</f>
        <v>5.7803468208091251E-3</v>
      </c>
      <c r="O44" s="16">
        <f>IF(ISNUMBER(M44), $B64 * N44, "")</f>
        <v>578.03468208091249</v>
      </c>
      <c r="Q44" s="222"/>
      <c r="R44" s="222"/>
      <c r="S44" s="222"/>
    </row>
    <row r="45" spans="1:19" ht="17.25" customHeight="1" thickBot="1">
      <c r="A45" s="125" t="s">
        <v>148</v>
      </c>
      <c r="B45" s="126">
        <v>29.3</v>
      </c>
      <c r="C45" s="77">
        <v>5.3956834500000002E-2</v>
      </c>
      <c r="D45" s="15">
        <v>28.4</v>
      </c>
      <c r="E45" s="32">
        <f t="shared" ref="E45:E48" si="14">IF(ISNUMBER(D45), (D45 - $B45) / $B45, "")</f>
        <v>-3.0716723549488126E-2</v>
      </c>
      <c r="F45" s="18">
        <f>IF(ISNUMBER(D45), $B64 * E45, "")</f>
        <v>-3071.6723549488124</v>
      </c>
      <c r="G45" s="31">
        <v>28.6</v>
      </c>
      <c r="H45" s="32">
        <f t="shared" ref="H45:H48" si="15">IF(ISNUMBER(G45), (G45 - $B45) / $B45, "")</f>
        <v>-2.3890784982935127E-2</v>
      </c>
      <c r="I45" s="101">
        <f>IF(ISNUMBER(G45), $B64 * H45, "")</f>
        <v>-2389.0784982935129</v>
      </c>
      <c r="J45" s="15">
        <v>27.3</v>
      </c>
      <c r="K45" s="32">
        <f t="shared" ref="K45:K48" si="16">IF(ISNUMBER(J45), (J45 - $B45) / $B45, "")</f>
        <v>-6.8259385665529013E-2</v>
      </c>
      <c r="L45" s="18">
        <f>IF(ISNUMBER(J45), $B64 * K45, "")</f>
        <v>-6825.9385665529016</v>
      </c>
      <c r="M45" s="31">
        <v>28</v>
      </c>
      <c r="N45" s="32">
        <f t="shared" ref="N45:N48" si="17">IF(ISNUMBER(M45), (M45 - $B45) / $B45, "")</f>
        <v>-4.4368600682593878E-2</v>
      </c>
      <c r="O45" s="18">
        <f>IF(ISNUMBER(M45), $B64 * N45, "")</f>
        <v>-4436.8600682593878</v>
      </c>
      <c r="Q45" s="222"/>
      <c r="R45" s="222"/>
      <c r="S45" s="222"/>
    </row>
    <row r="46" spans="1:19" ht="17.25" customHeight="1" thickBot="1">
      <c r="A46" s="125" t="s">
        <v>210</v>
      </c>
      <c r="B46" s="126">
        <v>18.3</v>
      </c>
      <c r="C46" s="77">
        <v>4.5714285700000003E-2</v>
      </c>
      <c r="D46" s="15">
        <v>18.600000000000001</v>
      </c>
      <c r="E46" s="32">
        <f t="shared" si="14"/>
        <v>1.6393442622950859E-2</v>
      </c>
      <c r="F46" s="18">
        <f>IF(ISNUMBER(D46), $B64 * E46, "")</f>
        <v>1639.3442622950859</v>
      </c>
      <c r="G46" s="31">
        <v>17.8</v>
      </c>
      <c r="H46" s="32">
        <f t="shared" si="15"/>
        <v>-2.7322404371584699E-2</v>
      </c>
      <c r="I46" s="101">
        <f>IF(ISNUMBER(G46), $B64 * H46, "")</f>
        <v>-2732.2404371584698</v>
      </c>
      <c r="J46" s="15">
        <v>17.600000000000001</v>
      </c>
      <c r="K46" s="32">
        <f t="shared" si="16"/>
        <v>-3.8251366120218538E-2</v>
      </c>
      <c r="L46" s="18">
        <f>IF(ISNUMBER(J46), $B64 * K46, "")</f>
        <v>-3825.136612021854</v>
      </c>
      <c r="M46" s="31">
        <v>18.100000000000001</v>
      </c>
      <c r="N46" s="32">
        <f t="shared" si="17"/>
        <v>-1.092896174863384E-2</v>
      </c>
      <c r="O46" s="18">
        <f>IF(ISNUMBER(M46), $B64 * N46, "")</f>
        <v>-1092.896174863384</v>
      </c>
      <c r="Q46" s="227"/>
      <c r="R46" s="227"/>
      <c r="S46" s="227"/>
    </row>
    <row r="47" spans="1:19" ht="17.25" customHeight="1" thickBot="1">
      <c r="A47" s="125" t="s">
        <v>204</v>
      </c>
      <c r="B47" s="126">
        <v>19.100000000000001</v>
      </c>
      <c r="C47" s="77">
        <v>4.3715847000000002E-2</v>
      </c>
      <c r="D47" s="15">
        <v>20.3</v>
      </c>
      <c r="E47" s="32">
        <f t="shared" si="14"/>
        <v>6.2827225130890008E-2</v>
      </c>
      <c r="F47" s="18">
        <f>IF(ISNUMBER(D47), $B64 * E47, "")</f>
        <v>6282.722513089001</v>
      </c>
      <c r="G47" s="31">
        <v>19.5</v>
      </c>
      <c r="H47" s="32">
        <f t="shared" si="15"/>
        <v>2.0942408376963276E-2</v>
      </c>
      <c r="I47" s="101">
        <f>IF(ISNUMBER(G47), $B64 * H47, "")</f>
        <v>2094.2408376963276</v>
      </c>
      <c r="J47" s="15">
        <v>19.100000000000001</v>
      </c>
      <c r="K47" s="32">
        <f t="shared" si="16"/>
        <v>0</v>
      </c>
      <c r="L47" s="18">
        <f>IF(ISNUMBER(J47), $B64 * K47, "")</f>
        <v>0</v>
      </c>
      <c r="M47" s="31">
        <v>19.399999999999999</v>
      </c>
      <c r="N47" s="32">
        <f t="shared" si="17"/>
        <v>1.5706806282722363E-2</v>
      </c>
      <c r="O47" s="18">
        <f>IF(ISNUMBER(M47), $B64 * N47, "")</f>
        <v>1570.6806282722364</v>
      </c>
      <c r="Q47" s="227"/>
      <c r="R47" s="227"/>
      <c r="S47" s="227"/>
    </row>
    <row r="48" spans="1:19" ht="17.25" customHeight="1" thickBot="1">
      <c r="A48" s="127" t="s">
        <v>150</v>
      </c>
      <c r="B48" s="128">
        <v>17.100000000000001</v>
      </c>
      <c r="C48" s="78">
        <v>4.26829268E-2</v>
      </c>
      <c r="D48" s="20">
        <v>16.899999999999999</v>
      </c>
      <c r="E48" s="21">
        <f t="shared" si="14"/>
        <v>-1.1695906432748704E-2</v>
      </c>
      <c r="F48" s="22">
        <f>IF(ISNUMBER(D48), $B64 * E48, "")</f>
        <v>-1169.5906432748704</v>
      </c>
      <c r="G48" s="30">
        <v>16.3</v>
      </c>
      <c r="H48" s="21">
        <f t="shared" si="15"/>
        <v>-4.6783625730994191E-2</v>
      </c>
      <c r="I48" s="105">
        <f>IF(ISNUMBER(G48), $B64 * H48, "")</f>
        <v>-4678.362573099419</v>
      </c>
      <c r="J48" s="20">
        <v>15.7</v>
      </c>
      <c r="K48" s="21">
        <f t="shared" si="16"/>
        <v>-8.1871345029239886E-2</v>
      </c>
      <c r="L48" s="22">
        <f>IF(ISNUMBER(J48), $B64 * K48, "")</f>
        <v>-8187.1345029239883</v>
      </c>
      <c r="M48" s="30">
        <v>16</v>
      </c>
      <c r="N48" s="21">
        <f t="shared" si="17"/>
        <v>-6.4327485380117039E-2</v>
      </c>
      <c r="O48" s="22">
        <f>IF(ISNUMBER(M48), $B64 * N48, "")</f>
        <v>-6432.7485380117041</v>
      </c>
      <c r="Q48" s="227"/>
      <c r="R48" s="227"/>
      <c r="S48" s="227"/>
    </row>
    <row r="49" spans="1:19" ht="17.25" customHeight="1" thickBot="1">
      <c r="A49" s="125" t="s">
        <v>65</v>
      </c>
      <c r="B49" s="129">
        <v>70.099999999999994</v>
      </c>
      <c r="C49" s="80">
        <v>2.4853801200000001E-2</v>
      </c>
      <c r="D49" s="106">
        <v>71.400000000000006</v>
      </c>
      <c r="E49" s="107">
        <f>IF(ISNUMBER(D49), (D49 - $B49) / $B49, "")</f>
        <v>1.8544935805991605E-2</v>
      </c>
      <c r="F49" s="108">
        <f>IF(ISNUMBER(D49), $B64 * E49, "")</f>
        <v>1854.4935805991606</v>
      </c>
      <c r="G49" s="109">
        <v>70.3</v>
      </c>
      <c r="H49" s="107">
        <f>IF(ISNUMBER(G49), (G49 - $B49) / $B49, "")</f>
        <v>2.8530670470756471E-3</v>
      </c>
      <c r="I49" s="110">
        <f>IF(ISNUMBER(G49), $B64 * H49, "")</f>
        <v>285.30670470756473</v>
      </c>
      <c r="J49" s="106">
        <v>67.3</v>
      </c>
      <c r="K49" s="107">
        <f>IF(ISNUMBER(J49), (J49 - $B49) / $B49, "")</f>
        <v>-3.9942938659058451E-2</v>
      </c>
      <c r="L49" s="108">
        <f>IF(ISNUMBER(J49), $B64 * K49, "")</f>
        <v>-3994.293865905845</v>
      </c>
      <c r="M49" s="109">
        <v>71.2</v>
      </c>
      <c r="N49" s="107">
        <f>IF(ISNUMBER(M49), (M49 - $B49) / $B49, "")</f>
        <v>1.5691868758915959E-2</v>
      </c>
      <c r="O49" s="108">
        <f>IF(ISNUMBER(M49), $B64 * N49, "")</f>
        <v>1569.1868758915959</v>
      </c>
      <c r="Q49" s="227"/>
      <c r="R49" s="227"/>
      <c r="S49" s="227"/>
    </row>
    <row r="50" spans="1:19" ht="17.25" customHeight="1" thickBot="1">
      <c r="A50" s="125" t="s">
        <v>216</v>
      </c>
      <c r="B50" s="126">
        <v>13.9</v>
      </c>
      <c r="C50" s="77">
        <v>2.2058823500000001E-2</v>
      </c>
      <c r="D50" s="15">
        <v>14.3</v>
      </c>
      <c r="E50" s="32">
        <f t="shared" ref="E50:E53" si="18">IF(ISNUMBER(D50), (D50 - $B50) / $B50, "")</f>
        <v>2.8776978417266213E-2</v>
      </c>
      <c r="F50" s="18">
        <f>IF(ISNUMBER(D50), $B64 * E50, "")</f>
        <v>2877.6978417266214</v>
      </c>
      <c r="G50" s="31">
        <v>13.9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13.4</v>
      </c>
      <c r="K50" s="32">
        <f t="shared" ref="K50:K53" si="20">IF(ISNUMBER(J50), (J50 - $B50) / $B50, "")</f>
        <v>-3.5971223021582732E-2</v>
      </c>
      <c r="L50" s="18">
        <f>IF(ISNUMBER(J50), $B64 * K50, "")</f>
        <v>-3597.1223021582732</v>
      </c>
      <c r="M50" s="31">
        <v>13.6</v>
      </c>
      <c r="N50" s="32">
        <f t="shared" ref="N50:N53" si="21">IF(ISNUMBER(M50), (M50 - $B50) / $B50, "")</f>
        <v>-2.158273381294969E-2</v>
      </c>
      <c r="O50" s="18">
        <f>IF(ISNUMBER(M50), $B64 * N50, "")</f>
        <v>-2158.2733812949691</v>
      </c>
      <c r="Q50" s="227"/>
      <c r="R50" s="227"/>
      <c r="S50" s="227"/>
    </row>
    <row r="51" spans="1:19" ht="17.25" customHeight="1" thickBot="1">
      <c r="A51" s="125" t="s">
        <v>178</v>
      </c>
      <c r="B51" s="126">
        <v>23.3</v>
      </c>
      <c r="C51" s="77">
        <v>1.7467248899999999E-2</v>
      </c>
      <c r="D51" s="15">
        <v>22.5</v>
      </c>
      <c r="E51" s="32">
        <f t="shared" si="18"/>
        <v>-3.4334763948497882E-2</v>
      </c>
      <c r="F51" s="18">
        <f>IF(ISNUMBER(D51), $B64 * E51, "")</f>
        <v>-3433.476394849788</v>
      </c>
      <c r="G51" s="31">
        <v>22.3</v>
      </c>
      <c r="H51" s="32">
        <f t="shared" si="19"/>
        <v>-4.2918454935622317E-2</v>
      </c>
      <c r="I51" s="101">
        <f>IF(ISNUMBER(G51), $B64 * H51, "")</f>
        <v>-4291.8454935622321</v>
      </c>
      <c r="J51" s="15">
        <v>22</v>
      </c>
      <c r="K51" s="32">
        <f t="shared" si="20"/>
        <v>-5.5793991416309044E-2</v>
      </c>
      <c r="L51" s="18">
        <f>IF(ISNUMBER(J51), $B64 * K51, "")</f>
        <v>-5579.3991416309045</v>
      </c>
      <c r="M51" s="31">
        <v>22.2</v>
      </c>
      <c r="N51" s="32">
        <f t="shared" si="21"/>
        <v>-4.7210300429184608E-2</v>
      </c>
      <c r="O51" s="18">
        <f>IF(ISNUMBER(M51), $B64 * N51, "")</f>
        <v>-4721.0300429184608</v>
      </c>
      <c r="Q51" s="227"/>
      <c r="R51" s="227"/>
      <c r="S51" s="227"/>
    </row>
    <row r="52" spans="1:19" ht="17.25" customHeight="1" thickBot="1">
      <c r="A52" s="125" t="s">
        <v>208</v>
      </c>
      <c r="B52" s="126">
        <v>17.2</v>
      </c>
      <c r="C52" s="77">
        <v>1.17647059E-2</v>
      </c>
      <c r="D52" s="15">
        <v>17</v>
      </c>
      <c r="E52" s="32">
        <f t="shared" si="18"/>
        <v>-1.1627906976744146E-2</v>
      </c>
      <c r="F52" s="18">
        <f>IF(ISNUMBER(D52), $B64 * E52, "")</f>
        <v>-1162.7906976744146</v>
      </c>
      <c r="G52" s="31">
        <v>16.7</v>
      </c>
      <c r="H52" s="32">
        <f t="shared" si="19"/>
        <v>-2.9069767441860465E-2</v>
      </c>
      <c r="I52" s="101">
        <f>IF(ISNUMBER(G52), $B64 * H52, "")</f>
        <v>-2906.9767441860463</v>
      </c>
      <c r="J52" s="15">
        <v>16.2</v>
      </c>
      <c r="K52" s="32">
        <f t="shared" si="20"/>
        <v>-5.8139534883720929E-2</v>
      </c>
      <c r="L52" s="18">
        <f>IF(ISNUMBER(J52), $B64 * K52, "")</f>
        <v>-5813.9534883720926</v>
      </c>
      <c r="M52" s="31">
        <v>16.399999999999999</v>
      </c>
      <c r="N52" s="32">
        <f t="shared" si="21"/>
        <v>-4.6511627906976785E-2</v>
      </c>
      <c r="O52" s="18">
        <f>IF(ISNUMBER(M52), $B64 * N52, "")</f>
        <v>-4651.1627906976782</v>
      </c>
      <c r="Q52" s="33"/>
      <c r="R52" s="33"/>
    </row>
    <row r="53" spans="1:19" ht="17.25" customHeight="1" thickBot="1">
      <c r="A53" s="130" t="s">
        <v>190</v>
      </c>
      <c r="B53" s="131">
        <v>22.4</v>
      </c>
      <c r="C53" s="79">
        <v>4.4843048999999996E-3</v>
      </c>
      <c r="D53" s="24">
        <v>22.9</v>
      </c>
      <c r="E53" s="25">
        <f t="shared" si="18"/>
        <v>2.2321428571428572E-2</v>
      </c>
      <c r="F53" s="104">
        <f>IF(ISNUMBER(D53), $B64 * E53, "")</f>
        <v>2232.1428571428573</v>
      </c>
      <c r="G53" s="102">
        <v>22.6</v>
      </c>
      <c r="H53" s="25">
        <f t="shared" si="19"/>
        <v>8.9285714285715564E-3</v>
      </c>
      <c r="I53" s="103">
        <f>IF(ISNUMBER(G53), $B64 * H53, "")</f>
        <v>892.85714285715562</v>
      </c>
      <c r="J53" s="24">
        <v>22</v>
      </c>
      <c r="K53" s="25">
        <f t="shared" si="20"/>
        <v>-1.7857142857142794E-2</v>
      </c>
      <c r="L53" s="104">
        <f>IF(ISNUMBER(J53), $B64 * K53, "")</f>
        <v>-1785.7142857142794</v>
      </c>
      <c r="M53" s="102">
        <v>22.4</v>
      </c>
      <c r="N53" s="25">
        <f t="shared" si="21"/>
        <v>0</v>
      </c>
      <c r="O53" s="104">
        <f>IF(ISNUMBER(M53), $B64 * N53, "")</f>
        <v>0</v>
      </c>
      <c r="Q53" s="236"/>
      <c r="R53" s="237"/>
      <c r="S53" s="238"/>
    </row>
    <row r="54" spans="1:19" ht="17.25" customHeight="1">
      <c r="A54" s="123" t="s">
        <v>240</v>
      </c>
      <c r="B54" s="124">
        <v>85.6</v>
      </c>
      <c r="C54" s="76">
        <v>2.3419204000000001E-3</v>
      </c>
      <c r="D54" s="13">
        <v>83.4</v>
      </c>
      <c r="E54" s="14">
        <f>IF(ISNUMBER(D54), (D54 - $B54) / $B54, "")</f>
        <v>-2.570093457943912E-2</v>
      </c>
      <c r="F54" s="16">
        <f>IF(ISNUMBER(D54), $B64 * E54, "")</f>
        <v>-2570.0934579439122</v>
      </c>
      <c r="G54" s="29">
        <v>81.3</v>
      </c>
      <c r="H54" s="14">
        <f>IF(ISNUMBER(G54), (G54 - $B54) / $B54, "")</f>
        <v>-5.0233644859813055E-2</v>
      </c>
      <c r="I54" s="100">
        <f>IF(ISNUMBER(G54), $B64 * H54, "")</f>
        <v>-5023.3644859813057</v>
      </c>
      <c r="J54" s="13">
        <v>79.400000000000006</v>
      </c>
      <c r="K54" s="14">
        <f>IF(ISNUMBER(J54), (J54 - $B54) / $B54, "")</f>
        <v>-7.2429906542055944E-2</v>
      </c>
      <c r="L54" s="16">
        <f>IF(ISNUMBER(J54), $B64 * K54, "")</f>
        <v>-7242.9906542055942</v>
      </c>
      <c r="M54" s="29">
        <v>80.8</v>
      </c>
      <c r="N54" s="14">
        <f>IF(ISNUMBER(M54), (M54 - $B54) / $B54, "")</f>
        <v>-5.6074766355140158E-2</v>
      </c>
      <c r="O54" s="16">
        <f>IF(ISNUMBER(M54), $B64 * N54, "")</f>
        <v>-5607.4766355140155</v>
      </c>
      <c r="Q54" s="239"/>
      <c r="R54" s="240"/>
      <c r="S54" s="241"/>
    </row>
    <row r="55" spans="1:19" ht="17.25" customHeight="1" thickBot="1">
      <c r="A55" s="125" t="s">
        <v>98</v>
      </c>
      <c r="B55" s="126">
        <v>5.54</v>
      </c>
      <c r="C55" s="77">
        <v>0</v>
      </c>
      <c r="D55" s="15">
        <v>5.62</v>
      </c>
      <c r="E55" s="32">
        <f t="shared" ref="E55:E58" si="22">IF(ISNUMBER(D55), (D55 - $B55) / $B55, "")</f>
        <v>1.4440433212996403E-2</v>
      </c>
      <c r="F55" s="18">
        <f>IF(ISNUMBER(D55), $B64 * E55, "")</f>
        <v>1444.0433212996402</v>
      </c>
      <c r="G55" s="31">
        <v>5.72</v>
      </c>
      <c r="H55" s="32">
        <f t="shared" ref="H55:H58" si="23">IF(ISNUMBER(G55), (G55 - $B55) / $B55, "")</f>
        <v>3.2490974729241826E-2</v>
      </c>
      <c r="I55" s="101">
        <f>IF(ISNUMBER(G55), $B64 * H55, "")</f>
        <v>3249.0974729241825</v>
      </c>
      <c r="J55" s="15">
        <v>5.55</v>
      </c>
      <c r="K55" s="32">
        <f t="shared" ref="K55:K58" si="24">IF(ISNUMBER(J55), (J55 - $B55) / $B55, "")</f>
        <v>1.8050541516245102E-3</v>
      </c>
      <c r="L55" s="18">
        <f>IF(ISNUMBER(J55), $B64 * K55, "")</f>
        <v>180.50541516245102</v>
      </c>
      <c r="M55" s="31">
        <v>5.61</v>
      </c>
      <c r="N55" s="32">
        <f t="shared" ref="N55:N58" si="25">IF(ISNUMBER(M55), (M55 - $B55) / $B55, "")</f>
        <v>1.2635379061371892E-2</v>
      </c>
      <c r="O55" s="18">
        <f>IF(ISNUMBER(M55), $B64 * N55, "")</f>
        <v>1263.5379061371893</v>
      </c>
      <c r="Q55" s="242"/>
      <c r="R55" s="243"/>
      <c r="S55" s="244"/>
    </row>
    <row r="56" spans="1:19" ht="17.25" customHeight="1" thickBot="1">
      <c r="A56" s="125" t="s">
        <v>72</v>
      </c>
      <c r="B56" s="126">
        <v>31.4</v>
      </c>
      <c r="C56" s="77">
        <v>-2.1806853599999999E-2</v>
      </c>
      <c r="D56" s="15">
        <v>30.3</v>
      </c>
      <c r="E56" s="32">
        <f t="shared" si="22"/>
        <v>-3.5031847133757898E-2</v>
      </c>
      <c r="F56" s="18">
        <f>IF(ISNUMBER(D56), $B64 * E56, "")</f>
        <v>-3503.1847133757897</v>
      </c>
      <c r="G56" s="31">
        <v>30.2</v>
      </c>
      <c r="H56" s="32">
        <f t="shared" si="23"/>
        <v>-3.8216560509554118E-2</v>
      </c>
      <c r="I56" s="101">
        <f>IF(ISNUMBER(G56), $B64 * H56, "")</f>
        <v>-3821.656050955412</v>
      </c>
      <c r="J56" s="15">
        <v>30.1</v>
      </c>
      <c r="K56" s="32">
        <f t="shared" si="24"/>
        <v>-4.1401273885350233E-2</v>
      </c>
      <c r="L56" s="18">
        <f>IF(ISNUMBER(J56), $B64 * K56, "")</f>
        <v>-4140.1273885350229</v>
      </c>
      <c r="M56" s="31">
        <v>30.4</v>
      </c>
      <c r="N56" s="32">
        <f t="shared" si="25"/>
        <v>-3.1847133757961783E-2</v>
      </c>
      <c r="O56" s="18">
        <f>IF(ISNUMBER(M56), $B64 * N56, "")</f>
        <v>-3184.7133757961783</v>
      </c>
      <c r="Q56" s="227"/>
      <c r="R56" s="227"/>
      <c r="S56" s="227"/>
    </row>
    <row r="57" spans="1:19" ht="17.25" customHeight="1" thickBot="1">
      <c r="A57" s="125" t="s">
        <v>122</v>
      </c>
      <c r="B57" s="126">
        <v>51.4</v>
      </c>
      <c r="C57" s="77">
        <v>-0.20679012350000001</v>
      </c>
      <c r="D57" s="15">
        <v>50.2</v>
      </c>
      <c r="E57" s="32">
        <f t="shared" si="22"/>
        <v>-2.3346303501945442E-2</v>
      </c>
      <c r="F57" s="18">
        <f>IF(ISNUMBER(D57), $B64 * E57, "")</f>
        <v>-2334.630350194544</v>
      </c>
      <c r="G57" s="31">
        <v>50.5</v>
      </c>
      <c r="H57" s="32">
        <f t="shared" si="23"/>
        <v>-1.7509727626459116E-2</v>
      </c>
      <c r="I57" s="101">
        <f>IF(ISNUMBER(G57), $B64 * H57, "")</f>
        <v>-1750.9727626459116</v>
      </c>
      <c r="J57" s="15">
        <v>47.8</v>
      </c>
      <c r="K57" s="32">
        <f t="shared" si="24"/>
        <v>-7.0038910505836605E-2</v>
      </c>
      <c r="L57" s="18">
        <f>IF(ISNUMBER(J57), $B64 * K57, "")</f>
        <v>-7003.8910505836602</v>
      </c>
      <c r="M57" s="31">
        <v>49.5</v>
      </c>
      <c r="N57" s="32">
        <f t="shared" si="25"/>
        <v>-3.6964980544747054E-2</v>
      </c>
      <c r="O57" s="18">
        <f>IF(ISNUMBER(M57), $B64 * N57, "")</f>
        <v>-3696.4980544747054</v>
      </c>
      <c r="Q57" s="222"/>
      <c r="R57" s="222"/>
      <c r="S57" s="222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22"/>
      <c r="R58" s="222"/>
      <c r="S58" s="222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27"/>
      <c r="R59" s="227"/>
      <c r="S59" s="227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7"/>
      <c r="R60" s="227"/>
      <c r="S60" s="22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132" t="s">
        <v>270</v>
      </c>
      <c r="B64" s="260">
        <f>$B$37</f>
        <v>100000</v>
      </c>
      <c r="C64" s="261"/>
      <c r="D64" s="26" t="s">
        <v>271</v>
      </c>
      <c r="E64" s="27">
        <f>IF(COUNT(E44:E63), SUM(E44:E63) / COUNT(E44:E63), 0)</f>
        <v>5.8507843580929517E-4</v>
      </c>
      <c r="F64" s="28">
        <f>SUM(F44:F63)</f>
        <v>819.10981013301398</v>
      </c>
      <c r="G64" s="26" t="s">
        <v>271</v>
      </c>
      <c r="H64" s="27">
        <f>IF(COUNT(H44:H63), SUM(H44:H63) / COUNT(H44:H63), 0)</f>
        <v>-1.4226375373953737E-2</v>
      </c>
      <c r="I64" s="28">
        <f>SUM(I44:I63)</f>
        <v>-19916.925523535232</v>
      </c>
      <c r="J64" s="26" t="s">
        <v>271</v>
      </c>
      <c r="K64" s="27">
        <f>IF(COUNT(K44:K63), SUM(K44:K63) / COUNT(K44:K63), 0)</f>
        <v>-4.2122332719717007E-2</v>
      </c>
      <c r="L64" s="28">
        <f>SUM(L44:L63)</f>
        <v>-58971.265807603813</v>
      </c>
      <c r="M64" s="26" t="s">
        <v>271</v>
      </c>
      <c r="N64" s="27">
        <f>IF(COUNT(N44:N63), SUM(N44:N63) / COUNT(N44:N63), 0)</f>
        <v>-2.2143013549606107E-2</v>
      </c>
      <c r="O64" s="28">
        <f>SUM(O44:O63)</f>
        <v>-31000.21896944855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77" t="s">
        <v>267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55149000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2.1442459999999998E-3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2021-09-06(월) 오전 00:00</v>
      </c>
      <c r="C69" s="265"/>
      <c r="D69" s="224" t="str">
        <f>TEXT($G$1, "[$-ko-KR]yyyy-mm-dd(ddd) ") &amp; "오후 14:00"</f>
        <v>2021-09-06(월) 오후 14:00</v>
      </c>
      <c r="E69" s="225"/>
      <c r="F69" s="226"/>
      <c r="G69" s="224" t="str">
        <f>TEXT($G$1, "[$-ko-KR]yyyy-mm-dd(ddd) ") &amp; "오후 19:00"</f>
        <v>2021-09-06(월) 오후 19:00</v>
      </c>
      <c r="H69" s="225"/>
      <c r="I69" s="226"/>
      <c r="J69" s="224" t="str">
        <f>TEXT($G$1, "[$-ko-KR]yyyy-mm-dd(ddd) ") &amp; "오후 21:00"</f>
        <v>2021-09-06(월) 오후 21:00</v>
      </c>
      <c r="K69" s="225"/>
      <c r="L69" s="226"/>
      <c r="M69" s="224" t="str">
        <f>TEXT($G$1+1, "[$-ko-KR]yyyy-mm-dd(ddd) ") &amp; "오전 00:00"</f>
        <v>2021-09-07(화)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7"/>
      <c r="R70" s="227"/>
      <c r="S70" s="227"/>
    </row>
    <row r="71" spans="1:19" ht="17.25" thickBot="1">
      <c r="A71" s="123" t="s">
        <v>228</v>
      </c>
      <c r="B71" s="124">
        <v>957</v>
      </c>
      <c r="C71" s="76">
        <v>0.78212290500000003</v>
      </c>
      <c r="D71" s="13">
        <v>1020</v>
      </c>
      <c r="E71" s="14">
        <f>IF(ISNUMBER(D71), (D71 - $B71) / $B71, "")</f>
        <v>6.5830721003134793E-2</v>
      </c>
      <c r="F71" s="16">
        <f>IF(ISNUMBER(D71), $B91 * E71, "")</f>
        <v>6583.0721003134795</v>
      </c>
      <c r="G71" s="29">
        <v>970</v>
      </c>
      <c r="H71" s="14">
        <f>IF(ISNUMBER(G71), (G71 - $B71) / $B71, "")</f>
        <v>1.3584117032392894E-2</v>
      </c>
      <c r="I71" s="100">
        <f>IF(ISNUMBER(G71), $B91 * H71, "")</f>
        <v>1358.4117032392894</v>
      </c>
      <c r="J71" s="13">
        <v>944</v>
      </c>
      <c r="K71" s="14">
        <f>IF(ISNUMBER(J71), (J71 - $B71) / $B71, "")</f>
        <v>-1.3584117032392894E-2</v>
      </c>
      <c r="L71" s="16">
        <f>IF(ISNUMBER(J71), $B91 * K71, "")</f>
        <v>-1358.4117032392894</v>
      </c>
      <c r="M71" s="29">
        <v>960</v>
      </c>
      <c r="N71" s="14">
        <f>IF(ISNUMBER(M71), (M71 - $B71) / $B71, "")</f>
        <v>3.134796238244514E-3</v>
      </c>
      <c r="O71" s="16">
        <f>IF(ISNUMBER(M71), $B91 * N71, "")</f>
        <v>313.47962382445138</v>
      </c>
      <c r="Q71" s="222"/>
      <c r="R71" s="222"/>
      <c r="S71" s="222"/>
    </row>
    <row r="72" spans="1:19" ht="17.25" thickBot="1">
      <c r="A72" s="125" t="s">
        <v>192</v>
      </c>
      <c r="B72" s="126">
        <v>412</v>
      </c>
      <c r="C72" s="77">
        <v>0.1704545455</v>
      </c>
      <c r="D72" s="15">
        <v>401</v>
      </c>
      <c r="E72" s="32">
        <f t="shared" ref="E72:E75" si="30">IF(ISNUMBER(D72), (D72 - $B72) / $B72, "")</f>
        <v>-2.6699029126213591E-2</v>
      </c>
      <c r="F72" s="18">
        <f>IF(ISNUMBER(D72), $B91 * E72, "")</f>
        <v>-2669.9029126213591</v>
      </c>
      <c r="G72" s="31">
        <v>380</v>
      </c>
      <c r="H72" s="32">
        <f t="shared" ref="H72:H75" si="31">IF(ISNUMBER(G72), (G72 - $B72) / $B72, "")</f>
        <v>-7.7669902912621352E-2</v>
      </c>
      <c r="I72" s="101">
        <f>IF(ISNUMBER(G72), $B91 * H72, "")</f>
        <v>-7766.9902912621355</v>
      </c>
      <c r="J72" s="15">
        <v>376</v>
      </c>
      <c r="K72" s="32">
        <f t="shared" ref="K72:K75" si="32">IF(ISNUMBER(J72), (J72 - $B72) / $B72, "")</f>
        <v>-8.7378640776699032E-2</v>
      </c>
      <c r="L72" s="18">
        <f>IF(ISNUMBER(J72), $B91 * K72, "")</f>
        <v>-8737.8640776699031</v>
      </c>
      <c r="M72" s="31">
        <v>380</v>
      </c>
      <c r="N72" s="32">
        <f t="shared" ref="N72:N75" si="33">IF(ISNUMBER(M72), (M72 - $B72) / $B72, "")</f>
        <v>-7.7669902912621352E-2</v>
      </c>
      <c r="O72" s="18">
        <f>IF(ISNUMBER(M72), $B91 * N72, "")</f>
        <v>-7766.9902912621355</v>
      </c>
      <c r="Q72" s="222"/>
      <c r="R72" s="222"/>
      <c r="S72" s="222"/>
    </row>
    <row r="73" spans="1:19" ht="17.25" thickBot="1">
      <c r="A73" s="125" t="s">
        <v>220</v>
      </c>
      <c r="B73" s="126">
        <v>288</v>
      </c>
      <c r="C73" s="77">
        <v>9.9236641200000003E-2</v>
      </c>
      <c r="D73" s="15">
        <v>293</v>
      </c>
      <c r="E73" s="32">
        <f t="shared" si="30"/>
        <v>1.7361111111111112E-2</v>
      </c>
      <c r="F73" s="18">
        <f>IF(ISNUMBER(D73), $B91 * E73, "")</f>
        <v>1736.1111111111111</v>
      </c>
      <c r="G73" s="31">
        <v>280</v>
      </c>
      <c r="H73" s="32">
        <f t="shared" si="31"/>
        <v>-2.7777777777777776E-2</v>
      </c>
      <c r="I73" s="101">
        <f>IF(ISNUMBER(G73), $B91 * H73, "")</f>
        <v>-2777.7777777777778</v>
      </c>
      <c r="J73" s="15">
        <v>279</v>
      </c>
      <c r="K73" s="32">
        <f t="shared" si="32"/>
        <v>-3.125E-2</v>
      </c>
      <c r="L73" s="18">
        <f>IF(ISNUMBER(J73), $B91 * K73, "")</f>
        <v>-3125</v>
      </c>
      <c r="M73" s="31">
        <v>282</v>
      </c>
      <c r="N73" s="32">
        <f t="shared" si="33"/>
        <v>-2.0833333333333332E-2</v>
      </c>
      <c r="O73" s="18">
        <f>IF(ISNUMBER(M73), $B91 * N73, "")</f>
        <v>-2083.333333333333</v>
      </c>
      <c r="Q73" s="227"/>
      <c r="R73" s="227"/>
      <c r="S73" s="227"/>
    </row>
    <row r="74" spans="1:19" ht="17.25" thickBot="1">
      <c r="A74" s="125" t="s">
        <v>144</v>
      </c>
      <c r="B74" s="126">
        <v>141</v>
      </c>
      <c r="C74" s="77">
        <v>6.0150375899999997E-2</v>
      </c>
      <c r="D74" s="15">
        <v>146</v>
      </c>
      <c r="E74" s="32">
        <f t="shared" si="30"/>
        <v>3.5460992907801421E-2</v>
      </c>
      <c r="F74" s="18">
        <f>IF(ISNUMBER(D74), $B91 * E74, "")</f>
        <v>3546.0992907801419</v>
      </c>
      <c r="G74" s="31">
        <v>144</v>
      </c>
      <c r="H74" s="32">
        <f t="shared" si="31"/>
        <v>2.1276595744680851E-2</v>
      </c>
      <c r="I74" s="101">
        <f>IF(ISNUMBER(G74), $B91 * H74, "")</f>
        <v>2127.6595744680849</v>
      </c>
      <c r="J74" s="15">
        <v>137</v>
      </c>
      <c r="K74" s="32">
        <f t="shared" si="32"/>
        <v>-2.8368794326241134E-2</v>
      </c>
      <c r="L74" s="18">
        <f>IF(ISNUMBER(J74), $B91 * K74, "")</f>
        <v>-2836.8794326241136</v>
      </c>
      <c r="M74" s="31">
        <v>143</v>
      </c>
      <c r="N74" s="32">
        <f t="shared" si="33"/>
        <v>1.4184397163120567E-2</v>
      </c>
      <c r="O74" s="18">
        <f>IF(ISNUMBER(M74), $B91 * N74, "")</f>
        <v>1418.4397163120568</v>
      </c>
      <c r="Q74" s="227"/>
      <c r="R74" s="227"/>
      <c r="S74" s="227"/>
    </row>
    <row r="75" spans="1:19" ht="17.25" thickBot="1">
      <c r="A75" s="127" t="s">
        <v>57</v>
      </c>
      <c r="B75" s="128">
        <v>267</v>
      </c>
      <c r="C75" s="78">
        <v>5.9523809499999997E-2</v>
      </c>
      <c r="D75" s="20">
        <v>271</v>
      </c>
      <c r="E75" s="21">
        <f t="shared" si="30"/>
        <v>1.4981273408239701E-2</v>
      </c>
      <c r="F75" s="22">
        <f>IF(ISNUMBER(D75), $B91 * E75, "")</f>
        <v>1498.1273408239701</v>
      </c>
      <c r="G75" s="30">
        <v>276</v>
      </c>
      <c r="H75" s="21">
        <f t="shared" si="31"/>
        <v>3.3707865168539325E-2</v>
      </c>
      <c r="I75" s="105">
        <f>IF(ISNUMBER(G75), $B91 * H75, "")</f>
        <v>3370.7865168539324</v>
      </c>
      <c r="J75" s="20">
        <v>265</v>
      </c>
      <c r="K75" s="21">
        <f t="shared" si="32"/>
        <v>-7.4906367041198503E-3</v>
      </c>
      <c r="L75" s="22">
        <f>IF(ISNUMBER(J75), $B91 * K75, "")</f>
        <v>-749.06367041198507</v>
      </c>
      <c r="M75" s="30">
        <v>272</v>
      </c>
      <c r="N75" s="21">
        <f t="shared" si="33"/>
        <v>1.8726591760299626E-2</v>
      </c>
      <c r="O75" s="22">
        <f>IF(ISNUMBER(M75), $B91 * N75, "")</f>
        <v>1872.6591760299625</v>
      </c>
      <c r="Q75" s="227"/>
      <c r="R75" s="227"/>
      <c r="S75" s="227"/>
    </row>
    <row r="76" spans="1:19" ht="17.25" thickBot="1">
      <c r="A76" s="125" t="s">
        <v>234</v>
      </c>
      <c r="B76" s="129">
        <v>103</v>
      </c>
      <c r="C76" s="80">
        <v>5.6410256399999997E-2</v>
      </c>
      <c r="D76" s="106">
        <v>103</v>
      </c>
      <c r="E76" s="107">
        <f>IF(ISNUMBER(D76), (D76 - $B76) / $B76, "")</f>
        <v>0</v>
      </c>
      <c r="F76" s="108">
        <f>IF(ISNUMBER(D76), $B91 * E76, "")</f>
        <v>0</v>
      </c>
      <c r="G76" s="109">
        <v>101</v>
      </c>
      <c r="H76" s="107">
        <f>IF(ISNUMBER(G76), (G76 - $B76) / $B76, "")</f>
        <v>-1.9417475728155338E-2</v>
      </c>
      <c r="I76" s="110">
        <f>IF(ISNUMBER(G76), $B91 * H76, "")</f>
        <v>-1941.7475728155339</v>
      </c>
      <c r="J76" s="106">
        <v>98.8</v>
      </c>
      <c r="K76" s="107">
        <f>IF(ISNUMBER(J76), (J76 - $B76) / $B76, "")</f>
        <v>-4.0776699029126243E-2</v>
      </c>
      <c r="L76" s="108">
        <f>IF(ISNUMBER(J76), $B91 * K76, "")</f>
        <v>-4077.6699029126244</v>
      </c>
      <c r="M76" s="109">
        <v>101</v>
      </c>
      <c r="N76" s="107">
        <f>IF(ISNUMBER(M76), (M76 - $B76) / $B76, "")</f>
        <v>-1.9417475728155338E-2</v>
      </c>
      <c r="O76" s="108">
        <f>IF(ISNUMBER(M76), $B91 * N76, "")</f>
        <v>-1941.7475728155339</v>
      </c>
      <c r="Q76" s="227"/>
      <c r="R76" s="227"/>
      <c r="S76" s="227"/>
    </row>
    <row r="77" spans="1:19" ht="17.25" thickBot="1">
      <c r="A77" s="125" t="s">
        <v>200</v>
      </c>
      <c r="B77" s="126">
        <v>217</v>
      </c>
      <c r="C77" s="77">
        <v>5.3398058300000002E-2</v>
      </c>
      <c r="D77" s="15">
        <v>266</v>
      </c>
      <c r="E77" s="32">
        <f t="shared" ref="E77:E80" si="34">IF(ISNUMBER(D77), (D77 - $B77) / $B77, "")</f>
        <v>0.22580645161290322</v>
      </c>
      <c r="F77" s="18">
        <f>IF(ISNUMBER(D77), $B91 * E77, "")</f>
        <v>22580.645161290322</v>
      </c>
      <c r="G77" s="31">
        <v>252</v>
      </c>
      <c r="H77" s="32">
        <f t="shared" ref="H77:H80" si="35">IF(ISNUMBER(G77), (G77 - $B77) / $B77, "")</f>
        <v>0.16129032258064516</v>
      </c>
      <c r="I77" s="101">
        <f>IF(ISNUMBER(G77), $B91 * H77, "")</f>
        <v>16129.032258064515</v>
      </c>
      <c r="J77" s="15">
        <v>242</v>
      </c>
      <c r="K77" s="32">
        <f t="shared" ref="K77:K80" si="36">IF(ISNUMBER(J77), (J77 - $B77) / $B77, "")</f>
        <v>0.1152073732718894</v>
      </c>
      <c r="L77" s="18">
        <f>IF(ISNUMBER(J77), $B91 * K77, "")</f>
        <v>11520.737327188941</v>
      </c>
      <c r="M77" s="31">
        <v>255</v>
      </c>
      <c r="N77" s="32">
        <f t="shared" ref="N77:N80" si="37">IF(ISNUMBER(M77), (M77 - $B77) / $B77, "")</f>
        <v>0.17511520737327188</v>
      </c>
      <c r="O77" s="18">
        <f>IF(ISNUMBER(M77), $B91 * N77, "")</f>
        <v>17511.520737327188</v>
      </c>
      <c r="Q77" s="227"/>
      <c r="R77" s="227"/>
      <c r="S77" s="227"/>
    </row>
    <row r="78" spans="1:19" ht="17.25" thickBot="1">
      <c r="A78" s="125" t="s">
        <v>162</v>
      </c>
      <c r="B78" s="126">
        <v>139</v>
      </c>
      <c r="C78" s="77">
        <v>5.3030303000000001E-2</v>
      </c>
      <c r="D78" s="15">
        <v>136</v>
      </c>
      <c r="E78" s="32">
        <f t="shared" si="34"/>
        <v>-2.1582733812949641E-2</v>
      </c>
      <c r="F78" s="18">
        <f>IF(ISNUMBER(D78), $B91 * E78, "")</f>
        <v>-2158.2733812949641</v>
      </c>
      <c r="G78" s="31">
        <v>141</v>
      </c>
      <c r="H78" s="32">
        <f t="shared" si="35"/>
        <v>1.4388489208633094E-2</v>
      </c>
      <c r="I78" s="101">
        <f>IF(ISNUMBER(G78), $B91 * H78, "")</f>
        <v>1438.8489208633093</v>
      </c>
      <c r="J78" s="15">
        <v>134</v>
      </c>
      <c r="K78" s="32">
        <f t="shared" si="36"/>
        <v>-3.5971223021582732E-2</v>
      </c>
      <c r="L78" s="18">
        <f>IF(ISNUMBER(J78), $B91 * K78, "")</f>
        <v>-3597.1223021582732</v>
      </c>
      <c r="M78" s="31">
        <v>136</v>
      </c>
      <c r="N78" s="32">
        <f t="shared" si="37"/>
        <v>-2.1582733812949641E-2</v>
      </c>
      <c r="O78" s="18">
        <f>IF(ISNUMBER(M78), $B91 * N78, "")</f>
        <v>-2158.2733812949641</v>
      </c>
      <c r="Q78" s="227"/>
      <c r="R78" s="227"/>
      <c r="S78" s="227"/>
    </row>
    <row r="79" spans="1:19" ht="17.25" thickBot="1">
      <c r="A79" s="125" t="s">
        <v>130</v>
      </c>
      <c r="B79" s="126">
        <v>165</v>
      </c>
      <c r="C79" s="77">
        <v>4.4303797499999999E-2</v>
      </c>
      <c r="D79" s="15">
        <v>172</v>
      </c>
      <c r="E79" s="32">
        <f t="shared" si="34"/>
        <v>4.2424242424242427E-2</v>
      </c>
      <c r="F79" s="18">
        <f>IF(ISNUMBER(D79), $B91 * E79, "")</f>
        <v>4242.4242424242429</v>
      </c>
      <c r="G79" s="31">
        <v>165</v>
      </c>
      <c r="H79" s="32">
        <f t="shared" si="35"/>
        <v>0</v>
      </c>
      <c r="I79" s="101">
        <f>IF(ISNUMBER(G79), $B91 * H79, "")</f>
        <v>0</v>
      </c>
      <c r="J79" s="15">
        <v>162</v>
      </c>
      <c r="K79" s="32">
        <f t="shared" si="36"/>
        <v>-1.8181818181818181E-2</v>
      </c>
      <c r="L79" s="18">
        <f>IF(ISNUMBER(J79), $B91 * K79, "")</f>
        <v>-1818.181818181818</v>
      </c>
      <c r="M79" s="31">
        <v>166</v>
      </c>
      <c r="N79" s="32">
        <f t="shared" si="37"/>
        <v>6.0606060606060606E-3</v>
      </c>
      <c r="O79" s="18">
        <f>IF(ISNUMBER(M79), $B91 * N79, "")</f>
        <v>606.06060606060601</v>
      </c>
      <c r="Q79" s="33"/>
      <c r="R79" s="33"/>
    </row>
    <row r="80" spans="1:19" ht="17.25" thickBot="1">
      <c r="A80" s="130" t="s">
        <v>51</v>
      </c>
      <c r="B80" s="131">
        <v>448</v>
      </c>
      <c r="C80" s="79">
        <v>4.4289044299999997E-2</v>
      </c>
      <c r="D80" s="24">
        <v>450</v>
      </c>
      <c r="E80" s="25">
        <f t="shared" si="34"/>
        <v>4.464285714285714E-3</v>
      </c>
      <c r="F80" s="104">
        <f>IF(ISNUMBER(D80), $B91 * E80, "")</f>
        <v>446.42857142857139</v>
      </c>
      <c r="G80" s="102">
        <v>474</v>
      </c>
      <c r="H80" s="25">
        <f t="shared" si="35"/>
        <v>5.8035714285714288E-2</v>
      </c>
      <c r="I80" s="103">
        <f>IF(ISNUMBER(G80), $B91 * H80, "")</f>
        <v>5803.5714285714284</v>
      </c>
      <c r="J80" s="24">
        <v>458</v>
      </c>
      <c r="K80" s="25">
        <f t="shared" si="36"/>
        <v>2.2321428571428572E-2</v>
      </c>
      <c r="L80" s="104">
        <f>IF(ISNUMBER(J80), $B91 * K80, "")</f>
        <v>2232.1428571428573</v>
      </c>
      <c r="M80" s="102">
        <v>477</v>
      </c>
      <c r="N80" s="25">
        <f t="shared" si="37"/>
        <v>6.4732142857142863E-2</v>
      </c>
      <c r="O80" s="104">
        <f>IF(ISNUMBER(M80), $B91 * N80, "")</f>
        <v>6473.2142857142862</v>
      </c>
      <c r="Q80" s="236"/>
      <c r="R80" s="237"/>
      <c r="S80" s="238"/>
    </row>
    <row r="81" spans="1:19">
      <c r="A81" s="123" t="s">
        <v>118</v>
      </c>
      <c r="B81" s="124">
        <v>208</v>
      </c>
      <c r="C81" s="76">
        <v>0.04</v>
      </c>
      <c r="D81" s="13">
        <v>213</v>
      </c>
      <c r="E81" s="14">
        <f>IF(ISNUMBER(D81), (D81 - $B81) / $B81, "")</f>
        <v>2.403846153846154E-2</v>
      </c>
      <c r="F81" s="16">
        <f>IF(ISNUMBER(D81), $B91 * E81, "")</f>
        <v>2403.8461538461538</v>
      </c>
      <c r="G81" s="29">
        <v>218</v>
      </c>
      <c r="H81" s="14">
        <f>IF(ISNUMBER(G81), (G81 - $B81) / $B81, "")</f>
        <v>4.807692307692308E-2</v>
      </c>
      <c r="I81" s="100">
        <f>IF(ISNUMBER(G81), $B91 * H81, "")</f>
        <v>4807.6923076923076</v>
      </c>
      <c r="J81" s="13">
        <v>216</v>
      </c>
      <c r="K81" s="14">
        <f>IF(ISNUMBER(J81), (J81 - $B81) / $B81, "")</f>
        <v>3.8461538461538464E-2</v>
      </c>
      <c r="L81" s="16">
        <f>IF(ISNUMBER(J81), $B91 * K81, "")</f>
        <v>3846.1538461538462</v>
      </c>
      <c r="M81" s="29">
        <v>229</v>
      </c>
      <c r="N81" s="14">
        <f>IF(ISNUMBER(M81), (M81 - $B81) / $B81, "")</f>
        <v>0.10096153846153846</v>
      </c>
      <c r="O81" s="16">
        <f>IF(ISNUMBER(M81), $B91 * N81, "")</f>
        <v>10096.153846153846</v>
      </c>
      <c r="Q81" s="239"/>
      <c r="R81" s="240"/>
      <c r="S81" s="241"/>
    </row>
    <row r="82" spans="1:19" ht="17.25" thickBot="1">
      <c r="A82" s="125" t="s">
        <v>250</v>
      </c>
      <c r="B82" s="126">
        <v>105</v>
      </c>
      <c r="C82" s="77">
        <v>3.9603960399999999E-2</v>
      </c>
      <c r="D82" s="15">
        <v>104</v>
      </c>
      <c r="E82" s="32">
        <f t="shared" ref="E82:E85" si="38">IF(ISNUMBER(D82), (D82 - $B82) / $B82, "")</f>
        <v>-9.5238095238095247E-3</v>
      </c>
      <c r="F82" s="18">
        <f>IF(ISNUMBER(D82), $B91 * E82, "")</f>
        <v>-952.38095238095252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104</v>
      </c>
      <c r="K82" s="32">
        <f t="shared" ref="K82:K85" si="40">IF(ISNUMBER(J82), (J82 - $B82) / $B82, "")</f>
        <v>-9.5238095238095247E-3</v>
      </c>
      <c r="L82" s="18">
        <f>IF(ISNUMBER(J82), $B91 * K82, "")</f>
        <v>-952.38095238095252</v>
      </c>
      <c r="M82" s="31">
        <v>107</v>
      </c>
      <c r="N82" s="32">
        <f t="shared" ref="N82:N85" si="41">IF(ISNUMBER(M82), (M82 - $B82) / $B82, "")</f>
        <v>1.9047619047619049E-2</v>
      </c>
      <c r="O82" s="18">
        <f>IF(ISNUMBER(M82), $B91 * N82, "")</f>
        <v>1904.761904761905</v>
      </c>
      <c r="Q82" s="242"/>
      <c r="R82" s="243"/>
      <c r="S82" s="244"/>
    </row>
    <row r="83" spans="1:19" ht="17.25" thickBot="1">
      <c r="A83" s="125" t="s">
        <v>132</v>
      </c>
      <c r="B83" s="126">
        <v>150</v>
      </c>
      <c r="C83" s="77">
        <v>2.73972603E-2</v>
      </c>
      <c r="D83" s="15">
        <v>150</v>
      </c>
      <c r="E83" s="32">
        <f t="shared" si="38"/>
        <v>0</v>
      </c>
      <c r="F83" s="18">
        <f>IF(ISNUMBER(D83), $B91 * E83, "")</f>
        <v>0</v>
      </c>
      <c r="G83" s="31">
        <v>153</v>
      </c>
      <c r="H83" s="32">
        <f t="shared" si="39"/>
        <v>0.02</v>
      </c>
      <c r="I83" s="101">
        <f>IF(ISNUMBER(G83), $B91 * H83, "")</f>
        <v>2000</v>
      </c>
      <c r="J83" s="15">
        <v>144</v>
      </c>
      <c r="K83" s="32">
        <f t="shared" si="40"/>
        <v>-0.04</v>
      </c>
      <c r="L83" s="18">
        <f>IF(ISNUMBER(J83), $B91 * K83, "")</f>
        <v>-4000</v>
      </c>
      <c r="M83" s="31">
        <v>150</v>
      </c>
      <c r="N83" s="32">
        <f t="shared" si="41"/>
        <v>0</v>
      </c>
      <c r="O83" s="18">
        <f>IF(ISNUMBER(M83), $B91 * N83, "")</f>
        <v>0</v>
      </c>
      <c r="Q83" s="227"/>
      <c r="R83" s="227"/>
      <c r="S83" s="227"/>
    </row>
    <row r="84" spans="1:19" ht="17.25" thickBot="1">
      <c r="A84" s="125" t="s">
        <v>202</v>
      </c>
      <c r="B84" s="126">
        <v>110</v>
      </c>
      <c r="C84" s="77">
        <v>1.8518518500000001E-2</v>
      </c>
      <c r="D84" s="15">
        <v>111</v>
      </c>
      <c r="E84" s="32">
        <f t="shared" si="38"/>
        <v>9.0909090909090905E-3</v>
      </c>
      <c r="F84" s="18">
        <f>IF(ISNUMBER(D84), $B91 * E84, "")</f>
        <v>909.09090909090901</v>
      </c>
      <c r="G84" s="31">
        <v>108</v>
      </c>
      <c r="H84" s="32">
        <f t="shared" si="39"/>
        <v>-1.8181818181818181E-2</v>
      </c>
      <c r="I84" s="101">
        <f>IF(ISNUMBER(G84), $B91 * H84, "")</f>
        <v>-1818.181818181818</v>
      </c>
      <c r="J84" s="15">
        <v>105</v>
      </c>
      <c r="K84" s="32">
        <f t="shared" si="40"/>
        <v>-4.5454545454545456E-2</v>
      </c>
      <c r="L84" s="18">
        <f>IF(ISNUMBER(J84), $B91 * K84, "")</f>
        <v>-4545.454545454546</v>
      </c>
      <c r="M84" s="31">
        <v>107</v>
      </c>
      <c r="N84" s="32">
        <f t="shared" si="41"/>
        <v>-2.7272727272727271E-2</v>
      </c>
      <c r="O84" s="18">
        <f>IF(ISNUMBER(M84), $B91 * N84, "")</f>
        <v>-2727.272727272727</v>
      </c>
      <c r="Q84" s="222"/>
      <c r="R84" s="222"/>
      <c r="S84" s="222"/>
    </row>
    <row r="85" spans="1:19" ht="17.25" thickBot="1">
      <c r="A85" s="127" t="s">
        <v>128</v>
      </c>
      <c r="B85" s="128">
        <v>172</v>
      </c>
      <c r="C85" s="78">
        <v>1.7751479300000001E-2</v>
      </c>
      <c r="D85" s="20">
        <v>174</v>
      </c>
      <c r="E85" s="21">
        <f t="shared" si="38"/>
        <v>1.1627906976744186E-2</v>
      </c>
      <c r="F85" s="22">
        <f>IF(ISNUMBER(D85), $B91 * E85, "")</f>
        <v>1162.7906976744187</v>
      </c>
      <c r="G85" s="30">
        <v>178</v>
      </c>
      <c r="H85" s="21">
        <f t="shared" si="39"/>
        <v>3.4883720930232558E-2</v>
      </c>
      <c r="I85" s="105">
        <f>IF(ISNUMBER(G85), $B91 * H85, "")</f>
        <v>3488.3720930232557</v>
      </c>
      <c r="J85" s="20">
        <v>172</v>
      </c>
      <c r="K85" s="21">
        <f t="shared" si="40"/>
        <v>0</v>
      </c>
      <c r="L85" s="22">
        <f>IF(ISNUMBER(J85), $B91 * K85, "")</f>
        <v>0</v>
      </c>
      <c r="M85" s="30">
        <v>176</v>
      </c>
      <c r="N85" s="21">
        <f t="shared" si="41"/>
        <v>2.3255813953488372E-2</v>
      </c>
      <c r="O85" s="22">
        <f>IF(ISNUMBER(M85), $B91 * N85, "")</f>
        <v>2325.5813953488373</v>
      </c>
      <c r="Q85" s="222"/>
      <c r="R85" s="222"/>
      <c r="S85" s="222"/>
    </row>
    <row r="86" spans="1:19" ht="17.25" thickBot="1">
      <c r="A86" s="125" t="s">
        <v>254</v>
      </c>
      <c r="B86" s="129">
        <v>524</v>
      </c>
      <c r="C86" s="80">
        <v>1.35396518E-2</v>
      </c>
      <c r="D86" s="106">
        <v>475</v>
      </c>
      <c r="E86" s="107">
        <f>IF(ISNUMBER(D86), (D86 - $B86) / $B86, "")</f>
        <v>-9.3511450381679392E-2</v>
      </c>
      <c r="F86" s="108">
        <f>IF(ISNUMBER(D86), $B91 * E86, "")</f>
        <v>-9351.1450381679388</v>
      </c>
      <c r="G86" s="109">
        <v>454</v>
      </c>
      <c r="H86" s="107">
        <f>IF(ISNUMBER(G86), (G86 - $B86) / $B86, "")</f>
        <v>-0.13358778625954199</v>
      </c>
      <c r="I86" s="110">
        <f>IF(ISNUMBER(G86), $B91 * H86, "")</f>
        <v>-13358.778625954199</v>
      </c>
      <c r="J86" s="106">
        <v>459</v>
      </c>
      <c r="K86" s="107">
        <f>IF(ISNUMBER(J86), (J86 - $B86) / $B86, "")</f>
        <v>-0.12404580152671756</v>
      </c>
      <c r="L86" s="108">
        <f>IF(ISNUMBER(J86), $B91 * K86, "")</f>
        <v>-12404.580152671755</v>
      </c>
      <c r="M86" s="109">
        <v>471</v>
      </c>
      <c r="N86" s="107">
        <f>IF(ISNUMBER(M86), (M86 - $B86) / $B86, "")</f>
        <v>-0.10114503816793893</v>
      </c>
      <c r="O86" s="108">
        <f>IF(ISNUMBER(M86), $B91 * N86, "")</f>
        <v>-10114.503816793893</v>
      </c>
      <c r="Q86" s="227"/>
      <c r="R86" s="227"/>
      <c r="S86" s="227"/>
    </row>
    <row r="87" spans="1:19" ht="17.25" thickBot="1">
      <c r="A87" s="125" t="s">
        <v>138</v>
      </c>
      <c r="B87" s="126">
        <v>439</v>
      </c>
      <c r="C87" s="77">
        <v>1.15207373E-2</v>
      </c>
      <c r="D87" s="15">
        <v>439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451</v>
      </c>
      <c r="H87" s="32">
        <f t="shared" ref="H87:H90" si="43">IF(ISNUMBER(G87), (G87 - $B87) / $B87, "")</f>
        <v>2.7334851936218679E-2</v>
      </c>
      <c r="I87" s="101">
        <f>IF(ISNUMBER(G87), $B91 * H87, "")</f>
        <v>2733.4851936218679</v>
      </c>
      <c r="J87" s="15">
        <v>435</v>
      </c>
      <c r="K87" s="32">
        <f t="shared" ref="K87:K90" si="44">IF(ISNUMBER(J87), (J87 - $B87) / $B87, "")</f>
        <v>-9.1116173120728925E-3</v>
      </c>
      <c r="L87" s="18">
        <f>IF(ISNUMBER(J87), $B91 * K87, "")</f>
        <v>-911.16173120728922</v>
      </c>
      <c r="M87" s="31">
        <v>452</v>
      </c>
      <c r="N87" s="32">
        <f t="shared" ref="N87:N90" si="45">IF(ISNUMBER(M87), (M87 - $B87) / $B87, "")</f>
        <v>2.9612756264236904E-2</v>
      </c>
      <c r="O87" s="18">
        <f>IF(ISNUMBER(M87), $B91 * N87, "")</f>
        <v>2961.2756264236905</v>
      </c>
      <c r="Q87" s="227"/>
      <c r="R87" s="227"/>
      <c r="S87" s="227"/>
    </row>
    <row r="88" spans="1:19" ht="17.25" thickBot="1">
      <c r="A88" s="125" t="s">
        <v>266</v>
      </c>
      <c r="B88" s="126">
        <v>349</v>
      </c>
      <c r="C88" s="77">
        <v>8.6705202000000002E-3</v>
      </c>
      <c r="D88" s="15">
        <v>357</v>
      </c>
      <c r="E88" s="32">
        <f t="shared" si="42"/>
        <v>2.2922636103151862E-2</v>
      </c>
      <c r="F88" s="18">
        <f>IF(ISNUMBER(D88), $B91 * E88, "")</f>
        <v>2292.2636103151863</v>
      </c>
      <c r="G88" s="31">
        <v>365</v>
      </c>
      <c r="H88" s="32">
        <f t="shared" si="43"/>
        <v>4.5845272206303724E-2</v>
      </c>
      <c r="I88" s="101">
        <f>IF(ISNUMBER(G88), $B91 * H88, "")</f>
        <v>4584.5272206303725</v>
      </c>
      <c r="J88" s="15">
        <v>351</v>
      </c>
      <c r="K88" s="32">
        <f t="shared" si="44"/>
        <v>5.7306590257879654E-3</v>
      </c>
      <c r="L88" s="18">
        <f>IF(ISNUMBER(J88), $B91 * K88, "")</f>
        <v>573.06590257879657</v>
      </c>
      <c r="M88" s="31">
        <v>356</v>
      </c>
      <c r="N88" s="32">
        <f t="shared" si="45"/>
        <v>2.0057306590257881E-2</v>
      </c>
      <c r="O88" s="18">
        <f>IF(ISNUMBER(M88), $B91 * N88, "")</f>
        <v>2005.7306590257881</v>
      </c>
      <c r="Q88" s="227"/>
      <c r="R88" s="227"/>
      <c r="S88" s="227"/>
    </row>
    <row r="89" spans="1:19">
      <c r="A89" s="125" t="s">
        <v>152</v>
      </c>
      <c r="B89" s="126">
        <v>119</v>
      </c>
      <c r="C89" s="77">
        <v>8.4745762999999998E-3</v>
      </c>
      <c r="D89" s="15">
        <v>120</v>
      </c>
      <c r="E89" s="32">
        <f t="shared" si="42"/>
        <v>8.4033613445378148E-3</v>
      </c>
      <c r="F89" s="18">
        <f>IF(ISNUMBER(D89), $B91 * E89, "")</f>
        <v>840.33613445378148</v>
      </c>
      <c r="G89" s="31">
        <v>122</v>
      </c>
      <c r="H89" s="32">
        <f t="shared" si="43"/>
        <v>2.5210084033613446E-2</v>
      </c>
      <c r="I89" s="101">
        <f>IF(ISNUMBER(G89), $B91 * H89, "")</f>
        <v>2521.0084033613448</v>
      </c>
      <c r="J89" s="15">
        <v>118</v>
      </c>
      <c r="K89" s="32">
        <f t="shared" si="44"/>
        <v>-8.4033613445378148E-3</v>
      </c>
      <c r="L89" s="18">
        <f>IF(ISNUMBER(J89), $B91 * K89, "")</f>
        <v>-840.33613445378148</v>
      </c>
      <c r="M89" s="31">
        <v>120</v>
      </c>
      <c r="N89" s="32">
        <f t="shared" si="45"/>
        <v>8.4033613445378148E-3</v>
      </c>
      <c r="O89" s="18">
        <f>IF(ISNUMBER(M89), $B91 * N89, "")</f>
        <v>840.33613445378148</v>
      </c>
      <c r="Q89" s="249"/>
      <c r="R89" s="250"/>
      <c r="S89" s="251"/>
    </row>
    <row r="90" spans="1:19" ht="17.25" thickBot="1">
      <c r="A90" s="130" t="s">
        <v>194</v>
      </c>
      <c r="B90" s="131">
        <v>167</v>
      </c>
      <c r="C90" s="79">
        <v>6.0240963999999998E-3</v>
      </c>
      <c r="D90" s="24">
        <v>165</v>
      </c>
      <c r="E90" s="25">
        <f t="shared" si="42"/>
        <v>-1.1976047904191617E-2</v>
      </c>
      <c r="F90" s="104">
        <f>IF(ISNUMBER(D90), $B91 * E90, "")</f>
        <v>-1197.6047904191616</v>
      </c>
      <c r="G90" s="102">
        <v>162</v>
      </c>
      <c r="H90" s="25">
        <f t="shared" si="43"/>
        <v>-2.9940119760479042E-2</v>
      </c>
      <c r="I90" s="103">
        <f>IF(ISNUMBER(G90), $B91 * H90, "")</f>
        <v>-2994.0119760479042</v>
      </c>
      <c r="J90" s="24">
        <v>158</v>
      </c>
      <c r="K90" s="25">
        <f t="shared" si="44"/>
        <v>-5.3892215568862277E-2</v>
      </c>
      <c r="L90" s="104">
        <f>IF(ISNUMBER(J90), $B91 * K90, "")</f>
        <v>-5389.2215568862275</v>
      </c>
      <c r="M90" s="102">
        <v>163</v>
      </c>
      <c r="N90" s="25">
        <f t="shared" si="45"/>
        <v>-2.3952095808383235E-2</v>
      </c>
      <c r="O90" s="104">
        <f>IF(ISNUMBER(M90), $B91 * N90, "")</f>
        <v>-2395.2095808383233</v>
      </c>
      <c r="Q90" s="252"/>
      <c r="R90" s="253"/>
      <c r="S90" s="254"/>
    </row>
    <row r="91" spans="1:19" ht="17.25" thickBot="1">
      <c r="A91" s="132" t="s">
        <v>270</v>
      </c>
      <c r="B91" s="260">
        <f>$B$37</f>
        <v>100000</v>
      </c>
      <c r="C91" s="261"/>
      <c r="D91" s="26" t="s">
        <v>271</v>
      </c>
      <c r="E91" s="27">
        <f>IF(COUNT(E71:E90), SUM(E71:E90) / COUNT(E71:E90), 0)</f>
        <v>1.5955964124333956E-2</v>
      </c>
      <c r="F91" s="28">
        <f>SUM(F71:F90)</f>
        <v>31911.928248667919</v>
      </c>
      <c r="G91" s="26" t="s">
        <v>271</v>
      </c>
      <c r="H91" s="27">
        <f>IF(COUNT(H71:H90), SUM(H71:H90) / COUNT(H71:H90), 0)</f>
        <v>1.1281525207746602E-2</v>
      </c>
      <c r="I91" s="28">
        <f>SUM(I71:I90)</f>
        <v>22563.050415493202</v>
      </c>
      <c r="J91" s="26" t="s">
        <v>271</v>
      </c>
      <c r="K91" s="27">
        <f>IF(COUNT(K71:K90), SUM(K71:K90) / COUNT(K71:K90), 0)</f>
        <v>-1.8585614023594061E-2</v>
      </c>
      <c r="L91" s="28">
        <f>SUM(L71:L90)</f>
        <v>-37171.228047188117</v>
      </c>
      <c r="M91" s="26" t="s">
        <v>271</v>
      </c>
      <c r="N91" s="27">
        <f>IF(COUNT(N71:N90), SUM(N71:N90) / COUNT(N71:N90), 0)</f>
        <v>9.5709415039127443E-3</v>
      </c>
      <c r="O91" s="28">
        <f>SUM(O71:O90)</f>
        <v>19141.883007825487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77" t="s">
        <v>267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55149000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2.1442459999999998E-3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2021-09-06(월) 오전 00:00</v>
      </c>
      <c r="C96" s="265"/>
      <c r="D96" s="224" t="str">
        <f>TEXT($G$1, "[$-ko-KR]yyyy-mm-dd(ddd) ") &amp; "오후 14:00"</f>
        <v>2021-09-06(월) 오후 14:00</v>
      </c>
      <c r="E96" s="225"/>
      <c r="F96" s="226"/>
      <c r="G96" s="224" t="str">
        <f>TEXT($G$1, "[$-ko-KR]yyyy-mm-dd(ddd) ") &amp; "오후 19:00"</f>
        <v>2021-09-06(월) 오후 19:00</v>
      </c>
      <c r="H96" s="225"/>
      <c r="I96" s="226"/>
      <c r="J96" s="224" t="str">
        <f>TEXT($G$1, "[$-ko-KR]yyyy-mm-dd(ddd) ") &amp; "오후 21:00"</f>
        <v>2021-09-06(월) 오후 21:00</v>
      </c>
      <c r="K96" s="225"/>
      <c r="L96" s="226"/>
      <c r="M96" s="224" t="str">
        <f>TEXT($G$1+1, "[$-ko-KR]yyyy-mm-dd(ddd) ") &amp; "오전 00:00"</f>
        <v>2021-09-07(화)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7"/>
      <c r="R97" s="227"/>
      <c r="S97" s="227"/>
    </row>
    <row r="98" spans="1:19" ht="17.25" thickBot="1">
      <c r="A98" s="123" t="s">
        <v>228</v>
      </c>
      <c r="B98" s="124">
        <v>957</v>
      </c>
      <c r="C98" s="76">
        <v>0.78212290500000003</v>
      </c>
      <c r="D98" s="13">
        <v>1020</v>
      </c>
      <c r="E98" s="14">
        <f>IF(ISNUMBER(D98), (D98 - $B98) / $B98, "")</f>
        <v>6.5830721003134793E-2</v>
      </c>
      <c r="F98" s="16">
        <f>IF(ISNUMBER(D98), $B118 * E98, "")</f>
        <v>6583.0721003134795</v>
      </c>
      <c r="G98" s="29">
        <v>970</v>
      </c>
      <c r="H98" s="14">
        <f>IF(ISNUMBER(G98), (G98 - $B98) / $B98, "")</f>
        <v>1.3584117032392894E-2</v>
      </c>
      <c r="I98" s="100">
        <f>IF(ISNUMBER(G98), $B118 * H98, "")</f>
        <v>1358.4117032392894</v>
      </c>
      <c r="J98" s="13">
        <v>944</v>
      </c>
      <c r="K98" s="14">
        <f>IF(ISNUMBER(J98), (J98 - $B98) / $B98, "")</f>
        <v>-1.3584117032392894E-2</v>
      </c>
      <c r="L98" s="16">
        <f>IF(ISNUMBER(J98), $B118 * K98, "")</f>
        <v>-1358.4117032392894</v>
      </c>
      <c r="M98" s="29">
        <v>960</v>
      </c>
      <c r="N98" s="14">
        <f>IF(ISNUMBER(M98), (M98 - $B98) / $B98, "")</f>
        <v>3.134796238244514E-3</v>
      </c>
      <c r="O98" s="16">
        <f>IF(ISNUMBER(M98), $B118 * N98, "")</f>
        <v>313.47962382445138</v>
      </c>
      <c r="Q98" s="222"/>
      <c r="R98" s="222"/>
      <c r="S98" s="222"/>
    </row>
    <row r="99" spans="1:19" ht="17.25" thickBot="1">
      <c r="A99" s="125" t="s">
        <v>192</v>
      </c>
      <c r="B99" s="126">
        <v>412</v>
      </c>
      <c r="C99" s="77">
        <v>0.1704545455</v>
      </c>
      <c r="D99" s="15">
        <v>401</v>
      </c>
      <c r="E99" s="32">
        <f t="shared" ref="E99:E102" si="46">IF(ISNUMBER(D99), (D99 - $B99) / $B99, "")</f>
        <v>-2.6699029126213591E-2</v>
      </c>
      <c r="F99" s="18">
        <f>IF(ISNUMBER(D99), $B118 * E99, "")</f>
        <v>-2669.9029126213591</v>
      </c>
      <c r="G99" s="31">
        <v>380</v>
      </c>
      <c r="H99" s="32">
        <f t="shared" ref="H99:H102" si="47">IF(ISNUMBER(G99), (G99 - $B99) / $B99, "")</f>
        <v>-7.7669902912621352E-2</v>
      </c>
      <c r="I99" s="101">
        <f>IF(ISNUMBER(G99), $B118 * H99, "")</f>
        <v>-7766.9902912621355</v>
      </c>
      <c r="J99" s="15">
        <v>376</v>
      </c>
      <c r="K99" s="32">
        <f t="shared" ref="K99:K102" si="48">IF(ISNUMBER(J99), (J99 - $B99) / $B99, "")</f>
        <v>-8.7378640776699032E-2</v>
      </c>
      <c r="L99" s="18">
        <f>IF(ISNUMBER(J99), $B118 * K99, "")</f>
        <v>-8737.8640776699031</v>
      </c>
      <c r="M99" s="31">
        <v>380</v>
      </c>
      <c r="N99" s="32">
        <f t="shared" ref="N99:N102" si="49">IF(ISNUMBER(M99), (M99 - $B99) / $B99, "")</f>
        <v>-7.7669902912621352E-2</v>
      </c>
      <c r="O99" s="18">
        <f>IF(ISNUMBER(M99), $B118 * N99, "")</f>
        <v>-7766.9902912621355</v>
      </c>
      <c r="Q99" s="222"/>
      <c r="R99" s="222"/>
      <c r="S99" s="222"/>
    </row>
    <row r="100" spans="1:19" ht="17.25" thickBot="1">
      <c r="A100" s="125" t="s">
        <v>140</v>
      </c>
      <c r="B100" s="126">
        <v>9475</v>
      </c>
      <c r="C100" s="77">
        <v>0.1395069152</v>
      </c>
      <c r="D100" s="15">
        <v>9835</v>
      </c>
      <c r="E100" s="32">
        <f t="shared" si="46"/>
        <v>3.7994722955145117E-2</v>
      </c>
      <c r="F100" s="18">
        <f>IF(ISNUMBER(D100), $B118 * E100, "")</f>
        <v>3799.4722955145116</v>
      </c>
      <c r="G100" s="31">
        <v>10940</v>
      </c>
      <c r="H100" s="32">
        <f t="shared" si="47"/>
        <v>0.15461741424802111</v>
      </c>
      <c r="I100" s="101">
        <f>IF(ISNUMBER(G100), $B118 * H100, "")</f>
        <v>15461.74142480211</v>
      </c>
      <c r="J100" s="15">
        <v>10500</v>
      </c>
      <c r="K100" s="32">
        <f t="shared" si="48"/>
        <v>0.10817941952506596</v>
      </c>
      <c r="L100" s="18">
        <f>IF(ISNUMBER(J100), $B118 * K100, "")</f>
        <v>10817.941952506597</v>
      </c>
      <c r="M100" s="31">
        <v>11040</v>
      </c>
      <c r="N100" s="32">
        <f t="shared" si="49"/>
        <v>0.16517150395778363</v>
      </c>
      <c r="O100" s="18">
        <f>IF(ISNUMBER(M100), $B118 * N100, "")</f>
        <v>16517.150395778364</v>
      </c>
      <c r="Q100" s="227"/>
      <c r="R100" s="227"/>
      <c r="S100" s="227"/>
    </row>
    <row r="101" spans="1:19" ht="17.25" thickBot="1">
      <c r="A101" s="125" t="s">
        <v>220</v>
      </c>
      <c r="B101" s="126">
        <v>288</v>
      </c>
      <c r="C101" s="77">
        <v>9.9236641200000003E-2</v>
      </c>
      <c r="D101" s="15">
        <v>293</v>
      </c>
      <c r="E101" s="32">
        <f t="shared" si="46"/>
        <v>1.7361111111111112E-2</v>
      </c>
      <c r="F101" s="18">
        <f>IF(ISNUMBER(D101), $B118 * E101, "")</f>
        <v>1736.1111111111111</v>
      </c>
      <c r="G101" s="31">
        <v>280</v>
      </c>
      <c r="H101" s="32">
        <f t="shared" si="47"/>
        <v>-2.7777777777777776E-2</v>
      </c>
      <c r="I101" s="101">
        <f>IF(ISNUMBER(G101), $B118 * H101, "")</f>
        <v>-2777.7777777777778</v>
      </c>
      <c r="J101" s="15">
        <v>279</v>
      </c>
      <c r="K101" s="32">
        <f t="shared" si="48"/>
        <v>-3.125E-2</v>
      </c>
      <c r="L101" s="18">
        <f>IF(ISNUMBER(J101), $B118 * K101, "")</f>
        <v>-3125</v>
      </c>
      <c r="M101" s="31">
        <v>282</v>
      </c>
      <c r="N101" s="32">
        <f t="shared" si="49"/>
        <v>-2.0833333333333332E-2</v>
      </c>
      <c r="O101" s="18">
        <f>IF(ISNUMBER(M101), $B118 * N101, "")</f>
        <v>-2083.333333333333</v>
      </c>
      <c r="Q101" s="227"/>
      <c r="R101" s="227"/>
      <c r="S101" s="227"/>
    </row>
    <row r="102" spans="1:19" ht="17.25" thickBot="1">
      <c r="A102" s="127" t="s">
        <v>180</v>
      </c>
      <c r="B102" s="128">
        <v>17700</v>
      </c>
      <c r="C102" s="78">
        <v>8.1246182E-2</v>
      </c>
      <c r="D102" s="20">
        <v>17930</v>
      </c>
      <c r="E102" s="21">
        <f t="shared" si="46"/>
        <v>1.2994350282485875E-2</v>
      </c>
      <c r="F102" s="22">
        <f>IF(ISNUMBER(D102), $B118 * E102, "")</f>
        <v>1299.4350282485875</v>
      </c>
      <c r="G102" s="30">
        <v>18830</v>
      </c>
      <c r="H102" s="21">
        <f t="shared" si="47"/>
        <v>6.3841807909604517E-2</v>
      </c>
      <c r="I102" s="105">
        <f>IF(ISNUMBER(G102), $B118 * H102, "")</f>
        <v>6384.1807909604513</v>
      </c>
      <c r="J102" s="20">
        <v>17920</v>
      </c>
      <c r="K102" s="21">
        <f t="shared" si="48"/>
        <v>1.2429378531073447E-2</v>
      </c>
      <c r="L102" s="22">
        <f>IF(ISNUMBER(J102), $B118 * K102, "")</f>
        <v>1242.9378531073446</v>
      </c>
      <c r="M102" s="30">
        <v>18460</v>
      </c>
      <c r="N102" s="21">
        <f t="shared" si="49"/>
        <v>4.2937853107344631E-2</v>
      </c>
      <c r="O102" s="22">
        <f>IF(ISNUMBER(M102), $B118 * N102, "")</f>
        <v>4293.7853107344636</v>
      </c>
      <c r="Q102" s="227"/>
      <c r="R102" s="227"/>
      <c r="S102" s="227"/>
    </row>
    <row r="103" spans="1:19" ht="17.25" thickBot="1">
      <c r="A103" s="125" t="s">
        <v>126</v>
      </c>
      <c r="B103" s="129">
        <v>263500</v>
      </c>
      <c r="C103" s="80">
        <v>7.2227873900000003E-2</v>
      </c>
      <c r="D103" s="106">
        <v>259500</v>
      </c>
      <c r="E103" s="107">
        <f>IF(ISNUMBER(D103), (D103 - $B103) / $B103, "")</f>
        <v>-1.5180265654648957E-2</v>
      </c>
      <c r="F103" s="108">
        <f>IF(ISNUMBER(D103), $B118 * E103, "")</f>
        <v>-1518.0265654648956</v>
      </c>
      <c r="G103" s="109">
        <v>265050</v>
      </c>
      <c r="H103" s="107">
        <f>IF(ISNUMBER(G103), (G103 - $B103) / $B103, "")</f>
        <v>5.8823529411764705E-3</v>
      </c>
      <c r="I103" s="110">
        <f>IF(ISNUMBER(G103), $B118 * H103, "")</f>
        <v>588.23529411764707</v>
      </c>
      <c r="J103" s="106">
        <v>253600</v>
      </c>
      <c r="K103" s="107">
        <f>IF(ISNUMBER(J103), (J103 - $B103) / $B103, "")</f>
        <v>-3.757115749525617E-2</v>
      </c>
      <c r="L103" s="108">
        <f>IF(ISNUMBER(J103), $B118 * K103, "")</f>
        <v>-3757.115749525617</v>
      </c>
      <c r="M103" s="109">
        <v>257600</v>
      </c>
      <c r="N103" s="107">
        <f>IF(ISNUMBER(M103), (M103 - $B103) / $B103, "")</f>
        <v>-2.2390891840607212E-2</v>
      </c>
      <c r="O103" s="108">
        <f>IF(ISNUMBER(M103), $B118 * N103, "")</f>
        <v>-2239.089184060721</v>
      </c>
      <c r="Q103" s="227"/>
      <c r="R103" s="227"/>
      <c r="S103" s="227"/>
    </row>
    <row r="104" spans="1:19" ht="17.25" thickBot="1">
      <c r="A104" s="125" t="s">
        <v>63</v>
      </c>
      <c r="B104" s="126">
        <v>72030</v>
      </c>
      <c r="C104" s="77">
        <v>7.0759625399999998E-2</v>
      </c>
      <c r="D104" s="15">
        <v>73890</v>
      </c>
      <c r="E104" s="32">
        <f t="shared" ref="E104:E107" si="50">IF(ISNUMBER(D104), (D104 - $B104) / $B104, "")</f>
        <v>2.5822573927530196E-2</v>
      </c>
      <c r="F104" s="18">
        <f>IF(ISNUMBER(D104), $B118 * E104, "")</f>
        <v>2582.2573927530198</v>
      </c>
      <c r="G104" s="31">
        <v>76100</v>
      </c>
      <c r="H104" s="32">
        <f t="shared" ref="H104:H107" si="51">IF(ISNUMBER(G104), (G104 - $B104) / $B104, "")</f>
        <v>5.6504234346799943E-2</v>
      </c>
      <c r="I104" s="101">
        <f>IF(ISNUMBER(G104), $B118 * H104, "")</f>
        <v>5650.423434679994</v>
      </c>
      <c r="J104" s="15">
        <v>71930</v>
      </c>
      <c r="K104" s="32">
        <f t="shared" ref="K104:K107" si="52">IF(ISNUMBER(J104), (J104 - $B104) / $B104, "")</f>
        <v>-1.3883104262113009E-3</v>
      </c>
      <c r="L104" s="18">
        <f>IF(ISNUMBER(J104), $B118 * K104, "")</f>
        <v>-138.83104262113008</v>
      </c>
      <c r="M104" s="31">
        <v>73190</v>
      </c>
      <c r="N104" s="32">
        <f t="shared" ref="N104:N107" si="53">IF(ISNUMBER(M104), (M104 - $B104) / $B104, "")</f>
        <v>1.6104400944051089E-2</v>
      </c>
      <c r="O104" s="18">
        <f>IF(ISNUMBER(M104), $B118 * N104, "")</f>
        <v>1610.4400944051088</v>
      </c>
      <c r="Q104" s="227"/>
      <c r="R104" s="227"/>
      <c r="S104" s="227"/>
    </row>
    <row r="105" spans="1:19" ht="17.25" thickBot="1">
      <c r="A105" s="125" t="s">
        <v>188</v>
      </c>
      <c r="B105" s="126">
        <v>17.3</v>
      </c>
      <c r="C105" s="77">
        <v>6.7901234599999999E-2</v>
      </c>
      <c r="D105" s="15">
        <v>17.600000000000001</v>
      </c>
      <c r="E105" s="32">
        <f t="shared" si="50"/>
        <v>1.7341040462427786E-2</v>
      </c>
      <c r="F105" s="18">
        <f>IF(ISNUMBER(D105), $B118 * E105, "")</f>
        <v>1734.1040462427786</v>
      </c>
      <c r="G105" s="31">
        <v>17.5</v>
      </c>
      <c r="H105" s="32">
        <f t="shared" si="51"/>
        <v>1.1560693641618455E-2</v>
      </c>
      <c r="I105" s="101">
        <f>IF(ISNUMBER(G105), $B118 * H105, "")</f>
        <v>1156.0693641618454</v>
      </c>
      <c r="J105" s="15">
        <v>17.100000000000001</v>
      </c>
      <c r="K105" s="32">
        <f t="shared" si="52"/>
        <v>-1.1560693641618455E-2</v>
      </c>
      <c r="L105" s="18">
        <f>IF(ISNUMBER(J105), $B118 * K105, "")</f>
        <v>-1156.0693641618454</v>
      </c>
      <c r="M105" s="31">
        <v>17.399999999999999</v>
      </c>
      <c r="N105" s="32">
        <f t="shared" si="53"/>
        <v>5.7803468208091251E-3</v>
      </c>
      <c r="O105" s="18">
        <f>IF(ISNUMBER(M105), $B118 * N105, "")</f>
        <v>578.03468208091249</v>
      </c>
      <c r="Q105" s="227"/>
      <c r="R105" s="227"/>
      <c r="S105" s="227"/>
    </row>
    <row r="106" spans="1:19" ht="17.25" thickBot="1">
      <c r="A106" s="125" t="s">
        <v>84</v>
      </c>
      <c r="B106" s="126">
        <v>7030</v>
      </c>
      <c r="C106" s="77">
        <v>6.5151515199999996E-2</v>
      </c>
      <c r="D106" s="15">
        <v>7075</v>
      </c>
      <c r="E106" s="32">
        <f t="shared" si="50"/>
        <v>6.4011379800853483E-3</v>
      </c>
      <c r="F106" s="18">
        <f>IF(ISNUMBER(D106), $B118 * E106, "")</f>
        <v>640.11379800853479</v>
      </c>
      <c r="G106" s="31">
        <v>7285</v>
      </c>
      <c r="H106" s="32">
        <f t="shared" si="51"/>
        <v>3.627311522048364E-2</v>
      </c>
      <c r="I106" s="101">
        <f>IF(ISNUMBER(G106), $B118 * H106, "")</f>
        <v>3627.3115220483642</v>
      </c>
      <c r="J106" s="15">
        <v>6930</v>
      </c>
      <c r="K106" s="32">
        <f t="shared" si="52"/>
        <v>-1.422475106685633E-2</v>
      </c>
      <c r="L106" s="18">
        <f>IF(ISNUMBER(J106), $B118 * K106, "")</f>
        <v>-1422.4751066856331</v>
      </c>
      <c r="M106" s="31">
        <v>7195</v>
      </c>
      <c r="N106" s="32">
        <f t="shared" si="53"/>
        <v>2.3470839260312945E-2</v>
      </c>
      <c r="O106" s="18">
        <f>IF(ISNUMBER(M106), $B118 * N106, "")</f>
        <v>2347.0839260312946</v>
      </c>
      <c r="Q106" s="33"/>
      <c r="R106" s="33"/>
    </row>
    <row r="107" spans="1:19" ht="17.25" thickBot="1">
      <c r="A107" s="130" t="s">
        <v>136</v>
      </c>
      <c r="B107" s="131">
        <v>2670</v>
      </c>
      <c r="C107" s="79">
        <v>6.1630218700000003E-2</v>
      </c>
      <c r="D107" s="24">
        <v>2600</v>
      </c>
      <c r="E107" s="25">
        <f t="shared" si="50"/>
        <v>-2.6217228464419477E-2</v>
      </c>
      <c r="F107" s="104">
        <f>IF(ISNUMBER(D107), $B118 * E107, "")</f>
        <v>-2621.7228464419477</v>
      </c>
      <c r="G107" s="102">
        <v>2635</v>
      </c>
      <c r="H107" s="25">
        <f t="shared" si="51"/>
        <v>-1.3108614232209739E-2</v>
      </c>
      <c r="I107" s="103">
        <f>IF(ISNUMBER(G107), $B118 * H107, "")</f>
        <v>-1310.8614232209738</v>
      </c>
      <c r="J107" s="24">
        <v>2495</v>
      </c>
      <c r="K107" s="25">
        <f t="shared" si="52"/>
        <v>-6.5543071161048683E-2</v>
      </c>
      <c r="L107" s="104">
        <f>IF(ISNUMBER(J107), $B118 * K107, "")</f>
        <v>-6554.3071161048683</v>
      </c>
      <c r="M107" s="102">
        <v>2575</v>
      </c>
      <c r="N107" s="25">
        <f t="shared" si="53"/>
        <v>-3.5580524344569285E-2</v>
      </c>
      <c r="O107" s="104">
        <f>IF(ISNUMBER(M107), $B118 * N107, "")</f>
        <v>-3558.0524344569285</v>
      </c>
      <c r="Q107" s="236"/>
      <c r="R107" s="237"/>
      <c r="S107" s="238"/>
    </row>
    <row r="108" spans="1:19">
      <c r="A108" s="123" t="s">
        <v>144</v>
      </c>
      <c r="B108" s="124">
        <v>141</v>
      </c>
      <c r="C108" s="76">
        <v>6.0150375899999997E-2</v>
      </c>
      <c r="D108" s="13">
        <v>146</v>
      </c>
      <c r="E108" s="14">
        <f>IF(ISNUMBER(D108), (D108 - $B108) / $B108, "")</f>
        <v>3.5460992907801421E-2</v>
      </c>
      <c r="F108" s="16">
        <f>IF(ISNUMBER(D108), $B118 * E108, "")</f>
        <v>3546.0992907801419</v>
      </c>
      <c r="G108" s="29">
        <v>144</v>
      </c>
      <c r="H108" s="14">
        <f>IF(ISNUMBER(G108), (G108 - $B108) / $B108, "")</f>
        <v>2.1276595744680851E-2</v>
      </c>
      <c r="I108" s="100">
        <f>IF(ISNUMBER(G108), $B118 * H108, "")</f>
        <v>2127.6595744680849</v>
      </c>
      <c r="J108" s="13">
        <v>137</v>
      </c>
      <c r="K108" s="14">
        <f>IF(ISNUMBER(J108), (J108 - $B108) / $B108, "")</f>
        <v>-2.8368794326241134E-2</v>
      </c>
      <c r="L108" s="16">
        <f>IF(ISNUMBER(J108), $B118 * K108, "")</f>
        <v>-2836.8794326241136</v>
      </c>
      <c r="M108" s="29">
        <v>143</v>
      </c>
      <c r="N108" s="14">
        <f>IF(ISNUMBER(M108), (M108 - $B108) / $B108, "")</f>
        <v>1.4184397163120567E-2</v>
      </c>
      <c r="O108" s="16">
        <f>IF(ISNUMBER(M108), $B118 * N108, "")</f>
        <v>1418.4397163120568</v>
      </c>
      <c r="Q108" s="239"/>
      <c r="R108" s="240"/>
      <c r="S108" s="241"/>
    </row>
    <row r="109" spans="1:19" ht="17.25" thickBot="1">
      <c r="A109" s="125" t="s">
        <v>57</v>
      </c>
      <c r="B109" s="126">
        <v>267</v>
      </c>
      <c r="C109" s="77">
        <v>5.9523809499999997E-2</v>
      </c>
      <c r="D109" s="15">
        <v>271</v>
      </c>
      <c r="E109" s="32">
        <f t="shared" ref="E109:E112" si="54">IF(ISNUMBER(D109), (D109 - $B109) / $B109, "")</f>
        <v>1.4981273408239701E-2</v>
      </c>
      <c r="F109" s="18">
        <f>IF(ISNUMBER(D109), $B118 * E109, "")</f>
        <v>1498.1273408239701</v>
      </c>
      <c r="G109" s="31">
        <v>276</v>
      </c>
      <c r="H109" s="32">
        <f t="shared" ref="H109:H112" si="55">IF(ISNUMBER(G109), (G109 - $B109) / $B109, "")</f>
        <v>3.3707865168539325E-2</v>
      </c>
      <c r="I109" s="101">
        <f>IF(ISNUMBER(G109), $B118 * H109, "")</f>
        <v>3370.7865168539324</v>
      </c>
      <c r="J109" s="15">
        <v>265</v>
      </c>
      <c r="K109" s="32">
        <f t="shared" ref="K109:K112" si="56">IF(ISNUMBER(J109), (J109 - $B109) / $B109, "")</f>
        <v>-7.4906367041198503E-3</v>
      </c>
      <c r="L109" s="18">
        <f>IF(ISNUMBER(J109), $B118 * K109, "")</f>
        <v>-749.06367041198507</v>
      </c>
      <c r="M109" s="31">
        <v>272</v>
      </c>
      <c r="N109" s="32">
        <f t="shared" ref="N109:N112" si="57">IF(ISNUMBER(M109), (M109 - $B109) / $B109, "")</f>
        <v>1.8726591760299626E-2</v>
      </c>
      <c r="O109" s="18">
        <f>IF(ISNUMBER(M109), $B118 * N109, "")</f>
        <v>1872.6591760299625</v>
      </c>
      <c r="Q109" s="242"/>
      <c r="R109" s="243"/>
      <c r="S109" s="244"/>
    </row>
    <row r="110" spans="1:19" ht="17.25" thickBot="1">
      <c r="A110" s="125" t="s">
        <v>226</v>
      </c>
      <c r="B110" s="126">
        <v>2505</v>
      </c>
      <c r="C110" s="77">
        <v>5.6962025300000003E-2</v>
      </c>
      <c r="D110" s="15">
        <v>2460</v>
      </c>
      <c r="E110" s="32">
        <f t="shared" si="54"/>
        <v>-1.7964071856287425E-2</v>
      </c>
      <c r="F110" s="18">
        <f>IF(ISNUMBER(D110), $B118 * E110, "")</f>
        <v>-1796.4071856287424</v>
      </c>
      <c r="G110" s="31">
        <v>2420</v>
      </c>
      <c r="H110" s="32">
        <f t="shared" si="55"/>
        <v>-3.3932135728542916E-2</v>
      </c>
      <c r="I110" s="101">
        <f>IF(ISNUMBER(G110), $B118 * H110, "")</f>
        <v>-3393.2135728542917</v>
      </c>
      <c r="J110" s="15">
        <v>2340</v>
      </c>
      <c r="K110" s="32">
        <f t="shared" si="56"/>
        <v>-6.5868263473053898E-2</v>
      </c>
      <c r="L110" s="18">
        <f>IF(ISNUMBER(J110), $B118 * K110, "")</f>
        <v>-6586.8263473053894</v>
      </c>
      <c r="M110" s="31">
        <v>2400</v>
      </c>
      <c r="N110" s="32">
        <f t="shared" si="57"/>
        <v>-4.1916167664670656E-2</v>
      </c>
      <c r="O110" s="18">
        <f>IF(ISNUMBER(M110), $B118 * N110, "")</f>
        <v>-4191.6167664670656</v>
      </c>
      <c r="Q110" s="227"/>
      <c r="R110" s="227"/>
      <c r="S110" s="227"/>
    </row>
    <row r="111" spans="1:19" ht="17.25" thickBot="1">
      <c r="A111" s="125" t="s">
        <v>234</v>
      </c>
      <c r="B111" s="126">
        <v>103</v>
      </c>
      <c r="C111" s="77">
        <v>5.6410256399999997E-2</v>
      </c>
      <c r="D111" s="15">
        <v>103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-1.9417475728155338E-2</v>
      </c>
      <c r="I111" s="101">
        <f>IF(ISNUMBER(G111), $B118 * H111, "")</f>
        <v>-1941.7475728155339</v>
      </c>
      <c r="J111" s="15">
        <v>98.8</v>
      </c>
      <c r="K111" s="32">
        <f t="shared" si="56"/>
        <v>-4.0776699029126243E-2</v>
      </c>
      <c r="L111" s="18">
        <f>IF(ISNUMBER(J111), $B118 * K111, "")</f>
        <v>-4077.6699029126244</v>
      </c>
      <c r="M111" s="31">
        <v>101</v>
      </c>
      <c r="N111" s="32">
        <f t="shared" si="57"/>
        <v>-1.9417475728155338E-2</v>
      </c>
      <c r="O111" s="18">
        <f>IF(ISNUMBER(M111), $B118 * N111, "")</f>
        <v>-1941.7475728155339</v>
      </c>
      <c r="Q111" s="222"/>
      <c r="R111" s="222"/>
      <c r="S111" s="222"/>
    </row>
    <row r="112" spans="1:19" ht="17.25" thickBot="1">
      <c r="A112" s="127" t="s">
        <v>148</v>
      </c>
      <c r="B112" s="128">
        <v>29.3</v>
      </c>
      <c r="C112" s="78">
        <v>5.3956834500000002E-2</v>
      </c>
      <c r="D112" s="20">
        <v>28.4</v>
      </c>
      <c r="E112" s="21">
        <f t="shared" si="54"/>
        <v>-3.0716723549488126E-2</v>
      </c>
      <c r="F112" s="22">
        <f>IF(ISNUMBER(D112), $B118 * E112, "")</f>
        <v>-3071.6723549488124</v>
      </c>
      <c r="G112" s="30">
        <v>28.6</v>
      </c>
      <c r="H112" s="21">
        <f t="shared" si="55"/>
        <v>-2.3890784982935127E-2</v>
      </c>
      <c r="I112" s="105">
        <f>IF(ISNUMBER(G112), $B118 * H112, "")</f>
        <v>-2389.0784982935129</v>
      </c>
      <c r="J112" s="20">
        <v>27.3</v>
      </c>
      <c r="K112" s="21">
        <f t="shared" si="56"/>
        <v>-6.8259385665529013E-2</v>
      </c>
      <c r="L112" s="22">
        <f>IF(ISNUMBER(J112), $B118 * K112, "")</f>
        <v>-6825.9385665529016</v>
      </c>
      <c r="M112" s="30">
        <v>28</v>
      </c>
      <c r="N112" s="21">
        <f t="shared" si="57"/>
        <v>-4.4368600682593878E-2</v>
      </c>
      <c r="O112" s="22">
        <f>IF(ISNUMBER(M112), $B118 * N112, "")</f>
        <v>-4436.8600682593878</v>
      </c>
      <c r="Q112" s="222"/>
      <c r="R112" s="222"/>
      <c r="S112" s="222"/>
    </row>
    <row r="113" spans="1:19" ht="17.25" thickBot="1">
      <c r="A113" s="125" t="s">
        <v>196</v>
      </c>
      <c r="B113" s="129">
        <v>5495</v>
      </c>
      <c r="C113" s="80">
        <v>5.3691275199999999E-2</v>
      </c>
      <c r="D113" s="106">
        <v>5180</v>
      </c>
      <c r="E113" s="107">
        <f>IF(ISNUMBER(D113), (D113 - $B113) / $B113, "")</f>
        <v>-5.7324840764331211E-2</v>
      </c>
      <c r="F113" s="108">
        <f>IF(ISNUMBER(D113), $B118 * E113, "")</f>
        <v>-5732.4840764331211</v>
      </c>
      <c r="G113" s="109">
        <v>5045</v>
      </c>
      <c r="H113" s="107">
        <f>IF(ISNUMBER(G113), (G113 - $B113) / $B113, "")</f>
        <v>-8.1892629663330302E-2</v>
      </c>
      <c r="I113" s="110">
        <f>IF(ISNUMBER(G113), $B118 * H113, "")</f>
        <v>-8189.2629663330299</v>
      </c>
      <c r="J113" s="106">
        <v>4925</v>
      </c>
      <c r="K113" s="107">
        <f>IF(ISNUMBER(J113), (J113 - $B113) / $B113, "")</f>
        <v>-0.10373066424021839</v>
      </c>
      <c r="L113" s="108">
        <f>IF(ISNUMBER(J113), $B118 * K113, "")</f>
        <v>-10373.066424021839</v>
      </c>
      <c r="M113" s="109">
        <v>5005</v>
      </c>
      <c r="N113" s="107">
        <f>IF(ISNUMBER(M113), (M113 - $B113) / $B113, "")</f>
        <v>-8.9171974522292988E-2</v>
      </c>
      <c r="O113" s="108">
        <f>IF(ISNUMBER(M113), $B118 * N113, "")</f>
        <v>-8917.1974522292985</v>
      </c>
      <c r="Q113" s="227"/>
      <c r="R113" s="227"/>
      <c r="S113" s="227"/>
    </row>
    <row r="114" spans="1:19" ht="17.25" thickBot="1">
      <c r="A114" s="125" t="s">
        <v>200</v>
      </c>
      <c r="B114" s="126">
        <v>217</v>
      </c>
      <c r="C114" s="77">
        <v>5.3398058300000002E-2</v>
      </c>
      <c r="D114" s="15">
        <v>266</v>
      </c>
      <c r="E114" s="32">
        <f t="shared" ref="E114:E117" si="58">IF(ISNUMBER(D114), (D114 - $B114) / $B114, "")</f>
        <v>0.22580645161290322</v>
      </c>
      <c r="F114" s="18">
        <f>IF(ISNUMBER(D114), $B118 * E114, "")</f>
        <v>22580.645161290322</v>
      </c>
      <c r="G114" s="31">
        <v>252</v>
      </c>
      <c r="H114" s="32">
        <f t="shared" ref="H114:H117" si="59">IF(ISNUMBER(G114), (G114 - $B114) / $B114, "")</f>
        <v>0.16129032258064516</v>
      </c>
      <c r="I114" s="101">
        <f>IF(ISNUMBER(G114), $B118 * H114, "")</f>
        <v>16129.032258064515</v>
      </c>
      <c r="J114" s="15">
        <v>242</v>
      </c>
      <c r="K114" s="32">
        <f t="shared" ref="K114:K117" si="60">IF(ISNUMBER(J114), (J114 - $B114) / $B114, "")</f>
        <v>0.1152073732718894</v>
      </c>
      <c r="L114" s="18">
        <f>IF(ISNUMBER(J114), $B118 * K114, "")</f>
        <v>11520.737327188941</v>
      </c>
      <c r="M114" s="31">
        <v>255</v>
      </c>
      <c r="N114" s="32">
        <f t="shared" ref="N114:N117" si="61">IF(ISNUMBER(M114), (M114 - $B114) / $B114, "")</f>
        <v>0.17511520737327188</v>
      </c>
      <c r="O114" s="18">
        <f>IF(ISNUMBER(M114), $B118 * N114, "")</f>
        <v>17511.520737327188</v>
      </c>
      <c r="Q114" s="227"/>
      <c r="R114" s="227"/>
      <c r="S114" s="227"/>
    </row>
    <row r="115" spans="1:19" ht="17.25" thickBot="1">
      <c r="A115" s="125" t="s">
        <v>162</v>
      </c>
      <c r="B115" s="126">
        <v>139</v>
      </c>
      <c r="C115" s="77">
        <v>5.3030303000000001E-2</v>
      </c>
      <c r="D115" s="15">
        <v>136</v>
      </c>
      <c r="E115" s="32">
        <f t="shared" si="58"/>
        <v>-2.1582733812949641E-2</v>
      </c>
      <c r="F115" s="18">
        <f>IF(ISNUMBER(D115), $B118 * E115, "")</f>
        <v>-2158.2733812949641</v>
      </c>
      <c r="G115" s="31">
        <v>141</v>
      </c>
      <c r="H115" s="32">
        <f t="shared" si="59"/>
        <v>1.4388489208633094E-2</v>
      </c>
      <c r="I115" s="101">
        <f>IF(ISNUMBER(G115), $B118 * H115, "")</f>
        <v>1438.8489208633093</v>
      </c>
      <c r="J115" s="15">
        <v>134</v>
      </c>
      <c r="K115" s="32">
        <f t="shared" si="60"/>
        <v>-3.5971223021582732E-2</v>
      </c>
      <c r="L115" s="18">
        <f>IF(ISNUMBER(J115), $B118 * K115, "")</f>
        <v>-3597.1223021582732</v>
      </c>
      <c r="M115" s="31">
        <v>136</v>
      </c>
      <c r="N115" s="32">
        <f t="shared" si="61"/>
        <v>-2.1582733812949641E-2</v>
      </c>
      <c r="O115" s="18">
        <f>IF(ISNUMBER(M115), $B118 * N115, "")</f>
        <v>-2158.2733812949641</v>
      </c>
      <c r="Q115" s="227"/>
      <c r="R115" s="227"/>
      <c r="S115" s="227"/>
    </row>
    <row r="116" spans="1:19">
      <c r="A116" s="125" t="s">
        <v>112</v>
      </c>
      <c r="B116" s="126">
        <v>9165</v>
      </c>
      <c r="C116" s="77">
        <v>5.2238805999999999E-2</v>
      </c>
      <c r="D116" s="15">
        <v>9275</v>
      </c>
      <c r="E116" s="32">
        <f t="shared" si="58"/>
        <v>1.2002182214948172E-2</v>
      </c>
      <c r="F116" s="18">
        <f>IF(ISNUMBER(D116), $B118 * E116, "")</f>
        <v>1200.2182214948173</v>
      </c>
      <c r="G116" s="31">
        <v>9635</v>
      </c>
      <c r="H116" s="32">
        <f t="shared" si="59"/>
        <v>5.128205128205128E-2</v>
      </c>
      <c r="I116" s="101">
        <f>IF(ISNUMBER(G116), $B118 * H116, "")</f>
        <v>5128.2051282051279</v>
      </c>
      <c r="J116" s="15">
        <v>9110</v>
      </c>
      <c r="K116" s="32">
        <f t="shared" si="60"/>
        <v>-6.0010911074740861E-3</v>
      </c>
      <c r="L116" s="18">
        <f>IF(ISNUMBER(J116), $B118 * K116, "")</f>
        <v>-600.10911074740864</v>
      </c>
      <c r="M116" s="31">
        <v>9930</v>
      </c>
      <c r="N116" s="32">
        <f t="shared" si="61"/>
        <v>8.346972176759411E-2</v>
      </c>
      <c r="O116" s="18">
        <f>IF(ISNUMBER(M116), $B118 * N116, "")</f>
        <v>8346.972176759411</v>
      </c>
      <c r="Q116" s="249"/>
      <c r="R116" s="250"/>
      <c r="S116" s="251"/>
    </row>
    <row r="117" spans="1:19" ht="17.25" thickBot="1">
      <c r="A117" s="130" t="s">
        <v>210</v>
      </c>
      <c r="B117" s="131">
        <v>18.3</v>
      </c>
      <c r="C117" s="79">
        <v>4.5714285700000003E-2</v>
      </c>
      <c r="D117" s="24">
        <v>18.600000000000001</v>
      </c>
      <c r="E117" s="25">
        <f t="shared" si="58"/>
        <v>1.6393442622950859E-2</v>
      </c>
      <c r="F117" s="104">
        <f>IF(ISNUMBER(D117), $B118 * E117, "")</f>
        <v>1639.3442622950859</v>
      </c>
      <c r="G117" s="102">
        <v>17.8</v>
      </c>
      <c r="H117" s="25">
        <f t="shared" si="59"/>
        <v>-2.7322404371584699E-2</v>
      </c>
      <c r="I117" s="103">
        <f>IF(ISNUMBER(G117), $B118 * H117, "")</f>
        <v>-2732.2404371584698</v>
      </c>
      <c r="J117" s="24">
        <v>17.600000000000001</v>
      </c>
      <c r="K117" s="25">
        <f t="shared" si="60"/>
        <v>-3.8251366120218538E-2</v>
      </c>
      <c r="L117" s="104">
        <f>IF(ISNUMBER(J117), $B118 * K117, "")</f>
        <v>-3825.136612021854</v>
      </c>
      <c r="M117" s="102">
        <v>18.100000000000001</v>
      </c>
      <c r="N117" s="25">
        <f t="shared" si="61"/>
        <v>-1.092896174863384E-2</v>
      </c>
      <c r="O117" s="104">
        <f>IF(ISNUMBER(M117), $B118 * N117, "")</f>
        <v>-1092.896174863384</v>
      </c>
      <c r="Q117" s="252"/>
      <c r="R117" s="253"/>
      <c r="S117" s="254"/>
    </row>
    <row r="118" spans="1:19" ht="17.25" thickBot="1">
      <c r="A118" s="132" t="s">
        <v>270</v>
      </c>
      <c r="B118" s="260">
        <f>$B$37</f>
        <v>100000</v>
      </c>
      <c r="C118" s="261"/>
      <c r="D118" s="26" t="s">
        <v>271</v>
      </c>
      <c r="E118" s="27">
        <f>IF(COUNT(E98:E117), SUM(E98:E117) / COUNT(E98:E117), 0)</f>
        <v>1.4635255363021257E-2</v>
      </c>
      <c r="F118" s="28">
        <f>SUM(F98:F117)</f>
        <v>29270.510726042517</v>
      </c>
      <c r="G118" s="26" t="s">
        <v>271</v>
      </c>
      <c r="H118" s="27">
        <f>IF(COUNT(H98:H117), SUM(H98:H117) / COUNT(H98:H117), 0)</f>
        <v>1.5959866696374475E-2</v>
      </c>
      <c r="I118" s="28">
        <f>SUM(I98:I117)</f>
        <v>31919.733392748945</v>
      </c>
      <c r="J118" s="26" t="s">
        <v>271</v>
      </c>
      <c r="K118" s="27">
        <f>IF(COUNT(K98:K117), SUM(K98:K117) / COUNT(K98:K117), 0)</f>
        <v>-2.1070134697980896E-2</v>
      </c>
      <c r="L118" s="28">
        <f>SUM(L98:L117)</f>
        <v>-42140.269395961783</v>
      </c>
      <c r="M118" s="26" t="s">
        <v>271</v>
      </c>
      <c r="N118" s="27">
        <f>IF(COUNT(N98:N117), SUM(N98:N117) / COUNT(N98:N117), 0)</f>
        <v>8.2117545901202287E-3</v>
      </c>
      <c r="O118" s="28">
        <f>SUM(O98:O117)</f>
        <v>16423.50918024046</v>
      </c>
      <c r="Q118" s="255"/>
      <c r="R118" s="256"/>
      <c r="S118" s="257"/>
    </row>
    <row r="120" spans="1:19" ht="17.25" thickBot="1"/>
    <row r="121" spans="1:19" ht="17.25" thickBot="1">
      <c r="A121" s="201" t="s">
        <v>258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77" t="s">
        <v>267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55149000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2.1442459999999998E-3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2021-09-06(월) 오전 00:00</v>
      </c>
      <c r="C123" s="265"/>
      <c r="D123" s="224" t="str">
        <f>TEXT($G$1, "[$-ko-KR]yyyy-mm-dd(ddd) ") &amp; "오후 14:00"</f>
        <v>2021-09-06(월) 오후 14:00</v>
      </c>
      <c r="E123" s="225"/>
      <c r="F123" s="226"/>
      <c r="G123" s="224" t="str">
        <f>TEXT($G$1, "[$-ko-KR]yyyy-mm-dd(ddd) ") &amp; "오후 19:00"</f>
        <v>2021-09-06(월) 오후 19:00</v>
      </c>
      <c r="H123" s="225"/>
      <c r="I123" s="226"/>
      <c r="J123" s="224" t="str">
        <f>TEXT($G$1, "[$-ko-KR]yyyy-mm-dd(ddd) ") &amp; "오후 21:00"</f>
        <v>2021-09-06(월) 오후 21:00</v>
      </c>
      <c r="K123" s="225"/>
      <c r="L123" s="226"/>
      <c r="M123" s="224" t="str">
        <f>TEXT($G$1+1, "[$-ko-KR]yyyy-mm-dd(ddd) ") &amp; "오전 00:00"</f>
        <v>2021-09-07(화)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7"/>
      <c r="R124" s="227"/>
      <c r="S124" s="227"/>
    </row>
    <row r="125" spans="1:19" ht="17.25" thickBot="1">
      <c r="A125" s="123" t="s">
        <v>188</v>
      </c>
      <c r="B125" s="124">
        <v>17.3</v>
      </c>
      <c r="C125" s="76">
        <v>6.7901234599999999E-2</v>
      </c>
      <c r="D125" s="13">
        <v>17.600000000000001</v>
      </c>
      <c r="E125" s="14">
        <f>IF(ISNUMBER(D125), (D125 - $B125) / $B125, "")</f>
        <v>1.7341040462427786E-2</v>
      </c>
      <c r="F125" s="16">
        <f>IF(ISNUMBER(D125), $B145 * E125, "")</f>
        <v>1734.1040462427786</v>
      </c>
      <c r="G125" s="29">
        <v>17.5</v>
      </c>
      <c r="H125" s="14">
        <f>IF(ISNUMBER(G125), (G125 - $B125) / $B125, "")</f>
        <v>1.1560693641618455E-2</v>
      </c>
      <c r="I125" s="100">
        <f>IF(ISNUMBER(G125), $B145 * H125, "")</f>
        <v>1156.0693641618454</v>
      </c>
      <c r="J125" s="13">
        <v>17.100000000000001</v>
      </c>
      <c r="K125" s="14">
        <f>IF(ISNUMBER(J125), (J125 - $B125) / $B125, "")</f>
        <v>-1.1560693641618455E-2</v>
      </c>
      <c r="L125" s="16">
        <f>IF(ISNUMBER(J125), $B145 * K125, "")</f>
        <v>-1156.0693641618454</v>
      </c>
      <c r="M125" s="29">
        <v>17.399999999999999</v>
      </c>
      <c r="N125" s="14">
        <f>IF(ISNUMBER(M125), (M125 - $B125) / $B125, "")</f>
        <v>5.7803468208091251E-3</v>
      </c>
      <c r="O125" s="16">
        <f>IF(ISNUMBER(M125), $B145 * N125, "")</f>
        <v>578.03468208091249</v>
      </c>
      <c r="Q125" s="222"/>
      <c r="R125" s="222"/>
      <c r="S125" s="222"/>
    </row>
    <row r="126" spans="1:19" ht="17.25" thickBot="1">
      <c r="A126" s="125" t="s">
        <v>148</v>
      </c>
      <c r="B126" s="126">
        <v>29.3</v>
      </c>
      <c r="C126" s="77">
        <v>5.3956834500000002E-2</v>
      </c>
      <c r="D126" s="15">
        <v>28.4</v>
      </c>
      <c r="E126" s="32">
        <f t="shared" ref="E126:E129" si="62">IF(ISNUMBER(D126), (D126 - $B126) / $B126, "")</f>
        <v>-3.0716723549488126E-2</v>
      </c>
      <c r="F126" s="18">
        <f>IF(ISNUMBER(D126), $B145 * E126, "")</f>
        <v>-3071.6723549488124</v>
      </c>
      <c r="G126" s="31">
        <v>28.6</v>
      </c>
      <c r="H126" s="32">
        <f t="shared" ref="H126:H129" si="63">IF(ISNUMBER(G126), (G126 - $B126) / $B126, "")</f>
        <v>-2.3890784982935127E-2</v>
      </c>
      <c r="I126" s="101">
        <f>IF(ISNUMBER(G126), $B145 * H126, "")</f>
        <v>-2389.0784982935129</v>
      </c>
      <c r="J126" s="15">
        <v>27.3</v>
      </c>
      <c r="K126" s="32">
        <f t="shared" ref="K126:K129" si="64">IF(ISNUMBER(J126), (J126 - $B126) / $B126, "")</f>
        <v>-6.8259385665529013E-2</v>
      </c>
      <c r="L126" s="18">
        <f>IF(ISNUMBER(J126), $B145 * K126, "")</f>
        <v>-6825.9385665529016</v>
      </c>
      <c r="M126" s="31">
        <v>28</v>
      </c>
      <c r="N126" s="32">
        <f t="shared" ref="N126:N129" si="65">IF(ISNUMBER(M126), (M126 - $B126) / $B126, "")</f>
        <v>-4.4368600682593878E-2</v>
      </c>
      <c r="O126" s="18">
        <f>IF(ISNUMBER(M126), $B145 * N126, "")</f>
        <v>-4436.8600682593878</v>
      </c>
      <c r="Q126" s="222"/>
      <c r="R126" s="222"/>
      <c r="S126" s="222"/>
    </row>
    <row r="127" spans="1:19" ht="17.25" thickBot="1">
      <c r="A127" s="125" t="s">
        <v>210</v>
      </c>
      <c r="B127" s="126">
        <v>18.3</v>
      </c>
      <c r="C127" s="77">
        <v>4.5714285700000003E-2</v>
      </c>
      <c r="D127" s="15">
        <v>18.600000000000001</v>
      </c>
      <c r="E127" s="32">
        <f t="shared" si="62"/>
        <v>1.6393442622950859E-2</v>
      </c>
      <c r="F127" s="18">
        <f>IF(ISNUMBER(D127), $B145 * E127, "")</f>
        <v>1639.3442622950859</v>
      </c>
      <c r="G127" s="31">
        <v>17.8</v>
      </c>
      <c r="H127" s="32">
        <f t="shared" si="63"/>
        <v>-2.7322404371584699E-2</v>
      </c>
      <c r="I127" s="101">
        <f>IF(ISNUMBER(G127), $B145 * H127, "")</f>
        <v>-2732.2404371584698</v>
      </c>
      <c r="J127" s="15">
        <v>17.600000000000001</v>
      </c>
      <c r="K127" s="32">
        <f t="shared" si="64"/>
        <v>-3.8251366120218538E-2</v>
      </c>
      <c r="L127" s="18">
        <f>IF(ISNUMBER(J127), $B145 * K127, "")</f>
        <v>-3825.136612021854</v>
      </c>
      <c r="M127" s="31">
        <v>18.100000000000001</v>
      </c>
      <c r="N127" s="32">
        <f t="shared" si="65"/>
        <v>-1.092896174863384E-2</v>
      </c>
      <c r="O127" s="18">
        <f>IF(ISNUMBER(M127), $B145 * N127, "")</f>
        <v>-1092.896174863384</v>
      </c>
      <c r="Q127" s="227"/>
      <c r="R127" s="227"/>
      <c r="S127" s="227"/>
    </row>
    <row r="128" spans="1:19" ht="17.25" thickBot="1">
      <c r="A128" s="125" t="s">
        <v>204</v>
      </c>
      <c r="B128" s="126">
        <v>19.100000000000001</v>
      </c>
      <c r="C128" s="77">
        <v>4.3715847000000002E-2</v>
      </c>
      <c r="D128" s="15">
        <v>20.3</v>
      </c>
      <c r="E128" s="32">
        <f t="shared" si="62"/>
        <v>6.2827225130890008E-2</v>
      </c>
      <c r="F128" s="18">
        <f>IF(ISNUMBER(D128), $B145 * E128, "")</f>
        <v>6282.722513089001</v>
      </c>
      <c r="G128" s="31">
        <v>19.5</v>
      </c>
      <c r="H128" s="32">
        <f t="shared" si="63"/>
        <v>2.0942408376963276E-2</v>
      </c>
      <c r="I128" s="101">
        <f>IF(ISNUMBER(G128), $B145 * H128, "")</f>
        <v>2094.2408376963276</v>
      </c>
      <c r="J128" s="15">
        <v>19.100000000000001</v>
      </c>
      <c r="K128" s="32">
        <f t="shared" si="64"/>
        <v>0</v>
      </c>
      <c r="L128" s="18">
        <f>IF(ISNUMBER(J128), $B145 * K128, "")</f>
        <v>0</v>
      </c>
      <c r="M128" s="31">
        <v>19.399999999999999</v>
      </c>
      <c r="N128" s="32">
        <f t="shared" si="65"/>
        <v>1.5706806282722363E-2</v>
      </c>
      <c r="O128" s="18">
        <f>IF(ISNUMBER(M128), $B145 * N128, "")</f>
        <v>1570.6806282722364</v>
      </c>
      <c r="Q128" s="227"/>
      <c r="R128" s="227"/>
      <c r="S128" s="227"/>
    </row>
    <row r="129" spans="1:19" ht="17.25" thickBot="1">
      <c r="A129" s="127" t="s">
        <v>150</v>
      </c>
      <c r="B129" s="128">
        <v>17.100000000000001</v>
      </c>
      <c r="C129" s="78">
        <v>4.26829268E-2</v>
      </c>
      <c r="D129" s="20">
        <v>16.899999999999999</v>
      </c>
      <c r="E129" s="21">
        <f t="shared" si="62"/>
        <v>-1.1695906432748704E-2</v>
      </c>
      <c r="F129" s="22">
        <f>IF(ISNUMBER(D129), $B145 * E129, "")</f>
        <v>-1169.5906432748704</v>
      </c>
      <c r="G129" s="30">
        <v>16.3</v>
      </c>
      <c r="H129" s="21">
        <f t="shared" si="63"/>
        <v>-4.6783625730994191E-2</v>
      </c>
      <c r="I129" s="105">
        <f>IF(ISNUMBER(G129), $B145 * H129, "")</f>
        <v>-4678.362573099419</v>
      </c>
      <c r="J129" s="20">
        <v>15.7</v>
      </c>
      <c r="K129" s="21">
        <f t="shared" si="64"/>
        <v>-8.1871345029239886E-2</v>
      </c>
      <c r="L129" s="22">
        <f>IF(ISNUMBER(J129), $B145 * K129, "")</f>
        <v>-8187.1345029239883</v>
      </c>
      <c r="M129" s="30">
        <v>16</v>
      </c>
      <c r="N129" s="21">
        <f t="shared" si="65"/>
        <v>-6.4327485380117039E-2</v>
      </c>
      <c r="O129" s="22">
        <f>IF(ISNUMBER(M129), $B145 * N129, "")</f>
        <v>-6432.7485380117041</v>
      </c>
      <c r="Q129" s="227"/>
      <c r="R129" s="227"/>
      <c r="S129" s="227"/>
    </row>
    <row r="130" spans="1:19" ht="17.25" thickBot="1">
      <c r="A130" s="125" t="s">
        <v>65</v>
      </c>
      <c r="B130" s="129">
        <v>70.099999999999994</v>
      </c>
      <c r="C130" s="80">
        <v>2.4853801200000001E-2</v>
      </c>
      <c r="D130" s="106">
        <v>71.400000000000006</v>
      </c>
      <c r="E130" s="107">
        <f>IF(ISNUMBER(D130), (D130 - $B130) / $B130, "")</f>
        <v>1.8544935805991605E-2</v>
      </c>
      <c r="F130" s="108">
        <f>IF(ISNUMBER(D130), $B145 * E130, "")</f>
        <v>1854.4935805991606</v>
      </c>
      <c r="G130" s="109">
        <v>70.3</v>
      </c>
      <c r="H130" s="107">
        <f>IF(ISNUMBER(G130), (G130 - $B130) / $B130, "")</f>
        <v>2.8530670470756471E-3</v>
      </c>
      <c r="I130" s="110">
        <f>IF(ISNUMBER(G130), $B145 * H130, "")</f>
        <v>285.30670470756473</v>
      </c>
      <c r="J130" s="106">
        <v>67.3</v>
      </c>
      <c r="K130" s="107">
        <f>IF(ISNUMBER(J130), (J130 - $B130) / $B130, "")</f>
        <v>-3.9942938659058451E-2</v>
      </c>
      <c r="L130" s="108">
        <f>IF(ISNUMBER(J130), $B145 * K130, "")</f>
        <v>-3994.293865905845</v>
      </c>
      <c r="M130" s="109">
        <v>71.2</v>
      </c>
      <c r="N130" s="107">
        <f>IF(ISNUMBER(M130), (M130 - $B130) / $B130, "")</f>
        <v>1.5691868758915959E-2</v>
      </c>
      <c r="O130" s="108">
        <f>IF(ISNUMBER(M130), $B145 * N130, "")</f>
        <v>1569.1868758915959</v>
      </c>
      <c r="Q130" s="227"/>
      <c r="R130" s="227"/>
      <c r="S130" s="227"/>
    </row>
    <row r="131" spans="1:19" ht="17.25" thickBot="1">
      <c r="A131" s="125" t="s">
        <v>216</v>
      </c>
      <c r="B131" s="126">
        <v>13.9</v>
      </c>
      <c r="C131" s="77">
        <v>2.2058823500000001E-2</v>
      </c>
      <c r="D131" s="15">
        <v>14.3</v>
      </c>
      <c r="E131" s="32">
        <f t="shared" ref="E131:E134" si="66">IF(ISNUMBER(D131), (D131 - $B131) / $B131, "")</f>
        <v>2.8776978417266213E-2</v>
      </c>
      <c r="F131" s="18">
        <f>IF(ISNUMBER(D131), $B145 * E131, "")</f>
        <v>2877.6978417266214</v>
      </c>
      <c r="G131" s="31">
        <v>13.9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13.4</v>
      </c>
      <c r="K131" s="32">
        <f t="shared" ref="K131:K134" si="68">IF(ISNUMBER(J131), (J131 - $B131) / $B131, "")</f>
        <v>-3.5971223021582732E-2</v>
      </c>
      <c r="L131" s="18">
        <f>IF(ISNUMBER(J131), $B145 * K131, "")</f>
        <v>-3597.1223021582732</v>
      </c>
      <c r="M131" s="31">
        <v>13.6</v>
      </c>
      <c r="N131" s="32">
        <f t="shared" ref="N131:N134" si="69">IF(ISNUMBER(M131), (M131 - $B131) / $B131, "")</f>
        <v>-2.158273381294969E-2</v>
      </c>
      <c r="O131" s="18">
        <f>IF(ISNUMBER(M131), $B145 * N131, "")</f>
        <v>-2158.2733812949691</v>
      </c>
      <c r="Q131" s="227"/>
      <c r="R131" s="227"/>
      <c r="S131" s="227"/>
    </row>
    <row r="132" spans="1:19" ht="17.25" thickBot="1">
      <c r="A132" s="125" t="s">
        <v>178</v>
      </c>
      <c r="B132" s="126">
        <v>23.3</v>
      </c>
      <c r="C132" s="77">
        <v>1.7467248899999999E-2</v>
      </c>
      <c r="D132" s="15">
        <v>22.5</v>
      </c>
      <c r="E132" s="32">
        <f t="shared" si="66"/>
        <v>-3.4334763948497882E-2</v>
      </c>
      <c r="F132" s="18">
        <f>IF(ISNUMBER(D132), $B145 * E132, "")</f>
        <v>-3433.476394849788</v>
      </c>
      <c r="G132" s="31">
        <v>22.3</v>
      </c>
      <c r="H132" s="32">
        <f t="shared" si="67"/>
        <v>-4.2918454935622317E-2</v>
      </c>
      <c r="I132" s="101">
        <f>IF(ISNUMBER(G132), $B145 * H132, "")</f>
        <v>-4291.8454935622321</v>
      </c>
      <c r="J132" s="15">
        <v>22</v>
      </c>
      <c r="K132" s="32">
        <f t="shared" si="68"/>
        <v>-5.5793991416309044E-2</v>
      </c>
      <c r="L132" s="18">
        <f>IF(ISNUMBER(J132), $B145 * K132, "")</f>
        <v>-5579.3991416309045</v>
      </c>
      <c r="M132" s="31">
        <v>22.2</v>
      </c>
      <c r="N132" s="32">
        <f t="shared" si="69"/>
        <v>-4.7210300429184608E-2</v>
      </c>
      <c r="O132" s="18">
        <f>IF(ISNUMBER(M132), $B145 * N132, "")</f>
        <v>-4721.0300429184608</v>
      </c>
      <c r="Q132" s="227"/>
      <c r="R132" s="227"/>
      <c r="S132" s="227"/>
    </row>
    <row r="133" spans="1:19" ht="17.25" thickBot="1">
      <c r="A133" s="125" t="s">
        <v>208</v>
      </c>
      <c r="B133" s="126">
        <v>17.2</v>
      </c>
      <c r="C133" s="77">
        <v>1.17647059E-2</v>
      </c>
      <c r="D133" s="15">
        <v>17</v>
      </c>
      <c r="E133" s="32">
        <f t="shared" si="66"/>
        <v>-1.1627906976744146E-2</v>
      </c>
      <c r="F133" s="18">
        <f>IF(ISNUMBER(D133), $B145 * E133, "")</f>
        <v>-1162.7906976744146</v>
      </c>
      <c r="G133" s="31">
        <v>16.7</v>
      </c>
      <c r="H133" s="32">
        <f t="shared" si="67"/>
        <v>-2.9069767441860465E-2</v>
      </c>
      <c r="I133" s="101">
        <f>IF(ISNUMBER(G133), $B145 * H133, "")</f>
        <v>-2906.9767441860463</v>
      </c>
      <c r="J133" s="15">
        <v>16.2</v>
      </c>
      <c r="K133" s="32">
        <f t="shared" si="68"/>
        <v>-5.8139534883720929E-2</v>
      </c>
      <c r="L133" s="18">
        <f>IF(ISNUMBER(J133), $B145 * K133, "")</f>
        <v>-5813.9534883720926</v>
      </c>
      <c r="M133" s="31">
        <v>16.399999999999999</v>
      </c>
      <c r="N133" s="32">
        <f t="shared" si="69"/>
        <v>-4.6511627906976785E-2</v>
      </c>
      <c r="O133" s="18">
        <f>IF(ISNUMBER(M133), $B145 * N133, "")</f>
        <v>-4651.1627906976782</v>
      </c>
      <c r="Q133" s="33"/>
      <c r="R133" s="33"/>
    </row>
    <row r="134" spans="1:19" ht="17.25" thickBot="1">
      <c r="A134" s="130" t="s">
        <v>190</v>
      </c>
      <c r="B134" s="131">
        <v>22.4</v>
      </c>
      <c r="C134" s="79">
        <v>4.4843048999999996E-3</v>
      </c>
      <c r="D134" s="24">
        <v>22.9</v>
      </c>
      <c r="E134" s="25">
        <f t="shared" si="66"/>
        <v>2.2321428571428572E-2</v>
      </c>
      <c r="F134" s="104">
        <f>IF(ISNUMBER(D134), $B145 * E134, "")</f>
        <v>2232.1428571428573</v>
      </c>
      <c r="G134" s="102">
        <v>22.6</v>
      </c>
      <c r="H134" s="25">
        <f t="shared" si="67"/>
        <v>8.9285714285715564E-3</v>
      </c>
      <c r="I134" s="103">
        <f>IF(ISNUMBER(G134), $B145 * H134, "")</f>
        <v>892.85714285715562</v>
      </c>
      <c r="J134" s="24">
        <v>22</v>
      </c>
      <c r="K134" s="25">
        <f t="shared" si="68"/>
        <v>-1.7857142857142794E-2</v>
      </c>
      <c r="L134" s="104">
        <f>IF(ISNUMBER(J134), $B145 * K134, "")</f>
        <v>-1785.7142857142794</v>
      </c>
      <c r="M134" s="102">
        <v>22.4</v>
      </c>
      <c r="N134" s="25">
        <f t="shared" si="69"/>
        <v>0</v>
      </c>
      <c r="O134" s="104">
        <f>IF(ISNUMBER(M134), $B145 * N134, "")</f>
        <v>0</v>
      </c>
      <c r="Q134" s="236"/>
      <c r="R134" s="237"/>
      <c r="S134" s="238"/>
    </row>
    <row r="135" spans="1:19">
      <c r="A135" s="123" t="s">
        <v>240</v>
      </c>
      <c r="B135" s="124">
        <v>85.6</v>
      </c>
      <c r="C135" s="76">
        <v>2.3419204000000001E-3</v>
      </c>
      <c r="D135" s="13">
        <v>83.4</v>
      </c>
      <c r="E135" s="14">
        <f>IF(ISNUMBER(D135), (D135 - $B135) / $B135, "")</f>
        <v>-2.570093457943912E-2</v>
      </c>
      <c r="F135" s="16">
        <f>IF(ISNUMBER(D135), $B145 * E135, "")</f>
        <v>-2570.0934579439122</v>
      </c>
      <c r="G135" s="29">
        <v>81.3</v>
      </c>
      <c r="H135" s="14">
        <f>IF(ISNUMBER(G135), (G135 - $B135) / $B135, "")</f>
        <v>-5.0233644859813055E-2</v>
      </c>
      <c r="I135" s="100">
        <f>IF(ISNUMBER(G135), $B145 * H135, "")</f>
        <v>-5023.3644859813057</v>
      </c>
      <c r="J135" s="13">
        <v>79.400000000000006</v>
      </c>
      <c r="K135" s="14">
        <f>IF(ISNUMBER(J135), (J135 - $B135) / $B135, "")</f>
        <v>-7.2429906542055944E-2</v>
      </c>
      <c r="L135" s="16">
        <f>IF(ISNUMBER(J135), $B145 * K135, "")</f>
        <v>-7242.9906542055942</v>
      </c>
      <c r="M135" s="29">
        <v>80.8</v>
      </c>
      <c r="N135" s="14">
        <f>IF(ISNUMBER(M135), (M135 - $B135) / $B135, "")</f>
        <v>-5.6074766355140158E-2</v>
      </c>
      <c r="O135" s="16">
        <f>IF(ISNUMBER(M135), $B145 * N135, "")</f>
        <v>-5607.4766355140155</v>
      </c>
      <c r="Q135" s="239"/>
      <c r="R135" s="240"/>
      <c r="S135" s="241"/>
    </row>
    <row r="136" spans="1:19" ht="17.25" thickBot="1">
      <c r="A136" s="125" t="s">
        <v>98</v>
      </c>
      <c r="B136" s="126">
        <v>5.54</v>
      </c>
      <c r="C136" s="77">
        <v>0</v>
      </c>
      <c r="D136" s="15">
        <v>5.62</v>
      </c>
      <c r="E136" s="32">
        <f t="shared" ref="E136:E139" si="70">IF(ISNUMBER(D136), (D136 - $B136) / $B136, "")</f>
        <v>1.4440433212996403E-2</v>
      </c>
      <c r="F136" s="18">
        <f>IF(ISNUMBER(D136), $B145 * E136, "")</f>
        <v>1444.0433212996402</v>
      </c>
      <c r="G136" s="31">
        <v>5.72</v>
      </c>
      <c r="H136" s="32">
        <f t="shared" ref="H136:H139" si="71">IF(ISNUMBER(G136), (G136 - $B136) / $B136, "")</f>
        <v>3.2490974729241826E-2</v>
      </c>
      <c r="I136" s="101">
        <f>IF(ISNUMBER(G136), $B145 * H136, "")</f>
        <v>3249.0974729241825</v>
      </c>
      <c r="J136" s="15">
        <v>5.55</v>
      </c>
      <c r="K136" s="32">
        <f t="shared" ref="K136:K139" si="72">IF(ISNUMBER(J136), (J136 - $B136) / $B136, "")</f>
        <v>1.8050541516245102E-3</v>
      </c>
      <c r="L136" s="18">
        <f>IF(ISNUMBER(J136), $B145 * K136, "")</f>
        <v>180.50541516245102</v>
      </c>
      <c r="M136" s="31">
        <v>5.61</v>
      </c>
      <c r="N136" s="32">
        <f t="shared" ref="N136:N139" si="73">IF(ISNUMBER(M136), (M136 - $B136) / $B136, "")</f>
        <v>1.2635379061371892E-2</v>
      </c>
      <c r="O136" s="18">
        <f>IF(ISNUMBER(M136), $B145 * N136, "")</f>
        <v>1263.5379061371893</v>
      </c>
      <c r="Q136" s="242"/>
      <c r="R136" s="243"/>
      <c r="S136" s="244"/>
    </row>
    <row r="137" spans="1:19" ht="17.25" thickBot="1">
      <c r="A137" s="125" t="s">
        <v>72</v>
      </c>
      <c r="B137" s="126">
        <v>31.4</v>
      </c>
      <c r="C137" s="77">
        <v>-2.1806853599999999E-2</v>
      </c>
      <c r="D137" s="15">
        <v>30.3</v>
      </c>
      <c r="E137" s="32">
        <f t="shared" si="70"/>
        <v>-3.5031847133757898E-2</v>
      </c>
      <c r="F137" s="18">
        <f>IF(ISNUMBER(D137), $B145 * E137, "")</f>
        <v>-3503.1847133757897</v>
      </c>
      <c r="G137" s="31">
        <v>30.2</v>
      </c>
      <c r="H137" s="32">
        <f t="shared" si="71"/>
        <v>-3.8216560509554118E-2</v>
      </c>
      <c r="I137" s="101">
        <f>IF(ISNUMBER(G137), $B145 * H137, "")</f>
        <v>-3821.656050955412</v>
      </c>
      <c r="J137" s="15">
        <v>30.1</v>
      </c>
      <c r="K137" s="32">
        <f t="shared" si="72"/>
        <v>-4.1401273885350233E-2</v>
      </c>
      <c r="L137" s="18">
        <f>IF(ISNUMBER(J137), $B145 * K137, "")</f>
        <v>-4140.1273885350229</v>
      </c>
      <c r="M137" s="31">
        <v>30.4</v>
      </c>
      <c r="N137" s="32">
        <f t="shared" si="73"/>
        <v>-3.1847133757961783E-2</v>
      </c>
      <c r="O137" s="18">
        <f>IF(ISNUMBER(M137), $B145 * N137, "")</f>
        <v>-3184.7133757961783</v>
      </c>
      <c r="Q137" s="227"/>
      <c r="R137" s="227"/>
      <c r="S137" s="227"/>
    </row>
    <row r="138" spans="1:19" ht="17.25" thickBot="1">
      <c r="A138" s="125" t="s">
        <v>122</v>
      </c>
      <c r="B138" s="126">
        <v>51.4</v>
      </c>
      <c r="C138" s="77">
        <v>-0.20679012350000001</v>
      </c>
      <c r="D138" s="15">
        <v>50.2</v>
      </c>
      <c r="E138" s="32">
        <f t="shared" si="70"/>
        <v>-2.3346303501945442E-2</v>
      </c>
      <c r="F138" s="18">
        <f>IF(ISNUMBER(D138), $B145 * E138, "")</f>
        <v>-2334.630350194544</v>
      </c>
      <c r="G138" s="31">
        <v>50.5</v>
      </c>
      <c r="H138" s="32">
        <f t="shared" si="71"/>
        <v>-1.7509727626459116E-2</v>
      </c>
      <c r="I138" s="101">
        <f>IF(ISNUMBER(G138), $B145 * H138, "")</f>
        <v>-1750.9727626459116</v>
      </c>
      <c r="J138" s="15">
        <v>47.8</v>
      </c>
      <c r="K138" s="32">
        <f t="shared" si="72"/>
        <v>-7.0038910505836605E-2</v>
      </c>
      <c r="L138" s="18">
        <f>IF(ISNUMBER(J138), $B145 * K138, "")</f>
        <v>-7003.8910505836602</v>
      </c>
      <c r="M138" s="31">
        <v>49.5</v>
      </c>
      <c r="N138" s="32">
        <f t="shared" si="73"/>
        <v>-3.6964980544747054E-2</v>
      </c>
      <c r="O138" s="18">
        <f>IF(ISNUMBER(M138), $B145 * N138, "")</f>
        <v>-3696.4980544747054</v>
      </c>
      <c r="Q138" s="222"/>
      <c r="R138" s="222"/>
      <c r="S138" s="222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22"/>
      <c r="R139" s="222"/>
      <c r="S139" s="222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27"/>
      <c r="R140" s="227"/>
      <c r="S140" s="227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7"/>
      <c r="R141" s="227"/>
      <c r="S141" s="22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132" t="s">
        <v>270</v>
      </c>
      <c r="B145" s="260">
        <f>$B$37</f>
        <v>100000</v>
      </c>
      <c r="C145" s="261"/>
      <c r="D145" s="26" t="s">
        <v>271</v>
      </c>
      <c r="E145" s="27">
        <f>IF(COUNT(E125:E144), SUM(E125:E144) / COUNT(E125:E144), 0)</f>
        <v>5.8507843580929517E-4</v>
      </c>
      <c r="F145" s="28">
        <f>SUM(F125:F144)</f>
        <v>819.10981013301398</v>
      </c>
      <c r="G145" s="26" t="s">
        <v>271</v>
      </c>
      <c r="H145" s="27">
        <f>IF(COUNT(H125:H144), SUM(H125:H144) / COUNT(H125:H144), 0)</f>
        <v>-1.4226375373953737E-2</v>
      </c>
      <c r="I145" s="28">
        <f>SUM(I125:I144)</f>
        <v>-19916.925523535232</v>
      </c>
      <c r="J145" s="26" t="s">
        <v>271</v>
      </c>
      <c r="K145" s="27">
        <f>IF(COUNT(K125:K144), SUM(K125:K144) / COUNT(K125:K144), 0)</f>
        <v>-4.2122332719717007E-2</v>
      </c>
      <c r="L145" s="28">
        <f>SUM(L125:L144)</f>
        <v>-58971.265807603813</v>
      </c>
      <c r="M145" s="26" t="s">
        <v>271</v>
      </c>
      <c r="N145" s="27">
        <f>IF(COUNT(N125:N144), SUM(N125:N144) / COUNT(N125:N144), 0)</f>
        <v>-2.2143013549606107E-2</v>
      </c>
      <c r="O145" s="28">
        <f>SUM(O125:O144)</f>
        <v>-31000.21896944855</v>
      </c>
      <c r="Q145" s="255"/>
      <c r="R145" s="256"/>
      <c r="S145" s="257"/>
    </row>
    <row r="147" spans="1:19" ht="17.25" thickBot="1"/>
    <row r="148" spans="1:19" ht="17.25" thickBot="1">
      <c r="A148" s="201" t="s">
        <v>259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77" t="s">
        <v>267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55149000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2.1442459999999998E-3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2021-09-06(월) 오전 00:00</v>
      </c>
      <c r="C150" s="265"/>
      <c r="D150" s="224" t="str">
        <f>TEXT($G$1, "[$-ko-KR]yyyy-mm-dd(ddd) ") &amp; "오후 14:00"</f>
        <v>2021-09-06(월) 오후 14:00</v>
      </c>
      <c r="E150" s="225"/>
      <c r="F150" s="226"/>
      <c r="G150" s="224" t="str">
        <f>TEXT($G$1, "[$-ko-KR]yyyy-mm-dd(ddd) ") &amp; "오후 19:00"</f>
        <v>2021-09-06(월) 오후 19:00</v>
      </c>
      <c r="H150" s="225"/>
      <c r="I150" s="226"/>
      <c r="J150" s="224" t="str">
        <f>TEXT($G$1, "[$-ko-KR]yyyy-mm-dd(ddd) ") &amp; "오후 21:00"</f>
        <v>2021-09-06(월) 오후 21:00</v>
      </c>
      <c r="K150" s="225"/>
      <c r="L150" s="226"/>
      <c r="M150" s="224" t="str">
        <f>TEXT($G$1+1, "[$-ko-KR]yyyy-mm-dd(ddd) ") &amp; "오전 00:00"</f>
        <v>2021-09-07(화)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7"/>
      <c r="R151" s="227"/>
      <c r="S151" s="227"/>
    </row>
    <row r="152" spans="1:19" ht="17.25" thickBot="1">
      <c r="A152" s="123" t="s">
        <v>254</v>
      </c>
      <c r="B152" s="124">
        <v>524</v>
      </c>
      <c r="C152" s="76">
        <v>1.35396518E-2</v>
      </c>
      <c r="D152" s="13">
        <v>475</v>
      </c>
      <c r="E152" s="14">
        <f>IF(ISNUMBER(D152), (D152 - $B152) / $B152, "")</f>
        <v>-9.3511450381679392E-2</v>
      </c>
      <c r="F152" s="16">
        <f>IF(ISNUMBER(D152), $B172 * E152, "")</f>
        <v>-9351.1450381679388</v>
      </c>
      <c r="G152" s="29">
        <v>454</v>
      </c>
      <c r="H152" s="14">
        <f>IF(ISNUMBER(G152), (G152 - $B152) / $B152, "")</f>
        <v>-0.13358778625954199</v>
      </c>
      <c r="I152" s="100">
        <f>IF(ISNUMBER(G152), $B172 * H152, "")</f>
        <v>-13358.778625954199</v>
      </c>
      <c r="J152" s="13">
        <v>459</v>
      </c>
      <c r="K152" s="14">
        <f>IF(ISNUMBER(J152), (J152 - $B152) / $B152, "")</f>
        <v>-0.12404580152671756</v>
      </c>
      <c r="L152" s="16">
        <f>IF(ISNUMBER(J152), $B172 * K152, "")</f>
        <v>-12404.580152671755</v>
      </c>
      <c r="M152" s="29">
        <v>471</v>
      </c>
      <c r="N152" s="14">
        <f>IF(ISNUMBER(M152), (M152 - $B152) / $B152, "")</f>
        <v>-0.10114503816793893</v>
      </c>
      <c r="O152" s="16">
        <f>IF(ISNUMBER(M152), $B172 * N152, "")</f>
        <v>-10114.503816793893</v>
      </c>
      <c r="Q152" s="222"/>
      <c r="R152" s="222"/>
      <c r="S152" s="222"/>
    </row>
    <row r="153" spans="1:19" ht="17.25" thickBot="1">
      <c r="A153" s="125" t="s">
        <v>138</v>
      </c>
      <c r="B153" s="126">
        <v>439</v>
      </c>
      <c r="C153" s="77">
        <v>1.15207373E-2</v>
      </c>
      <c r="D153" s="15">
        <v>439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451</v>
      </c>
      <c r="H153" s="32">
        <f t="shared" ref="H153:H156" si="79">IF(ISNUMBER(G153), (G153 - $B153) / $B153, "")</f>
        <v>2.7334851936218679E-2</v>
      </c>
      <c r="I153" s="101">
        <f>IF(ISNUMBER(G153), $B172 * H153, "")</f>
        <v>2733.4851936218679</v>
      </c>
      <c r="J153" s="15">
        <v>435</v>
      </c>
      <c r="K153" s="32">
        <f t="shared" ref="K153:K156" si="80">IF(ISNUMBER(J153), (J153 - $B153) / $B153, "")</f>
        <v>-9.1116173120728925E-3</v>
      </c>
      <c r="L153" s="18">
        <f>IF(ISNUMBER(J153), $B172 * K153, "")</f>
        <v>-911.16173120728922</v>
      </c>
      <c r="M153" s="31">
        <v>452</v>
      </c>
      <c r="N153" s="32">
        <f t="shared" ref="N153:N156" si="81">IF(ISNUMBER(M153), (M153 - $B153) / $B153, "")</f>
        <v>2.9612756264236904E-2</v>
      </c>
      <c r="O153" s="18">
        <f>IF(ISNUMBER(M153), $B172 * N153, "")</f>
        <v>2961.2756264236905</v>
      </c>
      <c r="Q153" s="222"/>
      <c r="R153" s="222"/>
      <c r="S153" s="222"/>
    </row>
    <row r="154" spans="1:19" ht="17.25" thickBot="1">
      <c r="A154" s="125" t="s">
        <v>266</v>
      </c>
      <c r="B154" s="126">
        <v>349</v>
      </c>
      <c r="C154" s="77">
        <v>8.6705202000000002E-3</v>
      </c>
      <c r="D154" s="15">
        <v>357</v>
      </c>
      <c r="E154" s="32">
        <f t="shared" si="78"/>
        <v>2.2922636103151862E-2</v>
      </c>
      <c r="F154" s="18">
        <f>IF(ISNUMBER(D154), $B172 * E154, "")</f>
        <v>2292.2636103151863</v>
      </c>
      <c r="G154" s="31">
        <v>365</v>
      </c>
      <c r="H154" s="32">
        <f t="shared" si="79"/>
        <v>4.5845272206303724E-2</v>
      </c>
      <c r="I154" s="101">
        <f>IF(ISNUMBER(G154), $B172 * H154, "")</f>
        <v>4584.5272206303725</v>
      </c>
      <c r="J154" s="15">
        <v>351</v>
      </c>
      <c r="K154" s="32">
        <f t="shared" si="80"/>
        <v>5.7306590257879654E-3</v>
      </c>
      <c r="L154" s="18">
        <f>IF(ISNUMBER(J154), $B172 * K154, "")</f>
        <v>573.06590257879657</v>
      </c>
      <c r="M154" s="31">
        <v>356</v>
      </c>
      <c r="N154" s="32">
        <f t="shared" si="81"/>
        <v>2.0057306590257881E-2</v>
      </c>
      <c r="O154" s="18">
        <f>IF(ISNUMBER(M154), $B172 * N154, "")</f>
        <v>2005.7306590257881</v>
      </c>
      <c r="Q154" s="227"/>
      <c r="R154" s="227"/>
      <c r="S154" s="227"/>
    </row>
    <row r="155" spans="1:19" ht="17.25" thickBot="1">
      <c r="A155" s="125" t="s">
        <v>152</v>
      </c>
      <c r="B155" s="126">
        <v>119</v>
      </c>
      <c r="C155" s="77">
        <v>8.4745762999999998E-3</v>
      </c>
      <c r="D155" s="15">
        <v>120</v>
      </c>
      <c r="E155" s="32">
        <f t="shared" si="78"/>
        <v>8.4033613445378148E-3</v>
      </c>
      <c r="F155" s="18">
        <f>IF(ISNUMBER(D155), $B172 * E155, "")</f>
        <v>840.33613445378148</v>
      </c>
      <c r="G155" s="31">
        <v>122</v>
      </c>
      <c r="H155" s="32">
        <f t="shared" si="79"/>
        <v>2.5210084033613446E-2</v>
      </c>
      <c r="I155" s="101">
        <f>IF(ISNUMBER(G155), $B172 * H155, "")</f>
        <v>2521.0084033613448</v>
      </c>
      <c r="J155" s="15">
        <v>118</v>
      </c>
      <c r="K155" s="32">
        <f t="shared" si="80"/>
        <v>-8.4033613445378148E-3</v>
      </c>
      <c r="L155" s="18">
        <f>IF(ISNUMBER(J155), $B172 * K155, "")</f>
        <v>-840.33613445378148</v>
      </c>
      <c r="M155" s="31">
        <v>120</v>
      </c>
      <c r="N155" s="32">
        <f t="shared" si="81"/>
        <v>8.4033613445378148E-3</v>
      </c>
      <c r="O155" s="18">
        <f>IF(ISNUMBER(M155), $B172 * N155, "")</f>
        <v>840.33613445378148</v>
      </c>
      <c r="Q155" s="227"/>
      <c r="R155" s="227"/>
      <c r="S155" s="227"/>
    </row>
    <row r="156" spans="1:19" ht="17.25" thickBot="1">
      <c r="A156" s="127" t="s">
        <v>194</v>
      </c>
      <c r="B156" s="128">
        <v>167</v>
      </c>
      <c r="C156" s="78">
        <v>6.0240963999999998E-3</v>
      </c>
      <c r="D156" s="20">
        <v>165</v>
      </c>
      <c r="E156" s="21">
        <f t="shared" si="78"/>
        <v>-1.1976047904191617E-2</v>
      </c>
      <c r="F156" s="22">
        <f>IF(ISNUMBER(D156), $B172 * E156, "")</f>
        <v>-1197.6047904191616</v>
      </c>
      <c r="G156" s="30">
        <v>162</v>
      </c>
      <c r="H156" s="21">
        <f t="shared" si="79"/>
        <v>-2.9940119760479042E-2</v>
      </c>
      <c r="I156" s="105">
        <f>IF(ISNUMBER(G156), $B172 * H156, "")</f>
        <v>-2994.0119760479042</v>
      </c>
      <c r="J156" s="20">
        <v>158</v>
      </c>
      <c r="K156" s="21">
        <f t="shared" si="80"/>
        <v>-5.3892215568862277E-2</v>
      </c>
      <c r="L156" s="22">
        <f>IF(ISNUMBER(J156), $B172 * K156, "")</f>
        <v>-5389.2215568862275</v>
      </c>
      <c r="M156" s="30">
        <v>163</v>
      </c>
      <c r="N156" s="21">
        <f t="shared" si="81"/>
        <v>-2.3952095808383235E-2</v>
      </c>
      <c r="O156" s="22">
        <f>IF(ISNUMBER(M156), $B172 * N156, "")</f>
        <v>-2395.2095808383233</v>
      </c>
      <c r="Q156" s="227"/>
      <c r="R156" s="227"/>
      <c r="S156" s="227"/>
    </row>
    <row r="157" spans="1:19" ht="17.25" thickBot="1">
      <c r="A157" s="125" t="s">
        <v>86</v>
      </c>
      <c r="B157" s="129">
        <v>485</v>
      </c>
      <c r="C157" s="80">
        <v>2.0661157000000001E-3</v>
      </c>
      <c r="D157" s="106">
        <v>484</v>
      </c>
      <c r="E157" s="107">
        <f>IF(ISNUMBER(D157), (D157 - $B157) / $B157, "")</f>
        <v>-2.0618556701030928E-3</v>
      </c>
      <c r="F157" s="108">
        <f>IF(ISNUMBER(D157), $B172 * E157, "")</f>
        <v>-206.18556701030928</v>
      </c>
      <c r="G157" s="109">
        <v>507</v>
      </c>
      <c r="H157" s="107">
        <f>IF(ISNUMBER(G157), (G157 - $B157) / $B157, "")</f>
        <v>4.536082474226804E-2</v>
      </c>
      <c r="I157" s="110">
        <f>IF(ISNUMBER(G157), $B172 * H157, "")</f>
        <v>4536.0824742268042</v>
      </c>
      <c r="J157" s="106">
        <v>479</v>
      </c>
      <c r="K157" s="107">
        <f>IF(ISNUMBER(J157), (J157 - $B157) / $B157, "")</f>
        <v>-1.2371134020618556E-2</v>
      </c>
      <c r="L157" s="108">
        <f>IF(ISNUMBER(J157), $B172 * K157, "")</f>
        <v>-1237.1134020618556</v>
      </c>
      <c r="M157" s="109">
        <v>490</v>
      </c>
      <c r="N157" s="107">
        <f>IF(ISNUMBER(M157), (M157 - $B157) / $B157, "")</f>
        <v>1.0309278350515464E-2</v>
      </c>
      <c r="O157" s="108">
        <f>IF(ISNUMBER(M157), $B172 * N157, "")</f>
        <v>1030.9278350515465</v>
      </c>
      <c r="Q157" s="227"/>
      <c r="R157" s="227"/>
      <c r="S157" s="227"/>
    </row>
    <row r="158" spans="1:19" ht="17.25" thickBot="1">
      <c r="A158" s="125" t="s">
        <v>110</v>
      </c>
      <c r="B158" s="126">
        <v>225</v>
      </c>
      <c r="C158" s="77">
        <v>-4.4247788000000001E-3</v>
      </c>
      <c r="D158" s="15">
        <v>233</v>
      </c>
      <c r="E158" s="32">
        <f t="shared" ref="E158:E161" si="82">IF(ISNUMBER(D158), (D158 - $B158) / $B158, "")</f>
        <v>3.5555555555555556E-2</v>
      </c>
      <c r="F158" s="18">
        <f>IF(ISNUMBER(D158), $B172 * E158, "")</f>
        <v>3555.5555555555557</v>
      </c>
      <c r="G158" s="31">
        <v>227</v>
      </c>
      <c r="H158" s="32">
        <f t="shared" ref="H158:H161" si="83">IF(ISNUMBER(G158), (G158 - $B158) / $B158, "")</f>
        <v>8.8888888888888889E-3</v>
      </c>
      <c r="I158" s="101">
        <f>IF(ISNUMBER(G158), $B172 * H158, "")</f>
        <v>888.88888888888891</v>
      </c>
      <c r="J158" s="15">
        <v>225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226</v>
      </c>
      <c r="N158" s="32">
        <f t="shared" ref="N158:N161" si="85">IF(ISNUMBER(M158), (M158 - $B158) / $B158, "")</f>
        <v>4.4444444444444444E-3</v>
      </c>
      <c r="O158" s="18">
        <f>IF(ISNUMBER(M158), $B172 * N158, "")</f>
        <v>444.44444444444446</v>
      </c>
      <c r="Q158" s="227"/>
      <c r="R158" s="227"/>
      <c r="S158" s="227"/>
    </row>
    <row r="159" spans="1:19" ht="17.25" thickBot="1">
      <c r="A159" s="125" t="s">
        <v>222</v>
      </c>
      <c r="B159" s="126">
        <v>213</v>
      </c>
      <c r="C159" s="77">
        <v>-1.84331797E-2</v>
      </c>
      <c r="D159" s="15">
        <v>221</v>
      </c>
      <c r="E159" s="32">
        <f t="shared" si="82"/>
        <v>3.7558685446009391E-2</v>
      </c>
      <c r="F159" s="18">
        <f>IF(ISNUMBER(D159), $B172 * E159, "")</f>
        <v>3755.868544600939</v>
      </c>
      <c r="G159" s="31">
        <v>216</v>
      </c>
      <c r="H159" s="32">
        <f t="shared" si="83"/>
        <v>1.4084507042253521E-2</v>
      </c>
      <c r="I159" s="101">
        <f>IF(ISNUMBER(G159), $B172 * H159, "")</f>
        <v>1408.4507042253522</v>
      </c>
      <c r="J159" s="15">
        <v>213</v>
      </c>
      <c r="K159" s="32">
        <f t="shared" si="84"/>
        <v>0</v>
      </c>
      <c r="L159" s="18">
        <f>IF(ISNUMBER(J159), $B172 * K159, "")</f>
        <v>0</v>
      </c>
      <c r="M159" s="31">
        <v>219</v>
      </c>
      <c r="N159" s="32">
        <f t="shared" si="85"/>
        <v>2.8169014084507043E-2</v>
      </c>
      <c r="O159" s="18">
        <f>IF(ISNUMBER(M159), $B172 * N159, "")</f>
        <v>2816.9014084507044</v>
      </c>
      <c r="Q159" s="227"/>
      <c r="R159" s="227"/>
      <c r="S159" s="227"/>
    </row>
    <row r="160" spans="1:19" ht="17.25" thickBot="1">
      <c r="A160" s="125" t="s">
        <v>166</v>
      </c>
      <c r="B160" s="126">
        <v>286</v>
      </c>
      <c r="C160" s="77">
        <v>-3.0508474599999998E-2</v>
      </c>
      <c r="D160" s="15">
        <v>288</v>
      </c>
      <c r="E160" s="32">
        <f t="shared" si="82"/>
        <v>6.993006993006993E-3</v>
      </c>
      <c r="F160" s="18">
        <f>IF(ISNUMBER(D160), $B172 * E160, "")</f>
        <v>699.30069930069931</v>
      </c>
      <c r="G160" s="31">
        <v>283</v>
      </c>
      <c r="H160" s="32">
        <f t="shared" si="83"/>
        <v>-1.048951048951049E-2</v>
      </c>
      <c r="I160" s="101">
        <f>IF(ISNUMBER(G160), $B172 * H160, "")</f>
        <v>-1048.951048951049</v>
      </c>
      <c r="J160" s="15">
        <v>275</v>
      </c>
      <c r="K160" s="32">
        <f t="shared" si="84"/>
        <v>-3.8461538461538464E-2</v>
      </c>
      <c r="L160" s="18">
        <f>IF(ISNUMBER(J160), $B172 * K160, "")</f>
        <v>-3846.1538461538462</v>
      </c>
      <c r="M160" s="31">
        <v>284</v>
      </c>
      <c r="N160" s="32">
        <f t="shared" si="85"/>
        <v>-6.993006993006993E-3</v>
      </c>
      <c r="O160" s="18">
        <f>IF(ISNUMBER(M160), $B172 * N160, "")</f>
        <v>-699.30069930069931</v>
      </c>
      <c r="Q160" s="33"/>
      <c r="R160" s="33"/>
    </row>
    <row r="161" spans="1:19" ht="17.25" thickBot="1">
      <c r="A161" s="130" t="s">
        <v>230</v>
      </c>
      <c r="B161" s="131">
        <v>419</v>
      </c>
      <c r="C161" s="79">
        <v>-3.6781609200000003E-2</v>
      </c>
      <c r="D161" s="24">
        <v>413</v>
      </c>
      <c r="E161" s="25">
        <f t="shared" si="82"/>
        <v>-1.4319809069212411E-2</v>
      </c>
      <c r="F161" s="104">
        <f>IF(ISNUMBER(D161), $B172 * E161, "")</f>
        <v>-1431.9809069212411</v>
      </c>
      <c r="G161" s="102">
        <v>412</v>
      </c>
      <c r="H161" s="25">
        <f t="shared" si="83"/>
        <v>-1.6706443914081145E-2</v>
      </c>
      <c r="I161" s="103">
        <f>IF(ISNUMBER(G161), $B172 * H161, "")</f>
        <v>-1670.6443914081146</v>
      </c>
      <c r="J161" s="24">
        <v>403</v>
      </c>
      <c r="K161" s="25">
        <f t="shared" si="84"/>
        <v>-3.8186157517899763E-2</v>
      </c>
      <c r="L161" s="104">
        <f>IF(ISNUMBER(J161), $B172 * K161, "")</f>
        <v>-3818.6157517899765</v>
      </c>
      <c r="M161" s="102">
        <v>407</v>
      </c>
      <c r="N161" s="25">
        <f t="shared" si="85"/>
        <v>-2.8639618138424822E-2</v>
      </c>
      <c r="O161" s="104">
        <f>IF(ISNUMBER(M161), $B172 * N161, "")</f>
        <v>-2863.9618138424821</v>
      </c>
      <c r="Q161" s="236"/>
      <c r="R161" s="237"/>
      <c r="S161" s="238"/>
    </row>
    <row r="162" spans="1:19">
      <c r="A162" s="123" t="s">
        <v>54</v>
      </c>
      <c r="B162" s="124">
        <v>351</v>
      </c>
      <c r="C162" s="76">
        <v>-4.6195652199999999E-2</v>
      </c>
      <c r="D162" s="13">
        <v>355</v>
      </c>
      <c r="E162" s="14">
        <f>IF(ISNUMBER(D162), (D162 - $B162) / $B162, "")</f>
        <v>1.1396011396011397E-2</v>
      </c>
      <c r="F162" s="16">
        <f>IF(ISNUMBER(D162), $B172 * E162, "")</f>
        <v>1139.6011396011397</v>
      </c>
      <c r="G162" s="29">
        <v>361</v>
      </c>
      <c r="H162" s="14">
        <f>IF(ISNUMBER(G162), (G162 - $B162) / $B162, "")</f>
        <v>2.8490028490028491E-2</v>
      </c>
      <c r="I162" s="100">
        <f>IF(ISNUMBER(G162), $B172 * H162, "")</f>
        <v>2849.002849002849</v>
      </c>
      <c r="J162" s="13">
        <v>345</v>
      </c>
      <c r="K162" s="14">
        <f>IF(ISNUMBER(J162), (J162 - $B162) / $B162, "")</f>
        <v>-1.7094017094017096E-2</v>
      </c>
      <c r="L162" s="16">
        <f>IF(ISNUMBER(J162), $B172 * K162, "")</f>
        <v>-1709.4017094017095</v>
      </c>
      <c r="M162" s="29">
        <v>355</v>
      </c>
      <c r="N162" s="14">
        <f>IF(ISNUMBER(M162), (M162 - $B162) / $B162, "")</f>
        <v>1.1396011396011397E-2</v>
      </c>
      <c r="O162" s="16">
        <f>IF(ISNUMBER(M162), $B172 * N162, "")</f>
        <v>1139.6011396011397</v>
      </c>
      <c r="Q162" s="239"/>
      <c r="R162" s="240"/>
      <c r="S162" s="241"/>
    </row>
    <row r="163" spans="1:19" ht="17.25" thickBot="1">
      <c r="A163" s="125" t="s">
        <v>238</v>
      </c>
      <c r="B163" s="126">
        <v>160</v>
      </c>
      <c r="C163" s="77">
        <v>-4.7619047599999999E-2</v>
      </c>
      <c r="D163" s="15">
        <v>155</v>
      </c>
      <c r="E163" s="32">
        <f t="shared" ref="E163:E166" si="86">IF(ISNUMBER(D163), (D163 - $B163) / $B163, "")</f>
        <v>-3.125E-2</v>
      </c>
      <c r="F163" s="18">
        <f>IF(ISNUMBER(D163), $B172 * E163, "")</f>
        <v>-3125</v>
      </c>
      <c r="G163" s="31">
        <v>151</v>
      </c>
      <c r="H163" s="32">
        <f t="shared" ref="H163:H166" si="87">IF(ISNUMBER(G163), (G163 - $B163) / $B163, "")</f>
        <v>-5.6250000000000001E-2</v>
      </c>
      <c r="I163" s="101">
        <f>IF(ISNUMBER(G163), $B172 * H163, "")</f>
        <v>-5625</v>
      </c>
      <c r="J163" s="15">
        <v>149</v>
      </c>
      <c r="K163" s="32">
        <f t="shared" ref="K163:K166" si="88">IF(ISNUMBER(J163), (J163 - $B163) / $B163, "")</f>
        <v>-6.8750000000000006E-2</v>
      </c>
      <c r="L163" s="18">
        <f>IF(ISNUMBER(J163), $B172 * K163, "")</f>
        <v>-6875.0000000000009</v>
      </c>
      <c r="M163" s="31">
        <v>153</v>
      </c>
      <c r="N163" s="32">
        <f t="shared" ref="N163:N166" si="89">IF(ISNUMBER(M163), (M163 - $B163) / $B163, "")</f>
        <v>-4.3749999999999997E-2</v>
      </c>
      <c r="O163" s="18">
        <f>IF(ISNUMBER(M163), $B172 * N163, "")</f>
        <v>-4375</v>
      </c>
      <c r="Q163" s="242"/>
      <c r="R163" s="243"/>
      <c r="S163" s="244"/>
    </row>
    <row r="164" spans="1:19" ht="17.25" thickBot="1">
      <c r="A164" s="125" t="s">
        <v>218</v>
      </c>
      <c r="B164" s="126">
        <v>167</v>
      </c>
      <c r="C164" s="77">
        <v>-6.1797752800000001E-2</v>
      </c>
      <c r="D164" s="15">
        <v>175</v>
      </c>
      <c r="E164" s="32">
        <f t="shared" si="86"/>
        <v>4.790419161676647E-2</v>
      </c>
      <c r="F164" s="18">
        <f>IF(ISNUMBER(D164), $B172 * E164, "")</f>
        <v>4790.4191616766466</v>
      </c>
      <c r="G164" s="31">
        <v>166</v>
      </c>
      <c r="H164" s="32">
        <f t="shared" si="87"/>
        <v>-5.9880239520958087E-3</v>
      </c>
      <c r="I164" s="101">
        <f>IF(ISNUMBER(G164), $B172 * H164, "")</f>
        <v>-598.80239520958082</v>
      </c>
      <c r="J164" s="15">
        <v>162</v>
      </c>
      <c r="K164" s="32">
        <f t="shared" si="88"/>
        <v>-2.9940119760479042E-2</v>
      </c>
      <c r="L164" s="18">
        <f>IF(ISNUMBER(J164), $B172 * K164, "")</f>
        <v>-2994.0119760479042</v>
      </c>
      <c r="M164" s="31">
        <v>168</v>
      </c>
      <c r="N164" s="32">
        <f t="shared" si="89"/>
        <v>5.9880239520958087E-3</v>
      </c>
      <c r="O164" s="18">
        <f>IF(ISNUMBER(M164), $B172 * N164, "")</f>
        <v>598.80239520958082</v>
      </c>
      <c r="Q164" s="227"/>
      <c r="R164" s="227"/>
      <c r="S164" s="227"/>
    </row>
    <row r="165" spans="1:19" ht="17.25" thickBot="1">
      <c r="A165" s="125" t="s">
        <v>236</v>
      </c>
      <c r="B165" s="126">
        <v>814</v>
      </c>
      <c r="C165" s="77">
        <v>-8.1264108400000007E-2</v>
      </c>
      <c r="D165" s="15">
        <v>809</v>
      </c>
      <c r="E165" s="32">
        <f t="shared" si="86"/>
        <v>-6.1425061425061421E-3</v>
      </c>
      <c r="F165" s="18">
        <f>IF(ISNUMBER(D165), $B172 * E165, "")</f>
        <v>-614.25061425061426</v>
      </c>
      <c r="G165" s="31">
        <v>804</v>
      </c>
      <c r="H165" s="32">
        <f t="shared" si="87"/>
        <v>-1.2285012285012284E-2</v>
      </c>
      <c r="I165" s="101">
        <f>IF(ISNUMBER(G165), $B172 * H165, "")</f>
        <v>-1228.5012285012285</v>
      </c>
      <c r="J165" s="15">
        <v>794</v>
      </c>
      <c r="K165" s="32">
        <f t="shared" si="88"/>
        <v>-2.4570024570024569E-2</v>
      </c>
      <c r="L165" s="18">
        <f>IF(ISNUMBER(J165), $B172 * K165, "")</f>
        <v>-2457.002457002457</v>
      </c>
      <c r="M165" s="31">
        <v>820</v>
      </c>
      <c r="N165" s="32">
        <f t="shared" si="89"/>
        <v>7.3710073710073713E-3</v>
      </c>
      <c r="O165" s="18">
        <f>IF(ISNUMBER(M165), $B172 * N165, "")</f>
        <v>737.10073710073709</v>
      </c>
      <c r="Q165" s="222"/>
      <c r="R165" s="222"/>
      <c r="S165" s="222"/>
    </row>
    <row r="166" spans="1:19" ht="17.25" thickBot="1">
      <c r="A166" s="127" t="s">
        <v>242</v>
      </c>
      <c r="B166" s="128">
        <v>693</v>
      </c>
      <c r="C166" s="78">
        <v>-0.13913043480000001</v>
      </c>
      <c r="D166" s="20">
        <v>706</v>
      </c>
      <c r="E166" s="21">
        <f t="shared" si="86"/>
        <v>1.875901875901876E-2</v>
      </c>
      <c r="F166" s="22">
        <f>IF(ISNUMBER(D166), $B172 * E166, "")</f>
        <v>1875.9018759018759</v>
      </c>
      <c r="G166" s="30">
        <v>693</v>
      </c>
      <c r="H166" s="21">
        <f t="shared" si="87"/>
        <v>0</v>
      </c>
      <c r="I166" s="105">
        <f>IF(ISNUMBER(G166), $B172 * H166, "")</f>
        <v>0</v>
      </c>
      <c r="J166" s="20">
        <v>706</v>
      </c>
      <c r="K166" s="21">
        <f t="shared" si="88"/>
        <v>1.875901875901876E-2</v>
      </c>
      <c r="L166" s="22">
        <f>IF(ISNUMBER(J166), $B172 * K166, "")</f>
        <v>1875.9018759018759</v>
      </c>
      <c r="M166" s="30">
        <v>755</v>
      </c>
      <c r="N166" s="21">
        <f t="shared" si="89"/>
        <v>8.9466089466089471E-2</v>
      </c>
      <c r="O166" s="22">
        <f>IF(ISNUMBER(M166), $B172 * N166, "")</f>
        <v>8946.608946608947</v>
      </c>
      <c r="Q166" s="222"/>
      <c r="R166" s="222"/>
      <c r="S166" s="222"/>
    </row>
    <row r="167" spans="1:19" ht="17.25" thickBot="1">
      <c r="A167" s="125" t="s">
        <v>232</v>
      </c>
      <c r="B167" s="129">
        <v>875</v>
      </c>
      <c r="C167" s="80">
        <v>-0.1421568627</v>
      </c>
      <c r="D167" s="106">
        <v>884</v>
      </c>
      <c r="E167" s="107">
        <f>IF(ISNUMBER(D167), (D167 - $B167) / $B167, "")</f>
        <v>1.0285714285714285E-2</v>
      </c>
      <c r="F167" s="108">
        <f>IF(ISNUMBER(D167), $B172 * E167, "")</f>
        <v>1028.5714285714284</v>
      </c>
      <c r="G167" s="109">
        <v>878</v>
      </c>
      <c r="H167" s="107">
        <f>IF(ISNUMBER(G167), (G167 - $B167) / $B167, "")</f>
        <v>3.4285714285714284E-3</v>
      </c>
      <c r="I167" s="110">
        <f>IF(ISNUMBER(G167), $B172 * H167, "")</f>
        <v>342.85714285714283</v>
      </c>
      <c r="J167" s="106">
        <v>921</v>
      </c>
      <c r="K167" s="107">
        <f>IF(ISNUMBER(J167), (J167 - $B167) / $B167, "")</f>
        <v>5.2571428571428575E-2</v>
      </c>
      <c r="L167" s="108">
        <f>IF(ISNUMBER(J167), $B172 * K167, "")</f>
        <v>5257.1428571428578</v>
      </c>
      <c r="M167" s="109">
        <v>911</v>
      </c>
      <c r="N167" s="107">
        <f>IF(ISNUMBER(M167), (M167 - $B167) / $B167, "")</f>
        <v>4.1142857142857141E-2</v>
      </c>
      <c r="O167" s="108">
        <f>IF(ISNUMBER(M167), $B172 * N167, "")</f>
        <v>4114.2857142857138</v>
      </c>
      <c r="Q167" s="227"/>
      <c r="R167" s="227"/>
      <c r="S167" s="227"/>
    </row>
    <row r="168" spans="1:19" ht="17.25" thickBot="1">
      <c r="A168" s="125" t="s">
        <v>164</v>
      </c>
      <c r="B168" s="126">
        <v>765</v>
      </c>
      <c r="C168" s="77">
        <v>-0.1509433962</v>
      </c>
      <c r="D168" s="15">
        <v>811</v>
      </c>
      <c r="E168" s="32">
        <f t="shared" ref="E168:E171" si="90">IF(ISNUMBER(D168), (D168 - $B168) / $B168, "")</f>
        <v>6.0130718954248367E-2</v>
      </c>
      <c r="F168" s="18">
        <f>IF(ISNUMBER(D168), $B172 * E168, "")</f>
        <v>6013.0718954248368</v>
      </c>
      <c r="G168" s="31">
        <v>791</v>
      </c>
      <c r="H168" s="32">
        <f t="shared" ref="H168:H171" si="91">IF(ISNUMBER(G168), (G168 - $B168) / $B168, "")</f>
        <v>3.3986928104575161E-2</v>
      </c>
      <c r="I168" s="101">
        <f>IF(ISNUMBER(G168), $B172 * H168, "")</f>
        <v>3398.6928104575159</v>
      </c>
      <c r="J168" s="15">
        <v>933</v>
      </c>
      <c r="K168" s="32">
        <f t="shared" ref="K168:K171" si="92">IF(ISNUMBER(J168), (J168 - $B168) / $B168, "")</f>
        <v>0.2196078431372549</v>
      </c>
      <c r="L168" s="18">
        <f>IF(ISNUMBER(J168), $B172 * K168, "")</f>
        <v>21960.784313725489</v>
      </c>
      <c r="M168" s="31">
        <v>1000</v>
      </c>
      <c r="N168" s="32">
        <f t="shared" ref="N168:N171" si="93">IF(ISNUMBER(M168), (M168 - $B168) / $B168, "")</f>
        <v>0.30718954248366015</v>
      </c>
      <c r="O168" s="18">
        <f>IF(ISNUMBER(M168), $B172 * N168, "")</f>
        <v>30718.954248366015</v>
      </c>
      <c r="Q168" s="227"/>
      <c r="R168" s="227"/>
      <c r="S168" s="227"/>
    </row>
    <row r="169" spans="1:19" ht="17.25" thickBot="1">
      <c r="A169" s="125" t="s">
        <v>174</v>
      </c>
      <c r="B169" s="126">
        <v>489</v>
      </c>
      <c r="C169" s="77">
        <v>-0.15544041450000001</v>
      </c>
      <c r="D169" s="15">
        <v>489</v>
      </c>
      <c r="E169" s="32">
        <f t="shared" si="90"/>
        <v>0</v>
      </c>
      <c r="F169" s="18">
        <f>IF(ISNUMBER(D169), $B172 * E169, "")</f>
        <v>0</v>
      </c>
      <c r="G169" s="31">
        <v>474</v>
      </c>
      <c r="H169" s="32">
        <f t="shared" si="91"/>
        <v>-3.0674846625766871E-2</v>
      </c>
      <c r="I169" s="101">
        <f>IF(ISNUMBER(G169), $B172 * H169, "")</f>
        <v>-3067.4846625766872</v>
      </c>
      <c r="J169" s="15">
        <v>483</v>
      </c>
      <c r="K169" s="32">
        <f t="shared" si="92"/>
        <v>-1.2269938650306749E-2</v>
      </c>
      <c r="L169" s="18">
        <f>IF(ISNUMBER(J169), $B172 * K169, "")</f>
        <v>-1226.9938650306749</v>
      </c>
      <c r="M169" s="31">
        <v>487</v>
      </c>
      <c r="N169" s="32">
        <f t="shared" si="93"/>
        <v>-4.0899795501022499E-3</v>
      </c>
      <c r="O169" s="18">
        <f>IF(ISNUMBER(M169), $B172 * N169, "")</f>
        <v>-408.99795501022498</v>
      </c>
      <c r="Q169" s="227"/>
      <c r="R169" s="227"/>
      <c r="S169" s="227"/>
    </row>
    <row r="170" spans="1:19">
      <c r="A170" s="125" t="s">
        <v>206</v>
      </c>
      <c r="B170" s="126">
        <v>860</v>
      </c>
      <c r="C170" s="77">
        <v>-0.1770334928</v>
      </c>
      <c r="D170" s="15">
        <v>862</v>
      </c>
      <c r="E170" s="32">
        <f t="shared" si="90"/>
        <v>2.3255813953488372E-3</v>
      </c>
      <c r="F170" s="18">
        <f>IF(ISNUMBER(D170), $B172 * E170, "")</f>
        <v>232.55813953488371</v>
      </c>
      <c r="G170" s="31">
        <v>838</v>
      </c>
      <c r="H170" s="32">
        <f t="shared" si="91"/>
        <v>-2.5581395348837209E-2</v>
      </c>
      <c r="I170" s="101">
        <f>IF(ISNUMBER(G170), $B172 * H170, "")</f>
        <v>-2558.1395348837209</v>
      </c>
      <c r="J170" s="15">
        <v>896</v>
      </c>
      <c r="K170" s="32">
        <f t="shared" si="92"/>
        <v>4.1860465116279069E-2</v>
      </c>
      <c r="L170" s="18">
        <f>IF(ISNUMBER(J170), $B172 * K170, "")</f>
        <v>4186.0465116279065</v>
      </c>
      <c r="M170" s="31">
        <v>928</v>
      </c>
      <c r="N170" s="32">
        <f t="shared" si="93"/>
        <v>7.9069767441860464E-2</v>
      </c>
      <c r="O170" s="18">
        <f>IF(ISNUMBER(M170), $B172 * N170, "")</f>
        <v>7906.9767441860467</v>
      </c>
      <c r="Q170" s="249"/>
      <c r="R170" s="250"/>
      <c r="S170" s="251"/>
    </row>
    <row r="171" spans="1:19" ht="17.25" thickBot="1">
      <c r="A171" s="130" t="s">
        <v>124</v>
      </c>
      <c r="B171" s="131">
        <v>770</v>
      </c>
      <c r="C171" s="79">
        <v>-0.296803653</v>
      </c>
      <c r="D171" s="24">
        <v>735</v>
      </c>
      <c r="E171" s="25">
        <f t="shared" si="90"/>
        <v>-4.5454545454545456E-2</v>
      </c>
      <c r="F171" s="104">
        <f>IF(ISNUMBER(D171), $B172 * E171, "")</f>
        <v>-4545.454545454546</v>
      </c>
      <c r="G171" s="102">
        <v>726</v>
      </c>
      <c r="H171" s="25">
        <f t="shared" si="91"/>
        <v>-5.7142857142857141E-2</v>
      </c>
      <c r="I171" s="103">
        <f>IF(ISNUMBER(G171), $B172 * H171, "")</f>
        <v>-5714.2857142857138</v>
      </c>
      <c r="J171" s="24">
        <v>700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730</v>
      </c>
      <c r="N171" s="25">
        <f t="shared" si="93"/>
        <v>-5.1948051948051951E-2</v>
      </c>
      <c r="O171" s="104">
        <f>IF(ISNUMBER(M171), $B172 * N171, "")</f>
        <v>-5194.8051948051952</v>
      </c>
      <c r="Q171" s="252"/>
      <c r="R171" s="253"/>
      <c r="S171" s="254"/>
    </row>
    <row r="172" spans="1:19" ht="17.25" thickBot="1">
      <c r="A172" s="132" t="s">
        <v>270</v>
      </c>
      <c r="B172" s="260">
        <f>$B$37</f>
        <v>100000</v>
      </c>
      <c r="C172" s="261"/>
      <c r="D172" s="26" t="s">
        <v>271</v>
      </c>
      <c r="E172" s="27">
        <f>IF(COUNT(E152:E171), SUM(E152:E171) / COUNT(E152:E171), 0)</f>
        <v>2.8759133613565808E-3</v>
      </c>
      <c r="F172" s="28">
        <f>SUM(F152:F171)</f>
        <v>5751.8267227131619</v>
      </c>
      <c r="G172" s="26" t="s">
        <v>271</v>
      </c>
      <c r="H172" s="27">
        <f>IF(COUNT(H152:H171), SUM(H152:H171) / COUNT(H152:H171), 0)</f>
        <v>-7.3008019452730291E-3</v>
      </c>
      <c r="I172" s="28">
        <f>SUM(I152:I171)</f>
        <v>-14601.603890546061</v>
      </c>
      <c r="J172" s="26" t="s">
        <v>271</v>
      </c>
      <c r="K172" s="27">
        <f>IF(COUNT(K152:K171), SUM(K152:K171) / COUNT(K152:K171), 0)</f>
        <v>-9.4737801063198204E-3</v>
      </c>
      <c r="L172" s="28">
        <f>SUM(L152:L171)</f>
        <v>-18947.560212639648</v>
      </c>
      <c r="M172" s="26" t="s">
        <v>271</v>
      </c>
      <c r="N172" s="27">
        <f>IF(COUNT(N152:N171), SUM(N152:N171) / COUNT(N152:N171), 0)</f>
        <v>1.9105083486308658E-2</v>
      </c>
      <c r="O172" s="28">
        <f>SUM(O152:O171)</f>
        <v>38210.16697261732</v>
      </c>
      <c r="Q172" s="255"/>
      <c r="R172" s="256"/>
      <c r="S172" s="257"/>
    </row>
    <row r="174" spans="1:19" ht="17.25" thickBot="1"/>
    <row r="175" spans="1:19" ht="17.25" thickBot="1">
      <c r="A175" s="201" t="s">
        <v>255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77" t="s">
        <v>267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55149000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2.1442459999999998E-3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2021-09-06(월) 오전 00:00</v>
      </c>
      <c r="C177" s="265"/>
      <c r="D177" s="224" t="str">
        <f>TEXT($G$1, "[$-ko-KR]yyyy-mm-dd(ddd) ") &amp; "오후 14:00"</f>
        <v>2021-09-06(월) 오후 14:00</v>
      </c>
      <c r="E177" s="225"/>
      <c r="F177" s="226"/>
      <c r="G177" s="224" t="str">
        <f>TEXT($G$1, "[$-ko-KR]yyyy-mm-dd(ddd) ") &amp; "오후 19:00"</f>
        <v>2021-09-06(월) 오후 19:00</v>
      </c>
      <c r="H177" s="225"/>
      <c r="I177" s="226"/>
      <c r="J177" s="224" t="str">
        <f>TEXT($G$1, "[$-ko-KR]yyyy-mm-dd(ddd) ") &amp; "오후 21:00"</f>
        <v>2021-09-06(월) 오후 21:00</v>
      </c>
      <c r="K177" s="225"/>
      <c r="L177" s="226"/>
      <c r="M177" s="224" t="str">
        <f>TEXT($G$1+1, "[$-ko-KR]yyyy-mm-dd(ddd) ") &amp; "오전 00:00"</f>
        <v>2021-09-07(화)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7"/>
      <c r="R178" s="227"/>
      <c r="S178" s="227"/>
    </row>
    <row r="179" spans="1:19" ht="17.25" thickBot="1">
      <c r="A179" s="123" t="s">
        <v>114</v>
      </c>
      <c r="B179" s="124">
        <v>1125</v>
      </c>
      <c r="C179" s="76">
        <v>-3.0172413799999999E-2</v>
      </c>
      <c r="D179" s="13">
        <v>1130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1125</v>
      </c>
      <c r="H179" s="14">
        <f>IF(ISNUMBER(G179), (G179 - $B179) / $B179, "")</f>
        <v>0</v>
      </c>
      <c r="I179" s="100">
        <f>IF(ISNUMBER(G179), $B199 * H179, "")</f>
        <v>0</v>
      </c>
      <c r="J179" s="13">
        <v>1065</v>
      </c>
      <c r="K179" s="14">
        <f>IF(ISNUMBER(J179), (J179 - $B179) / $B179, "")</f>
        <v>-5.3333333333333337E-2</v>
      </c>
      <c r="L179" s="16">
        <f>IF(ISNUMBER(J179), $B199 * K179, "")</f>
        <v>-5333.3333333333339</v>
      </c>
      <c r="M179" s="29">
        <v>1090</v>
      </c>
      <c r="N179" s="14">
        <f>IF(ISNUMBER(M179), (M179 - $B179) / $B179, "")</f>
        <v>-3.111111111111111E-2</v>
      </c>
      <c r="O179" s="16">
        <f>IF(ISNUMBER(M179), $B199 * N179, "")</f>
        <v>-3111.1111111111109</v>
      </c>
      <c r="Q179" s="222"/>
      <c r="R179" s="222"/>
      <c r="S179" s="222"/>
    </row>
    <row r="180" spans="1:19" ht="17.25" thickBot="1">
      <c r="A180" s="125" t="s">
        <v>166</v>
      </c>
      <c r="B180" s="126">
        <v>286</v>
      </c>
      <c r="C180" s="77">
        <v>-3.0508474599999998E-2</v>
      </c>
      <c r="D180" s="15">
        <v>288</v>
      </c>
      <c r="E180" s="32">
        <f t="shared" ref="E180:E183" si="94">IF(ISNUMBER(D180), (D180 - $B180) / $B180, "")</f>
        <v>6.993006993006993E-3</v>
      </c>
      <c r="F180" s="18">
        <f>IF(ISNUMBER(D180), $B199 * E180, "")</f>
        <v>699.30069930069931</v>
      </c>
      <c r="G180" s="31">
        <v>283</v>
      </c>
      <c r="H180" s="32">
        <f t="shared" ref="H180:H183" si="95">IF(ISNUMBER(G180), (G180 - $B180) / $B180, "")</f>
        <v>-1.048951048951049E-2</v>
      </c>
      <c r="I180" s="101">
        <f>IF(ISNUMBER(G180), $B199 * H180, "")</f>
        <v>-1048.951048951049</v>
      </c>
      <c r="J180" s="15">
        <v>275</v>
      </c>
      <c r="K180" s="32">
        <f t="shared" ref="K180:K183" si="96">IF(ISNUMBER(J180), (J180 - $B180) / $B180, "")</f>
        <v>-3.8461538461538464E-2</v>
      </c>
      <c r="L180" s="18">
        <f>IF(ISNUMBER(J180), $B199 * K180, "")</f>
        <v>-3846.1538461538462</v>
      </c>
      <c r="M180" s="31">
        <v>284</v>
      </c>
      <c r="N180" s="32">
        <f t="shared" ref="N180:N183" si="97">IF(ISNUMBER(M180), (M180 - $B180) / $B180, "")</f>
        <v>-6.993006993006993E-3</v>
      </c>
      <c r="O180" s="18">
        <f>IF(ISNUMBER(M180), $B199 * N180, "")</f>
        <v>-699.30069930069931</v>
      </c>
      <c r="Q180" s="222"/>
      <c r="R180" s="222"/>
      <c r="S180" s="222"/>
    </row>
    <row r="181" spans="1:19" ht="17.25" thickBot="1">
      <c r="A181" s="125" t="s">
        <v>88</v>
      </c>
      <c r="B181" s="126">
        <v>270550</v>
      </c>
      <c r="C181" s="77">
        <v>-3.30593281E-2</v>
      </c>
      <c r="D181" s="15">
        <v>270700</v>
      </c>
      <c r="E181" s="32">
        <f t="shared" si="94"/>
        <v>5.5442616891517276E-4</v>
      </c>
      <c r="F181" s="18">
        <f>IF(ISNUMBER(D181), $B199 * E181, "")</f>
        <v>55.442616891517275</v>
      </c>
      <c r="G181" s="31">
        <v>272450</v>
      </c>
      <c r="H181" s="32">
        <f t="shared" si="95"/>
        <v>7.0227314729255225E-3</v>
      </c>
      <c r="I181" s="101">
        <f>IF(ISNUMBER(G181), $B199 * H181, "")</f>
        <v>702.27314729255227</v>
      </c>
      <c r="J181" s="15">
        <v>266700</v>
      </c>
      <c r="K181" s="32">
        <f t="shared" si="96"/>
        <v>-1.4230271668822769E-2</v>
      </c>
      <c r="L181" s="18">
        <f>IF(ISNUMBER(J181), $B199 * K181, "")</f>
        <v>-1423.0271668822768</v>
      </c>
      <c r="M181" s="31">
        <v>275800</v>
      </c>
      <c r="N181" s="32">
        <f t="shared" si="97"/>
        <v>1.9404915912031046E-2</v>
      </c>
      <c r="O181" s="18">
        <f>IF(ISNUMBER(M181), $B199 * N181, "")</f>
        <v>1940.4915912031047</v>
      </c>
      <c r="Q181" s="227"/>
      <c r="R181" s="227"/>
      <c r="S181" s="227"/>
    </row>
    <row r="182" spans="1:19" ht="17.25" thickBot="1">
      <c r="A182" s="125" t="s">
        <v>106</v>
      </c>
      <c r="B182" s="126">
        <v>378100</v>
      </c>
      <c r="C182" s="77">
        <v>-3.3610223600000003E-2</v>
      </c>
      <c r="D182" s="15">
        <v>366700</v>
      </c>
      <c r="E182" s="32">
        <f t="shared" si="94"/>
        <v>-3.015075376884422E-2</v>
      </c>
      <c r="F182" s="18">
        <f>IF(ISNUMBER(D182), $B199 * E182, "")</f>
        <v>-3015.075376884422</v>
      </c>
      <c r="G182" s="31">
        <v>354200</v>
      </c>
      <c r="H182" s="32">
        <f t="shared" si="95"/>
        <v>-6.3210790796085686E-2</v>
      </c>
      <c r="I182" s="101">
        <f>IF(ISNUMBER(G182), $B199 * H182, "")</f>
        <v>-6321.0790796085685</v>
      </c>
      <c r="J182" s="15">
        <v>337900</v>
      </c>
      <c r="K182" s="32">
        <f t="shared" si="96"/>
        <v>-0.10632107907960857</v>
      </c>
      <c r="L182" s="18">
        <f>IF(ISNUMBER(J182), $B199 * K182, "")</f>
        <v>-10632.107907960857</v>
      </c>
      <c r="M182" s="31">
        <v>338600</v>
      </c>
      <c r="N182" s="32">
        <f t="shared" si="97"/>
        <v>-0.10446971700608304</v>
      </c>
      <c r="O182" s="18">
        <f>IF(ISNUMBER(M182), $B199 * N182, "")</f>
        <v>-10446.971700608305</v>
      </c>
      <c r="Q182" s="227"/>
      <c r="R182" s="227"/>
      <c r="S182" s="227"/>
    </row>
    <row r="183" spans="1:19" ht="17.25" thickBot="1">
      <c r="A183" s="127" t="s">
        <v>230</v>
      </c>
      <c r="B183" s="128">
        <v>419</v>
      </c>
      <c r="C183" s="78">
        <v>-3.6781609200000003E-2</v>
      </c>
      <c r="D183" s="20">
        <v>413</v>
      </c>
      <c r="E183" s="21">
        <f t="shared" si="94"/>
        <v>-1.4319809069212411E-2</v>
      </c>
      <c r="F183" s="22">
        <f>IF(ISNUMBER(D183), $B199 * E183, "")</f>
        <v>-1431.9809069212411</v>
      </c>
      <c r="G183" s="30">
        <v>412</v>
      </c>
      <c r="H183" s="21">
        <f t="shared" si="95"/>
        <v>-1.6706443914081145E-2</v>
      </c>
      <c r="I183" s="105">
        <f>IF(ISNUMBER(G183), $B199 * H183, "")</f>
        <v>-1670.6443914081146</v>
      </c>
      <c r="J183" s="20">
        <v>403</v>
      </c>
      <c r="K183" s="21">
        <f t="shared" si="96"/>
        <v>-3.8186157517899763E-2</v>
      </c>
      <c r="L183" s="22">
        <f>IF(ISNUMBER(J183), $B199 * K183, "")</f>
        <v>-3818.6157517899765</v>
      </c>
      <c r="M183" s="30">
        <v>407</v>
      </c>
      <c r="N183" s="21">
        <f t="shared" si="97"/>
        <v>-2.8639618138424822E-2</v>
      </c>
      <c r="O183" s="22">
        <f>IF(ISNUMBER(M183), $B199 * N183, "")</f>
        <v>-2863.9618138424821</v>
      </c>
      <c r="Q183" s="227"/>
      <c r="R183" s="227"/>
      <c r="S183" s="227"/>
    </row>
    <row r="184" spans="1:19" ht="17.25" thickBot="1">
      <c r="A184" s="125" t="s">
        <v>158</v>
      </c>
      <c r="B184" s="129">
        <v>33960</v>
      </c>
      <c r="C184" s="80">
        <v>-4.0677966099999997E-2</v>
      </c>
      <c r="D184" s="106">
        <v>33680</v>
      </c>
      <c r="E184" s="107">
        <f>IF(ISNUMBER(D184), (D184 - $B184) / $B184, "")</f>
        <v>-8.2449941107184919E-3</v>
      </c>
      <c r="F184" s="108">
        <f>IF(ISNUMBER(D184), $B199 * E184, "")</f>
        <v>-824.49941107184918</v>
      </c>
      <c r="G184" s="109">
        <v>34430</v>
      </c>
      <c r="H184" s="107">
        <f>IF(ISNUMBER(G184), (G184 - $B184) / $B184, "")</f>
        <v>1.3839811542991754E-2</v>
      </c>
      <c r="I184" s="110">
        <f>IF(ISNUMBER(G184), $B199 * H184, "")</f>
        <v>1383.9811542991754</v>
      </c>
      <c r="J184" s="106">
        <v>32720</v>
      </c>
      <c r="K184" s="107">
        <f>IF(ISNUMBER(J184), (J184 - $B184) / $B184, "")</f>
        <v>-3.6513545347467612E-2</v>
      </c>
      <c r="L184" s="108">
        <f>IF(ISNUMBER(J184), $B199 * K184, "")</f>
        <v>-3651.3545347467611</v>
      </c>
      <c r="M184" s="109">
        <v>33420</v>
      </c>
      <c r="N184" s="107">
        <f>IF(ISNUMBER(M184), (M184 - $B184) / $B184, "")</f>
        <v>-1.5901060070671377E-2</v>
      </c>
      <c r="O184" s="108">
        <f>IF(ISNUMBER(M184), $B199 * N184, "")</f>
        <v>-1590.1060070671376</v>
      </c>
      <c r="Q184" s="227"/>
      <c r="R184" s="227"/>
      <c r="S184" s="227"/>
    </row>
    <row r="185" spans="1:19" ht="17.25" thickBot="1">
      <c r="A185" s="125" t="s">
        <v>214</v>
      </c>
      <c r="B185" s="126">
        <v>1365</v>
      </c>
      <c r="C185" s="77">
        <v>-4.21052632E-2</v>
      </c>
      <c r="D185" s="15">
        <v>1360</v>
      </c>
      <c r="E185" s="32">
        <f t="shared" ref="E185:E188" si="98">IF(ISNUMBER(D185), (D185 - $B185) / $B185, "")</f>
        <v>-3.663003663003663E-3</v>
      </c>
      <c r="F185" s="18">
        <f>IF(ISNUMBER(D185), $B199 * E185, "")</f>
        <v>-366.30036630036631</v>
      </c>
      <c r="G185" s="31">
        <v>1340</v>
      </c>
      <c r="H185" s="32">
        <f t="shared" ref="H185:H188" si="99">IF(ISNUMBER(G185), (G185 - $B185) / $B185, "")</f>
        <v>-1.8315018315018316E-2</v>
      </c>
      <c r="I185" s="101">
        <f>IF(ISNUMBER(G185), $B199 * H185, "")</f>
        <v>-1831.5018315018315</v>
      </c>
      <c r="J185" s="15">
        <v>1310</v>
      </c>
      <c r="K185" s="32">
        <f t="shared" ref="K185:K188" si="100">IF(ISNUMBER(J185), (J185 - $B185) / $B185, "")</f>
        <v>-4.0293040293040296E-2</v>
      </c>
      <c r="L185" s="18">
        <f>IF(ISNUMBER(J185), $B199 * K185, "")</f>
        <v>-4029.3040293040294</v>
      </c>
      <c r="M185" s="31">
        <v>1330</v>
      </c>
      <c r="N185" s="32">
        <f t="shared" ref="N185:N188" si="101">IF(ISNUMBER(M185), (M185 - $B185) / $B185, "")</f>
        <v>-2.564102564102564E-2</v>
      </c>
      <c r="O185" s="18">
        <f>IF(ISNUMBER(M185), $B199 * N185, "")</f>
        <v>-2564.102564102564</v>
      </c>
      <c r="Q185" s="227"/>
      <c r="R185" s="227"/>
      <c r="S185" s="227"/>
    </row>
    <row r="186" spans="1:19" ht="17.25" thickBot="1">
      <c r="A186" s="125" t="s">
        <v>54</v>
      </c>
      <c r="B186" s="126">
        <v>351</v>
      </c>
      <c r="C186" s="77">
        <v>-4.6195652199999999E-2</v>
      </c>
      <c r="D186" s="15">
        <v>355</v>
      </c>
      <c r="E186" s="32">
        <f t="shared" si="98"/>
        <v>1.1396011396011397E-2</v>
      </c>
      <c r="F186" s="18">
        <f>IF(ISNUMBER(D186), $B199 * E186, "")</f>
        <v>1139.6011396011397</v>
      </c>
      <c r="G186" s="31">
        <v>361</v>
      </c>
      <c r="H186" s="32">
        <f t="shared" si="99"/>
        <v>2.8490028490028491E-2</v>
      </c>
      <c r="I186" s="101">
        <f>IF(ISNUMBER(G186), $B199 * H186, "")</f>
        <v>2849.002849002849</v>
      </c>
      <c r="J186" s="15">
        <v>345</v>
      </c>
      <c r="K186" s="32">
        <f t="shared" si="100"/>
        <v>-1.7094017094017096E-2</v>
      </c>
      <c r="L186" s="18">
        <f>IF(ISNUMBER(J186), $B199 * K186, "")</f>
        <v>-1709.4017094017095</v>
      </c>
      <c r="M186" s="31">
        <v>355</v>
      </c>
      <c r="N186" s="32">
        <f t="shared" si="101"/>
        <v>1.1396011396011397E-2</v>
      </c>
      <c r="O186" s="18">
        <f>IF(ISNUMBER(M186), $B199 * N186, "")</f>
        <v>1139.6011396011397</v>
      </c>
      <c r="Q186" s="227"/>
      <c r="R186" s="227"/>
      <c r="S186" s="227"/>
    </row>
    <row r="187" spans="1:19" ht="17.25" thickBot="1">
      <c r="A187" s="125" t="s">
        <v>238</v>
      </c>
      <c r="B187" s="126">
        <v>160</v>
      </c>
      <c r="C187" s="77">
        <v>-4.7619047599999999E-2</v>
      </c>
      <c r="D187" s="15">
        <v>155</v>
      </c>
      <c r="E187" s="32">
        <f t="shared" si="98"/>
        <v>-3.125E-2</v>
      </c>
      <c r="F187" s="18">
        <f>IF(ISNUMBER(D187), $B199 * E187, "")</f>
        <v>-3125</v>
      </c>
      <c r="G187" s="31">
        <v>151</v>
      </c>
      <c r="H187" s="32">
        <f t="shared" si="99"/>
        <v>-5.6250000000000001E-2</v>
      </c>
      <c r="I187" s="101">
        <f>IF(ISNUMBER(G187), $B199 * H187, "")</f>
        <v>-5625</v>
      </c>
      <c r="J187" s="15">
        <v>149</v>
      </c>
      <c r="K187" s="32">
        <f t="shared" si="100"/>
        <v>-6.8750000000000006E-2</v>
      </c>
      <c r="L187" s="18">
        <f>IF(ISNUMBER(J187), $B199 * K187, "")</f>
        <v>-6875.0000000000009</v>
      </c>
      <c r="M187" s="31">
        <v>153</v>
      </c>
      <c r="N187" s="32">
        <f t="shared" si="101"/>
        <v>-4.3749999999999997E-2</v>
      </c>
      <c r="O187" s="18">
        <f>IF(ISNUMBER(M187), $B199 * N187, "")</f>
        <v>-4375</v>
      </c>
      <c r="Q187" s="33"/>
      <c r="R187" s="33"/>
    </row>
    <row r="188" spans="1:19" ht="17.25" thickBot="1">
      <c r="A188" s="130" t="s">
        <v>244</v>
      </c>
      <c r="B188" s="131">
        <v>2030</v>
      </c>
      <c r="C188" s="79">
        <v>-5.5813953499999999E-2</v>
      </c>
      <c r="D188" s="24">
        <v>2275</v>
      </c>
      <c r="E188" s="25">
        <f t="shared" si="98"/>
        <v>0.1206896551724138</v>
      </c>
      <c r="F188" s="104">
        <f>IF(ISNUMBER(D188), $B199 * E188, "")</f>
        <v>12068.96551724138</v>
      </c>
      <c r="G188" s="102">
        <v>2185</v>
      </c>
      <c r="H188" s="25">
        <f t="shared" si="99"/>
        <v>7.6354679802955669E-2</v>
      </c>
      <c r="I188" s="103">
        <f>IF(ISNUMBER(G188), $B199 * H188, "")</f>
        <v>7635.467980295567</v>
      </c>
      <c r="J188" s="24">
        <v>2125</v>
      </c>
      <c r="K188" s="25">
        <f t="shared" si="100"/>
        <v>4.6798029556650245E-2</v>
      </c>
      <c r="L188" s="104">
        <f>IF(ISNUMBER(J188), $B199 * K188, "")</f>
        <v>4679.8029556650245</v>
      </c>
      <c r="M188" s="102">
        <v>2145</v>
      </c>
      <c r="N188" s="25">
        <f t="shared" si="101"/>
        <v>5.6650246305418719E-2</v>
      </c>
      <c r="O188" s="104">
        <f>IF(ISNUMBER(M188), $B199 * N188, "")</f>
        <v>5665.0246305418723</v>
      </c>
      <c r="Q188" s="236"/>
      <c r="R188" s="237"/>
      <c r="S188" s="238"/>
    </row>
    <row r="189" spans="1:19">
      <c r="A189" s="123" t="s">
        <v>218</v>
      </c>
      <c r="B189" s="124">
        <v>167</v>
      </c>
      <c r="C189" s="76">
        <v>-6.1797752800000001E-2</v>
      </c>
      <c r="D189" s="13">
        <v>175</v>
      </c>
      <c r="E189" s="14">
        <f>IF(ISNUMBER(D189), (D189 - $B189) / $B189, "")</f>
        <v>4.790419161676647E-2</v>
      </c>
      <c r="F189" s="16">
        <f>IF(ISNUMBER(D189), $B199 * E189, "")</f>
        <v>4790.4191616766466</v>
      </c>
      <c r="G189" s="29">
        <v>166</v>
      </c>
      <c r="H189" s="14">
        <f>IF(ISNUMBER(G189), (G189 - $B189) / $B189, "")</f>
        <v>-5.9880239520958087E-3</v>
      </c>
      <c r="I189" s="100">
        <f>IF(ISNUMBER(G189), $B199 * H189, "")</f>
        <v>-598.80239520958082</v>
      </c>
      <c r="J189" s="13">
        <v>162</v>
      </c>
      <c r="K189" s="14">
        <f>IF(ISNUMBER(J189), (J189 - $B189) / $B189, "")</f>
        <v>-2.9940119760479042E-2</v>
      </c>
      <c r="L189" s="16">
        <f>IF(ISNUMBER(J189), $B199 * K189, "")</f>
        <v>-2994.0119760479042</v>
      </c>
      <c r="M189" s="29">
        <v>168</v>
      </c>
      <c r="N189" s="14">
        <f>IF(ISNUMBER(M189), (M189 - $B189) / $B189, "")</f>
        <v>5.9880239520958087E-3</v>
      </c>
      <c r="O189" s="16">
        <f>IF(ISNUMBER(M189), $B199 * N189, "")</f>
        <v>598.80239520958082</v>
      </c>
      <c r="Q189" s="239"/>
      <c r="R189" s="240"/>
      <c r="S189" s="241"/>
    </row>
    <row r="190" spans="1:19" ht="17.25" thickBot="1">
      <c r="A190" s="125" t="s">
        <v>236</v>
      </c>
      <c r="B190" s="126">
        <v>814</v>
      </c>
      <c r="C190" s="77">
        <v>-8.1264108400000007E-2</v>
      </c>
      <c r="D190" s="15">
        <v>809</v>
      </c>
      <c r="E190" s="32">
        <f t="shared" ref="E190:E193" si="102">IF(ISNUMBER(D190), (D190 - $B190) / $B190, "")</f>
        <v>-6.1425061425061421E-3</v>
      </c>
      <c r="F190" s="18">
        <f>IF(ISNUMBER(D190), $B199 * E190, "")</f>
        <v>-614.25061425061426</v>
      </c>
      <c r="G190" s="31">
        <v>804</v>
      </c>
      <c r="H190" s="32">
        <f t="shared" ref="H190:H193" si="103">IF(ISNUMBER(G190), (G190 - $B190) / $B190, "")</f>
        <v>-1.2285012285012284E-2</v>
      </c>
      <c r="I190" s="101">
        <f>IF(ISNUMBER(G190), $B199 * H190, "")</f>
        <v>-1228.5012285012285</v>
      </c>
      <c r="J190" s="15">
        <v>794</v>
      </c>
      <c r="K190" s="32">
        <f t="shared" ref="K190:K193" si="104">IF(ISNUMBER(J190), (J190 - $B190) / $B190, "")</f>
        <v>-2.4570024570024569E-2</v>
      </c>
      <c r="L190" s="18">
        <f>IF(ISNUMBER(J190), $B199 * K190, "")</f>
        <v>-2457.002457002457</v>
      </c>
      <c r="M190" s="31">
        <v>820</v>
      </c>
      <c r="N190" s="32">
        <f t="shared" ref="N190:N193" si="105">IF(ISNUMBER(M190), (M190 - $B190) / $B190, "")</f>
        <v>7.3710073710073713E-3</v>
      </c>
      <c r="O190" s="18">
        <f>IF(ISNUMBER(M190), $B199 * N190, "")</f>
        <v>737.10073710073709</v>
      </c>
      <c r="Q190" s="242"/>
      <c r="R190" s="243"/>
      <c r="S190" s="244"/>
    </row>
    <row r="191" spans="1:19" ht="17.25" thickBot="1">
      <c r="A191" s="125" t="s">
        <v>176</v>
      </c>
      <c r="B191" s="126">
        <v>2070</v>
      </c>
      <c r="C191" s="77">
        <v>-9.8039215700000001E-2</v>
      </c>
      <c r="D191" s="15">
        <v>2055</v>
      </c>
      <c r="E191" s="32">
        <f t="shared" si="102"/>
        <v>-7.246376811594203E-3</v>
      </c>
      <c r="F191" s="18">
        <f>IF(ISNUMBER(D191), $B199 * E191, "")</f>
        <v>-724.63768115942025</v>
      </c>
      <c r="G191" s="31">
        <v>2180</v>
      </c>
      <c r="H191" s="32">
        <f t="shared" si="103"/>
        <v>5.3140096618357488E-2</v>
      </c>
      <c r="I191" s="101">
        <f>IF(ISNUMBER(G191), $B199 * H191, "")</f>
        <v>5314.0096618357484</v>
      </c>
      <c r="J191" s="15">
        <v>2155</v>
      </c>
      <c r="K191" s="32">
        <f t="shared" si="104"/>
        <v>4.1062801932367152E-2</v>
      </c>
      <c r="L191" s="18">
        <f>IF(ISNUMBER(J191), $B199 * K191, "")</f>
        <v>4106.2801932367156</v>
      </c>
      <c r="M191" s="31">
        <v>2170</v>
      </c>
      <c r="N191" s="32">
        <f t="shared" si="105"/>
        <v>4.8309178743961352E-2</v>
      </c>
      <c r="O191" s="18">
        <f>IF(ISNUMBER(M191), $B199 * N191, "")</f>
        <v>4830.9178743961356</v>
      </c>
      <c r="Q191" s="227"/>
      <c r="R191" s="227"/>
      <c r="S191" s="227"/>
    </row>
    <row r="192" spans="1:19" ht="17.25" thickBot="1">
      <c r="A192" s="125" t="s">
        <v>242</v>
      </c>
      <c r="B192" s="126">
        <v>693</v>
      </c>
      <c r="C192" s="77">
        <v>-0.13913043480000001</v>
      </c>
      <c r="D192" s="15">
        <v>706</v>
      </c>
      <c r="E192" s="32">
        <f t="shared" si="102"/>
        <v>1.875901875901876E-2</v>
      </c>
      <c r="F192" s="18">
        <f>IF(ISNUMBER(D192), $B199 * E192, "")</f>
        <v>1875.9018759018759</v>
      </c>
      <c r="G192" s="31">
        <v>693</v>
      </c>
      <c r="H192" s="32">
        <f t="shared" si="103"/>
        <v>0</v>
      </c>
      <c r="I192" s="101">
        <f>IF(ISNUMBER(G192), $B199 * H192, "")</f>
        <v>0</v>
      </c>
      <c r="J192" s="15">
        <v>706</v>
      </c>
      <c r="K192" s="32">
        <f t="shared" si="104"/>
        <v>1.875901875901876E-2</v>
      </c>
      <c r="L192" s="18">
        <f>IF(ISNUMBER(J192), $B199 * K192, "")</f>
        <v>1875.9018759018759</v>
      </c>
      <c r="M192" s="31">
        <v>755</v>
      </c>
      <c r="N192" s="32">
        <f t="shared" si="105"/>
        <v>8.9466089466089471E-2</v>
      </c>
      <c r="O192" s="18">
        <f>IF(ISNUMBER(M192), $B199 * N192, "")</f>
        <v>8946.608946608947</v>
      </c>
      <c r="Q192" s="222"/>
      <c r="R192" s="222"/>
      <c r="S192" s="222"/>
    </row>
    <row r="193" spans="1:19" ht="17.25" thickBot="1">
      <c r="A193" s="127" t="s">
        <v>232</v>
      </c>
      <c r="B193" s="128">
        <v>875</v>
      </c>
      <c r="C193" s="78">
        <v>-0.1421568627</v>
      </c>
      <c r="D193" s="20">
        <v>884</v>
      </c>
      <c r="E193" s="21">
        <f t="shared" si="102"/>
        <v>1.0285714285714285E-2</v>
      </c>
      <c r="F193" s="22">
        <f>IF(ISNUMBER(D193), $B199 * E193, "")</f>
        <v>1028.5714285714284</v>
      </c>
      <c r="G193" s="30">
        <v>878</v>
      </c>
      <c r="H193" s="21">
        <f t="shared" si="103"/>
        <v>3.4285714285714284E-3</v>
      </c>
      <c r="I193" s="105">
        <f>IF(ISNUMBER(G193), $B199 * H193, "")</f>
        <v>342.85714285714283</v>
      </c>
      <c r="J193" s="20">
        <v>921</v>
      </c>
      <c r="K193" s="21">
        <f t="shared" si="104"/>
        <v>5.2571428571428575E-2</v>
      </c>
      <c r="L193" s="22">
        <f>IF(ISNUMBER(J193), $B199 * K193, "")</f>
        <v>5257.1428571428578</v>
      </c>
      <c r="M193" s="30">
        <v>911</v>
      </c>
      <c r="N193" s="21">
        <f t="shared" si="105"/>
        <v>4.1142857142857141E-2</v>
      </c>
      <c r="O193" s="22">
        <f>IF(ISNUMBER(M193), $B199 * N193, "")</f>
        <v>4114.2857142857138</v>
      </c>
      <c r="Q193" s="222"/>
      <c r="R193" s="222"/>
      <c r="S193" s="222"/>
    </row>
    <row r="194" spans="1:19" ht="17.25" thickBot="1">
      <c r="A194" s="125" t="s">
        <v>164</v>
      </c>
      <c r="B194" s="129">
        <v>765</v>
      </c>
      <c r="C194" s="80">
        <v>-0.1509433962</v>
      </c>
      <c r="D194" s="106">
        <v>811</v>
      </c>
      <c r="E194" s="107">
        <f>IF(ISNUMBER(D194), (D194 - $B194) / $B194, "")</f>
        <v>6.0130718954248367E-2</v>
      </c>
      <c r="F194" s="108">
        <f>IF(ISNUMBER(D194), $B199 * E194, "")</f>
        <v>6013.0718954248368</v>
      </c>
      <c r="G194" s="109">
        <v>791</v>
      </c>
      <c r="H194" s="107">
        <f>IF(ISNUMBER(G194), (G194 - $B194) / $B194, "")</f>
        <v>3.3986928104575161E-2</v>
      </c>
      <c r="I194" s="110">
        <f>IF(ISNUMBER(G194), $B199 * H194, "")</f>
        <v>3398.6928104575159</v>
      </c>
      <c r="J194" s="106">
        <v>933</v>
      </c>
      <c r="K194" s="107">
        <f>IF(ISNUMBER(J194), (J194 - $B194) / $B194, "")</f>
        <v>0.2196078431372549</v>
      </c>
      <c r="L194" s="108">
        <f>IF(ISNUMBER(J194), $B199 * K194, "")</f>
        <v>21960.784313725489</v>
      </c>
      <c r="M194" s="109">
        <v>1000</v>
      </c>
      <c r="N194" s="107">
        <f>IF(ISNUMBER(M194), (M194 - $B194) / $B194, "")</f>
        <v>0.30718954248366015</v>
      </c>
      <c r="O194" s="108">
        <f>IF(ISNUMBER(M194), $B199 * N194, "")</f>
        <v>30718.954248366015</v>
      </c>
      <c r="Q194" s="227"/>
      <c r="R194" s="227"/>
      <c r="S194" s="227"/>
    </row>
    <row r="195" spans="1:19" ht="17.25" thickBot="1">
      <c r="A195" s="125" t="s">
        <v>174</v>
      </c>
      <c r="B195" s="126">
        <v>489</v>
      </c>
      <c r="C195" s="77">
        <v>-0.15544041450000001</v>
      </c>
      <c r="D195" s="15">
        <v>489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474</v>
      </c>
      <c r="H195" s="32">
        <f t="shared" ref="H195:H198" si="107">IF(ISNUMBER(G195), (G195 - $B195) / $B195, "")</f>
        <v>-3.0674846625766871E-2</v>
      </c>
      <c r="I195" s="101">
        <f>IF(ISNUMBER(G195), $B199 * H195, "")</f>
        <v>-3067.4846625766872</v>
      </c>
      <c r="J195" s="15">
        <v>483</v>
      </c>
      <c r="K195" s="32">
        <f t="shared" ref="K195:K198" si="108">IF(ISNUMBER(J195), (J195 - $B195) / $B195, "")</f>
        <v>-1.2269938650306749E-2</v>
      </c>
      <c r="L195" s="18">
        <f>IF(ISNUMBER(J195), $B199 * K195, "")</f>
        <v>-1226.9938650306749</v>
      </c>
      <c r="M195" s="31">
        <v>487</v>
      </c>
      <c r="N195" s="32">
        <f t="shared" ref="N195:N198" si="109">IF(ISNUMBER(M195), (M195 - $B195) / $B195, "")</f>
        <v>-4.0899795501022499E-3</v>
      </c>
      <c r="O195" s="18">
        <f>IF(ISNUMBER(M195), $B199 * N195, "")</f>
        <v>-408.99795501022498</v>
      </c>
      <c r="Q195" s="227"/>
      <c r="R195" s="227"/>
      <c r="S195" s="227"/>
    </row>
    <row r="196" spans="1:19" ht="17.25" thickBot="1">
      <c r="A196" s="125" t="s">
        <v>206</v>
      </c>
      <c r="B196" s="126">
        <v>860</v>
      </c>
      <c r="C196" s="77">
        <v>-0.1770334928</v>
      </c>
      <c r="D196" s="15">
        <v>862</v>
      </c>
      <c r="E196" s="32">
        <f t="shared" si="106"/>
        <v>2.3255813953488372E-3</v>
      </c>
      <c r="F196" s="18">
        <f>IF(ISNUMBER(D196), $B199 * E196, "")</f>
        <v>232.55813953488371</v>
      </c>
      <c r="G196" s="31">
        <v>838</v>
      </c>
      <c r="H196" s="32">
        <f t="shared" si="107"/>
        <v>-2.5581395348837209E-2</v>
      </c>
      <c r="I196" s="101">
        <f>IF(ISNUMBER(G196), $B199 * H196, "")</f>
        <v>-2558.1395348837209</v>
      </c>
      <c r="J196" s="15">
        <v>896</v>
      </c>
      <c r="K196" s="32">
        <f t="shared" si="108"/>
        <v>4.1860465116279069E-2</v>
      </c>
      <c r="L196" s="18">
        <f>IF(ISNUMBER(J196), $B199 * K196, "")</f>
        <v>4186.0465116279065</v>
      </c>
      <c r="M196" s="31">
        <v>928</v>
      </c>
      <c r="N196" s="32">
        <f t="shared" si="109"/>
        <v>7.9069767441860464E-2</v>
      </c>
      <c r="O196" s="18">
        <f>IF(ISNUMBER(M196), $B199 * N196, "")</f>
        <v>7906.9767441860467</v>
      </c>
      <c r="Q196" s="227"/>
      <c r="R196" s="227"/>
      <c r="S196" s="227"/>
    </row>
    <row r="197" spans="1:19">
      <c r="A197" s="125" t="s">
        <v>122</v>
      </c>
      <c r="B197" s="126">
        <v>51.4</v>
      </c>
      <c r="C197" s="77">
        <v>-0.20679012350000001</v>
      </c>
      <c r="D197" s="15">
        <v>50.2</v>
      </c>
      <c r="E197" s="32">
        <f t="shared" si="106"/>
        <v>-2.3346303501945442E-2</v>
      </c>
      <c r="F197" s="18">
        <f>IF(ISNUMBER(D197), $B199 * E197, "")</f>
        <v>-2334.630350194544</v>
      </c>
      <c r="G197" s="31">
        <v>50.5</v>
      </c>
      <c r="H197" s="32">
        <f t="shared" si="107"/>
        <v>-1.7509727626459116E-2</v>
      </c>
      <c r="I197" s="101">
        <f>IF(ISNUMBER(G197), $B199 * H197, "")</f>
        <v>-1750.9727626459116</v>
      </c>
      <c r="J197" s="15">
        <v>47.8</v>
      </c>
      <c r="K197" s="32">
        <f t="shared" si="108"/>
        <v>-7.0038910505836605E-2</v>
      </c>
      <c r="L197" s="18">
        <f>IF(ISNUMBER(J197), $B199 * K197, "")</f>
        <v>-7003.8910505836602</v>
      </c>
      <c r="M197" s="31">
        <v>49.5</v>
      </c>
      <c r="N197" s="32">
        <f t="shared" si="109"/>
        <v>-3.6964980544747054E-2</v>
      </c>
      <c r="O197" s="18">
        <f>IF(ISNUMBER(M197), $B199 * N197, "")</f>
        <v>-3696.4980544747054</v>
      </c>
      <c r="Q197" s="249"/>
      <c r="R197" s="250"/>
      <c r="S197" s="251"/>
    </row>
    <row r="198" spans="1:19" ht="17.25" thickBot="1">
      <c r="A198" s="130" t="s">
        <v>124</v>
      </c>
      <c r="B198" s="131">
        <v>770</v>
      </c>
      <c r="C198" s="79">
        <v>-0.296803653</v>
      </c>
      <c r="D198" s="24">
        <v>735</v>
      </c>
      <c r="E198" s="25">
        <f t="shared" si="106"/>
        <v>-4.5454545454545456E-2</v>
      </c>
      <c r="F198" s="104">
        <f>IF(ISNUMBER(D198), $B199 * E198, "")</f>
        <v>-4545.454545454546</v>
      </c>
      <c r="G198" s="102">
        <v>726</v>
      </c>
      <c r="H198" s="25">
        <f t="shared" si="107"/>
        <v>-5.7142857142857141E-2</v>
      </c>
      <c r="I198" s="103">
        <f>IF(ISNUMBER(G198), $B199 * H198, "")</f>
        <v>-5714.2857142857138</v>
      </c>
      <c r="J198" s="24">
        <v>700</v>
      </c>
      <c r="K198" s="25">
        <f t="shared" si="108"/>
        <v>-9.0909090909090912E-2</v>
      </c>
      <c r="L198" s="104">
        <f>IF(ISNUMBER(J198), $B199 * K198, "")</f>
        <v>-9090.9090909090919</v>
      </c>
      <c r="M198" s="102">
        <v>730</v>
      </c>
      <c r="N198" s="25">
        <f t="shared" si="109"/>
        <v>-5.1948051948051951E-2</v>
      </c>
      <c r="O198" s="104">
        <f>IF(ISNUMBER(M198), $B199 * N198, "")</f>
        <v>-5194.8051948051952</v>
      </c>
      <c r="Q198" s="252"/>
      <c r="R198" s="253"/>
      <c r="S198" s="254"/>
    </row>
    <row r="199" spans="1:19" ht="17.25" thickBot="1">
      <c r="A199" s="132" t="s">
        <v>270</v>
      </c>
      <c r="B199" s="260">
        <f>$B$37</f>
        <v>100000</v>
      </c>
      <c r="C199" s="261"/>
      <c r="D199" s="26" t="s">
        <v>271</v>
      </c>
      <c r="E199" s="27">
        <f>IF(COUNT(E179:E198), SUM(E179:E198) / COUNT(E179:E198), 0)</f>
        <v>5.6832238331759244E-3</v>
      </c>
      <c r="F199" s="28">
        <f>SUM(F179:F198)</f>
        <v>11366.447666351853</v>
      </c>
      <c r="G199" s="26" t="s">
        <v>271</v>
      </c>
      <c r="H199" s="27">
        <f>IF(COUNT(H179:H198), SUM(H179:H198) / COUNT(H179:H198), 0)</f>
        <v>-4.8945389517659286E-3</v>
      </c>
      <c r="I199" s="28">
        <f>SUM(I179:I198)</f>
        <v>-9789.0779035318556</v>
      </c>
      <c r="J199" s="26" t="s">
        <v>271</v>
      </c>
      <c r="K199" s="27">
        <f>IF(COUNT(K179:K198), SUM(K179:K198) / COUNT(K179:K198), 0)</f>
        <v>-1.1012574005923358E-2</v>
      </c>
      <c r="L199" s="28">
        <f>SUM(L179:L198)</f>
        <v>-22025.148011846719</v>
      </c>
      <c r="M199" s="26" t="s">
        <v>271</v>
      </c>
      <c r="N199" s="27">
        <f>IF(COUNT(N179:N198), SUM(N179:N198) / COUNT(N179:N198), 0)</f>
        <v>1.5823954460588433E-2</v>
      </c>
      <c r="O199" s="28">
        <f>SUM(O179:O198)</f>
        <v>31647.908921176873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9CEE9-57C9-4ACF-A8A1-A3B0CD53FBBF}">
  <sheetPr codeName="Sheet1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44446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320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328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-221,922 KRW (-11.10%)</v>
      </c>
      <c r="H3" s="217"/>
      <c r="I3" s="218"/>
      <c r="J3" s="4" t="s">
        <v>7</v>
      </c>
      <c r="K3" s="213" t="s">
        <v>321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322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319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-183,544 KRW (-13.11%)</v>
      </c>
      <c r="H5" s="217"/>
      <c r="I5" s="218"/>
      <c r="J5" s="4" t="s">
        <v>15</v>
      </c>
      <c r="K5" s="213" t="s">
        <v>323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324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-217,356 KRW (-10.87%)</v>
      </c>
      <c r="H7" s="217"/>
      <c r="I7" s="218"/>
      <c r="J7" s="4" t="s">
        <v>21</v>
      </c>
      <c r="K7" s="213" t="s">
        <v>325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255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-259,831 KRW (-12.99%)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326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327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318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81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55149000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2.1442459999999998E-3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2021-09-07(화) 오전 00:00</v>
      </c>
      <c r="C15" s="268"/>
      <c r="D15" s="224" t="str">
        <f>TEXT($G$1, "[$-ko-KR]yyyy-mm-dd(ddd) ") &amp; "오후 14:00"</f>
        <v>2021-09-07(화) 오후 14:00</v>
      </c>
      <c r="E15" s="225"/>
      <c r="F15" s="226"/>
      <c r="G15" s="224" t="str">
        <f>TEXT($G$1, "[$-ko-KR]yyyy-mm-dd(ddd) ") &amp; "오후 19:00"</f>
        <v>2021-09-07(화) 오후 19:00</v>
      </c>
      <c r="H15" s="225"/>
      <c r="I15" s="226"/>
      <c r="J15" s="224" t="str">
        <f>TEXT($G$1, "[$-ko-KR]yyyy-mm-dd(ddd) ") &amp; "오후 21:00"</f>
        <v>2021-09-07(화) 오후 21:00</v>
      </c>
      <c r="K15" s="225"/>
      <c r="L15" s="226"/>
      <c r="M15" s="224" t="str">
        <f>TEXT($G$1+1, "[$-ko-KR]yyyy-mm-dd(ddd) ") &amp; "오전 00:00"</f>
        <v>2021-09-08(수)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81" t="s">
        <v>267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55149000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2.1442459999999998E-3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2021-09-07(화) 오전 00:00</v>
      </c>
      <c r="C42" s="265"/>
      <c r="D42" s="224" t="str">
        <f>TEXT($G$1, "[$-ko-KR]yyyy-mm-dd(ddd) ") &amp; "오후 14:00"</f>
        <v>2021-09-07(화) 오후 14:00</v>
      </c>
      <c r="E42" s="225"/>
      <c r="F42" s="226"/>
      <c r="G42" s="224" t="str">
        <f>TEXT($G$1, "[$-ko-KR]yyyy-mm-dd(ddd) ") &amp; "오후 19:00"</f>
        <v>2021-09-07(화) 오후 19:00</v>
      </c>
      <c r="H42" s="225"/>
      <c r="I42" s="226"/>
      <c r="J42" s="224" t="str">
        <f>TEXT($G$1, "[$-ko-KR]yyyy-mm-dd(ddd) ") &amp; "오후 21:00"</f>
        <v>2021-09-07(화) 오후 21:00</v>
      </c>
      <c r="K42" s="225"/>
      <c r="L42" s="226"/>
      <c r="M42" s="224" t="str">
        <f>TEXT($G$1+1, "[$-ko-KR]yyyy-mm-dd(ddd) ") &amp; "오전 00:00"</f>
        <v>2021-09-08(수)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7"/>
      <c r="R43" s="227"/>
      <c r="S43" s="227"/>
    </row>
    <row r="44" spans="1:19" ht="17.25" customHeight="1" thickBot="1">
      <c r="A44" s="123" t="s">
        <v>204</v>
      </c>
      <c r="B44" s="124">
        <v>19.399999999999999</v>
      </c>
      <c r="C44" s="76">
        <v>3.1914893600000001E-2</v>
      </c>
      <c r="D44" s="13">
        <v>19.3</v>
      </c>
      <c r="E44" s="14">
        <f>IF(ISNUMBER(D44), (D44 - $B44) / $B44, "")</f>
        <v>-5.1546391752576226E-3</v>
      </c>
      <c r="F44" s="16">
        <f>IF(ISNUMBER(D44), $B64 * E44, "")</f>
        <v>-515.46391752576221</v>
      </c>
      <c r="G44" s="29">
        <v>18.5</v>
      </c>
      <c r="H44" s="14">
        <f>IF(ISNUMBER(G44), (G44 - $B44) / $B44, "")</f>
        <v>-4.639175257731952E-2</v>
      </c>
      <c r="I44" s="100">
        <f>IF(ISNUMBER(G44), $B64 * H44, "")</f>
        <v>-4639.1752577319521</v>
      </c>
      <c r="J44" s="13">
        <v>18.600000000000001</v>
      </c>
      <c r="K44" s="14">
        <f>IF(ISNUMBER(J44), (J44 - $B44) / $B44, "")</f>
        <v>-4.1237113402061709E-2</v>
      </c>
      <c r="L44" s="16">
        <f>IF(ISNUMBER(J44), $B64 * K44, "")</f>
        <v>-4123.7113402061714</v>
      </c>
      <c r="M44" s="29">
        <v>16.899999999999999</v>
      </c>
      <c r="N44" s="14">
        <f>IF(ISNUMBER(M44), (M44 - $B44) / $B44, "")</f>
        <v>-0.12886597938144331</v>
      </c>
      <c r="O44" s="16">
        <f>IF(ISNUMBER(M44), $B64 * N44, "")</f>
        <v>-12886.597938144332</v>
      </c>
      <c r="Q44" s="222"/>
      <c r="R44" s="222"/>
      <c r="S44" s="222"/>
    </row>
    <row r="45" spans="1:19" ht="17.25" customHeight="1" thickBot="1">
      <c r="A45" s="125" t="s">
        <v>210</v>
      </c>
      <c r="B45" s="126">
        <v>18.100000000000001</v>
      </c>
      <c r="C45" s="77">
        <v>2.2598870100000001E-2</v>
      </c>
      <c r="D45" s="15">
        <v>18.100000000000001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17.399999999999999</v>
      </c>
      <c r="H45" s="32">
        <f t="shared" ref="H45:H48" si="15">IF(ISNUMBER(G45), (G45 - $B45) / $B45, "")</f>
        <v>-3.8674033149171422E-2</v>
      </c>
      <c r="I45" s="101">
        <f>IF(ISNUMBER(G45), $B64 * H45, "")</f>
        <v>-3867.4033149171423</v>
      </c>
      <c r="J45" s="15">
        <v>17.5</v>
      </c>
      <c r="K45" s="32">
        <f t="shared" ref="K45:K48" si="16">IF(ISNUMBER(J45), (J45 - $B45) / $B45, "")</f>
        <v>-3.3149171270718307E-2</v>
      </c>
      <c r="L45" s="18">
        <f>IF(ISNUMBER(J45), $B64 * K45, "")</f>
        <v>-3314.9171270718307</v>
      </c>
      <c r="M45" s="31">
        <v>15.8</v>
      </c>
      <c r="N45" s="32">
        <f t="shared" ref="N45:N48" si="17">IF(ISNUMBER(M45), (M45 - $B45) / $B45, "")</f>
        <v>-0.12707182320441993</v>
      </c>
      <c r="O45" s="18">
        <f>IF(ISNUMBER(M45), $B64 * N45, "")</f>
        <v>-12707.182320441992</v>
      </c>
      <c r="Q45" s="222"/>
      <c r="R45" s="222"/>
      <c r="S45" s="222"/>
    </row>
    <row r="46" spans="1:19" ht="17.25" customHeight="1" thickBot="1">
      <c r="A46" s="125" t="s">
        <v>65</v>
      </c>
      <c r="B46" s="126">
        <v>71.2</v>
      </c>
      <c r="C46" s="77">
        <v>1.5691868800000001E-2</v>
      </c>
      <c r="D46" s="15">
        <v>71.7</v>
      </c>
      <c r="E46" s="32">
        <f t="shared" si="14"/>
        <v>7.0224719101123594E-3</v>
      </c>
      <c r="F46" s="18">
        <f>IF(ISNUMBER(D46), $B64 * E46, "")</f>
        <v>702.24719101123594</v>
      </c>
      <c r="G46" s="31">
        <v>69.400000000000006</v>
      </c>
      <c r="H46" s="32">
        <f t="shared" si="15"/>
        <v>-2.5280898876404452E-2</v>
      </c>
      <c r="I46" s="101">
        <f>IF(ISNUMBER(G46), $B64 * H46, "")</f>
        <v>-2528.0898876404453</v>
      </c>
      <c r="J46" s="15">
        <v>70</v>
      </c>
      <c r="K46" s="32">
        <f t="shared" si="16"/>
        <v>-1.6853932584269701E-2</v>
      </c>
      <c r="L46" s="18">
        <f>IF(ISNUMBER(J46), $B64 * K46, "")</f>
        <v>-1685.3932584269701</v>
      </c>
      <c r="M46" s="31">
        <v>66.8</v>
      </c>
      <c r="N46" s="32">
        <f t="shared" si="17"/>
        <v>-6.1797752808988839E-2</v>
      </c>
      <c r="O46" s="18">
        <f>IF(ISNUMBER(M46), $B64 * N46, "")</f>
        <v>-6179.7752808988835</v>
      </c>
      <c r="Q46" s="227"/>
      <c r="R46" s="227"/>
      <c r="S46" s="227"/>
    </row>
    <row r="47" spans="1:19" ht="17.25" customHeight="1" thickBot="1">
      <c r="A47" s="125" t="s">
        <v>72</v>
      </c>
      <c r="B47" s="126">
        <v>30.4</v>
      </c>
      <c r="C47" s="77">
        <v>9.9667773999999997E-3</v>
      </c>
      <c r="D47" s="15">
        <v>30.5</v>
      </c>
      <c r="E47" s="32">
        <f t="shared" si="14"/>
        <v>3.2894736842105734E-3</v>
      </c>
      <c r="F47" s="18">
        <f>IF(ISNUMBER(D47), $B64 * E47, "")</f>
        <v>328.94736842105732</v>
      </c>
      <c r="G47" s="31">
        <v>28.9</v>
      </c>
      <c r="H47" s="32">
        <f t="shared" si="15"/>
        <v>-4.9342105263157895E-2</v>
      </c>
      <c r="I47" s="101">
        <f>IF(ISNUMBER(G47), $B64 * H47, "")</f>
        <v>-4934.2105263157891</v>
      </c>
      <c r="J47" s="15">
        <v>29.1</v>
      </c>
      <c r="K47" s="32">
        <f t="shared" si="16"/>
        <v>-4.2763157894736753E-2</v>
      </c>
      <c r="L47" s="18">
        <f>IF(ISNUMBER(J47), $B64 * K47, "")</f>
        <v>-4276.3157894736751</v>
      </c>
      <c r="M47" s="31">
        <v>26.1</v>
      </c>
      <c r="N47" s="32">
        <f t="shared" si="17"/>
        <v>-0.14144736842105254</v>
      </c>
      <c r="O47" s="18">
        <f>IF(ISNUMBER(M47), $B64 * N47, "")</f>
        <v>-14144.736842105254</v>
      </c>
      <c r="Q47" s="227"/>
      <c r="R47" s="227"/>
      <c r="S47" s="227"/>
    </row>
    <row r="48" spans="1:19" ht="17.25" customHeight="1" thickBot="1">
      <c r="A48" s="127" t="s">
        <v>122</v>
      </c>
      <c r="B48" s="128">
        <v>49.5</v>
      </c>
      <c r="C48" s="78">
        <v>-4.0241449000000002E-3</v>
      </c>
      <c r="D48" s="20">
        <v>49.3</v>
      </c>
      <c r="E48" s="21">
        <f t="shared" si="14"/>
        <v>-4.0404040404040976E-3</v>
      </c>
      <c r="F48" s="22">
        <f>IF(ISNUMBER(D48), $B64 * E48, "")</f>
        <v>-404.04040404040978</v>
      </c>
      <c r="G48" s="30">
        <v>46.3</v>
      </c>
      <c r="H48" s="21">
        <f t="shared" si="15"/>
        <v>-6.4646464646464702E-2</v>
      </c>
      <c r="I48" s="105">
        <f>IF(ISNUMBER(G48), $B64 * H48, "")</f>
        <v>-6464.6464646464701</v>
      </c>
      <c r="J48" s="20">
        <v>47</v>
      </c>
      <c r="K48" s="21">
        <f t="shared" si="16"/>
        <v>-5.0505050505050504E-2</v>
      </c>
      <c r="L48" s="22">
        <f>IF(ISNUMBER(J48), $B64 * K48, "")</f>
        <v>-5050.5050505050503</v>
      </c>
      <c r="M48" s="30">
        <v>41.2</v>
      </c>
      <c r="N48" s="21">
        <f t="shared" si="17"/>
        <v>-0.16767676767676762</v>
      </c>
      <c r="O48" s="22">
        <f>IF(ISNUMBER(M48), $B64 * N48, "")</f>
        <v>-16767.676767676763</v>
      </c>
      <c r="Q48" s="227"/>
      <c r="R48" s="227"/>
      <c r="S48" s="227"/>
    </row>
    <row r="49" spans="1:19" ht="17.25" customHeight="1" thickBot="1">
      <c r="A49" s="125" t="s">
        <v>98</v>
      </c>
      <c r="B49" s="129">
        <v>5.61</v>
      </c>
      <c r="C49" s="80">
        <v>-5.3191489E-3</v>
      </c>
      <c r="D49" s="106">
        <v>5.62</v>
      </c>
      <c r="E49" s="107">
        <f>IF(ISNUMBER(D49), (D49 - $B49) / $B49, "")</f>
        <v>1.7825311942958621E-3</v>
      </c>
      <c r="F49" s="108">
        <f>IF(ISNUMBER(D49), $B64 * E49, "")</f>
        <v>178.25311942958621</v>
      </c>
      <c r="G49" s="109">
        <v>5.28</v>
      </c>
      <c r="H49" s="107">
        <f>IF(ISNUMBER(G49), (G49 - $B49) / $B49, "")</f>
        <v>-5.8823529411764712E-2</v>
      </c>
      <c r="I49" s="110">
        <f>IF(ISNUMBER(G49), $B64 * H49, "")</f>
        <v>-5882.3529411764712</v>
      </c>
      <c r="J49" s="106">
        <v>5.31</v>
      </c>
      <c r="K49" s="107">
        <f>IF(ISNUMBER(J49), (J49 - $B49) / $B49, "")</f>
        <v>-5.3475935828877129E-2</v>
      </c>
      <c r="L49" s="108">
        <f>IF(ISNUMBER(J49), $B64 * K49, "")</f>
        <v>-5347.5935828877127</v>
      </c>
      <c r="M49" s="109">
        <v>4.8099999999999996</v>
      </c>
      <c r="N49" s="107">
        <f>IF(ISNUMBER(M49), (M49 - $B49) / $B49, "")</f>
        <v>-0.14260249554367213</v>
      </c>
      <c r="O49" s="108">
        <f>IF(ISNUMBER(M49), $B64 * N49, "")</f>
        <v>-14260.249554367214</v>
      </c>
      <c r="Q49" s="227"/>
      <c r="R49" s="227"/>
      <c r="S49" s="227"/>
    </row>
    <row r="50" spans="1:19" ht="17.25" customHeight="1" thickBot="1">
      <c r="A50" s="125" t="s">
        <v>190</v>
      </c>
      <c r="B50" s="126">
        <v>22.4</v>
      </c>
      <c r="C50" s="77">
        <v>-8.8495575000000007E-3</v>
      </c>
      <c r="D50" s="15">
        <v>22.3</v>
      </c>
      <c r="E50" s="32">
        <f t="shared" ref="E50:E53" si="18">IF(ISNUMBER(D50), (D50 - $B50) / $B50, "")</f>
        <v>-4.4642857142856195E-3</v>
      </c>
      <c r="F50" s="18">
        <f>IF(ISNUMBER(D50), $B64 * E50, "")</f>
        <v>-446.42857142856195</v>
      </c>
      <c r="G50" s="31">
        <v>21.4</v>
      </c>
      <c r="H50" s="32">
        <f t="shared" ref="H50:H53" si="19">IF(ISNUMBER(G50), (G50 - $B50) / $B50, "")</f>
        <v>-4.4642857142857144E-2</v>
      </c>
      <c r="I50" s="101">
        <f>IF(ISNUMBER(G50), $B64 * H50, "")</f>
        <v>-4464.2857142857147</v>
      </c>
      <c r="J50" s="15">
        <v>21.5</v>
      </c>
      <c r="K50" s="32">
        <f t="shared" ref="K50:K53" si="20">IF(ISNUMBER(J50), (J50 - $B50) / $B50, "")</f>
        <v>-4.0178571428571369E-2</v>
      </c>
      <c r="L50" s="18">
        <f>IF(ISNUMBER(J50), $B64 * K50, "")</f>
        <v>-4017.8571428571368</v>
      </c>
      <c r="M50" s="31">
        <v>19.600000000000001</v>
      </c>
      <c r="N50" s="32">
        <f t="shared" ref="N50:N53" si="21">IF(ISNUMBER(M50), (M50 - $B50) / $B50, "")</f>
        <v>-0.12499999999999988</v>
      </c>
      <c r="O50" s="18">
        <f>IF(ISNUMBER(M50), $B64 * N50, "")</f>
        <v>-12499.999999999987</v>
      </c>
      <c r="Q50" s="227"/>
      <c r="R50" s="227"/>
      <c r="S50" s="227"/>
    </row>
    <row r="51" spans="1:19" ht="17.25" customHeight="1" thickBot="1">
      <c r="A51" s="125" t="s">
        <v>240</v>
      </c>
      <c r="B51" s="126">
        <v>80.8</v>
      </c>
      <c r="C51" s="77">
        <v>-1.10159119E-2</v>
      </c>
      <c r="D51" s="15">
        <v>81.599999999999994</v>
      </c>
      <c r="E51" s="32">
        <f t="shared" si="18"/>
        <v>9.9009900990098664E-3</v>
      </c>
      <c r="F51" s="18">
        <f>IF(ISNUMBER(D51), $B64 * E51, "")</f>
        <v>990.09900990098663</v>
      </c>
      <c r="G51" s="31">
        <v>77.900000000000006</v>
      </c>
      <c r="H51" s="32">
        <f t="shared" si="19"/>
        <v>-3.5891089108910784E-2</v>
      </c>
      <c r="I51" s="101">
        <f>IF(ISNUMBER(G51), $B64 * H51, "")</f>
        <v>-3589.1089108910783</v>
      </c>
      <c r="J51" s="15">
        <v>78.5</v>
      </c>
      <c r="K51" s="32">
        <f t="shared" si="20"/>
        <v>-2.8465346534653432E-2</v>
      </c>
      <c r="L51" s="18">
        <f>IF(ISNUMBER(J51), $B64 * K51, "")</f>
        <v>-2846.5346534653431</v>
      </c>
      <c r="M51" s="31">
        <v>72.7</v>
      </c>
      <c r="N51" s="32">
        <f t="shared" si="21"/>
        <v>-0.10024752475247518</v>
      </c>
      <c r="O51" s="18">
        <f>IF(ISNUMBER(M51), $B64 * N51, "")</f>
        <v>-10024.752475247518</v>
      </c>
      <c r="Q51" s="227"/>
      <c r="R51" s="227"/>
      <c r="S51" s="227"/>
    </row>
    <row r="52" spans="1:19" ht="17.25" customHeight="1" thickBot="1">
      <c r="A52" s="125" t="s">
        <v>148</v>
      </c>
      <c r="B52" s="126">
        <v>28</v>
      </c>
      <c r="C52" s="77">
        <v>-1.4084507E-2</v>
      </c>
      <c r="D52" s="15">
        <v>27.8</v>
      </c>
      <c r="E52" s="32">
        <f t="shared" si="18"/>
        <v>-7.1428571428571175E-3</v>
      </c>
      <c r="F52" s="18">
        <f>IF(ISNUMBER(D52), $B64 * E52, "")</f>
        <v>-714.28571428571172</v>
      </c>
      <c r="G52" s="31">
        <v>26.5</v>
      </c>
      <c r="H52" s="32">
        <f t="shared" si="19"/>
        <v>-5.3571428571428568E-2</v>
      </c>
      <c r="I52" s="101">
        <f>IF(ISNUMBER(G52), $B64 * H52, "")</f>
        <v>-5357.1428571428569</v>
      </c>
      <c r="J52" s="15">
        <v>26.4</v>
      </c>
      <c r="K52" s="32">
        <f t="shared" si="20"/>
        <v>-5.7142857142857197E-2</v>
      </c>
      <c r="L52" s="18">
        <f>IF(ISNUMBER(J52), $B64 * K52, "")</f>
        <v>-5714.2857142857192</v>
      </c>
      <c r="M52" s="31">
        <v>24</v>
      </c>
      <c r="N52" s="32">
        <f t="shared" si="21"/>
        <v>-0.14285714285714285</v>
      </c>
      <c r="O52" s="18">
        <f>IF(ISNUMBER(M52), $B64 * N52, "")</f>
        <v>-14285.714285714284</v>
      </c>
      <c r="Q52" s="33"/>
      <c r="R52" s="33"/>
    </row>
    <row r="53" spans="1:19" ht="17.25" customHeight="1" thickBot="1">
      <c r="A53" s="130" t="s">
        <v>178</v>
      </c>
      <c r="B53" s="131">
        <v>22.2</v>
      </c>
      <c r="C53" s="79">
        <v>-1.7699115000000001E-2</v>
      </c>
      <c r="D53" s="24">
        <v>22.5</v>
      </c>
      <c r="E53" s="25">
        <f t="shared" si="18"/>
        <v>1.3513513513513545E-2</v>
      </c>
      <c r="F53" s="104">
        <f>IF(ISNUMBER(D53), $B64 * E53, "")</f>
        <v>1351.3513513513547</v>
      </c>
      <c r="G53" s="102">
        <v>21.3</v>
      </c>
      <c r="H53" s="25">
        <f t="shared" si="19"/>
        <v>-4.054054054054048E-2</v>
      </c>
      <c r="I53" s="103">
        <f>IF(ISNUMBER(G53), $B64 * H53, "")</f>
        <v>-4054.0540540540478</v>
      </c>
      <c r="J53" s="24">
        <v>21.4</v>
      </c>
      <c r="K53" s="25">
        <f t="shared" si="20"/>
        <v>-3.603603603603607E-2</v>
      </c>
      <c r="L53" s="104">
        <f>IF(ISNUMBER(J53), $B64 * K53, "")</f>
        <v>-3603.6036036036071</v>
      </c>
      <c r="M53" s="102">
        <v>19.2</v>
      </c>
      <c r="N53" s="25">
        <f t="shared" si="21"/>
        <v>-0.13513513513513514</v>
      </c>
      <c r="O53" s="104">
        <f>IF(ISNUMBER(M53), $B64 * N53, "")</f>
        <v>-13513.513513513515</v>
      </c>
      <c r="Q53" s="236"/>
      <c r="R53" s="237"/>
      <c r="S53" s="238"/>
    </row>
    <row r="54" spans="1:19" ht="17.25" customHeight="1">
      <c r="A54" s="123" t="s">
        <v>216</v>
      </c>
      <c r="B54" s="124">
        <v>13.6</v>
      </c>
      <c r="C54" s="76">
        <v>-2.15827338E-2</v>
      </c>
      <c r="D54" s="13">
        <v>13.6</v>
      </c>
      <c r="E54" s="14">
        <f>IF(ISNUMBER(D54), (D54 - $B54) / $B54, "")</f>
        <v>0</v>
      </c>
      <c r="F54" s="16">
        <f>IF(ISNUMBER(D54), $B64 * E54, "")</f>
        <v>0</v>
      </c>
      <c r="G54" s="29">
        <v>13</v>
      </c>
      <c r="H54" s="14">
        <f>IF(ISNUMBER(G54), (G54 - $B54) / $B54, "")</f>
        <v>-4.4117647058823505E-2</v>
      </c>
      <c r="I54" s="100">
        <f>IF(ISNUMBER(G54), $B64 * H54, "")</f>
        <v>-4411.7647058823504</v>
      </c>
      <c r="J54" s="13">
        <v>13.1</v>
      </c>
      <c r="K54" s="14">
        <f>IF(ISNUMBER(J54), (J54 - $B54) / $B54, "")</f>
        <v>-3.6764705882352942E-2</v>
      </c>
      <c r="L54" s="16">
        <f>IF(ISNUMBER(J54), $B64 * K54, "")</f>
        <v>-3676.4705882352941</v>
      </c>
      <c r="M54" s="29">
        <v>11.6</v>
      </c>
      <c r="N54" s="14">
        <f>IF(ISNUMBER(M54), (M54 - $B54) / $B54, "")</f>
        <v>-0.14705882352941177</v>
      </c>
      <c r="O54" s="16">
        <f>IF(ISNUMBER(M54), $B64 * N54, "")</f>
        <v>-14705.882352941177</v>
      </c>
      <c r="Q54" s="239"/>
      <c r="R54" s="240"/>
      <c r="S54" s="241"/>
    </row>
    <row r="55" spans="1:19" ht="17.25" customHeight="1" thickBot="1">
      <c r="A55" s="125" t="s">
        <v>208</v>
      </c>
      <c r="B55" s="126">
        <v>16.399999999999999</v>
      </c>
      <c r="C55" s="77">
        <v>-2.3809523799999999E-2</v>
      </c>
      <c r="D55" s="15">
        <v>16.399999999999999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15.4</v>
      </c>
      <c r="H55" s="32">
        <f t="shared" ref="H55:H58" si="23">IF(ISNUMBER(G55), (G55 - $B55) / $B55, "")</f>
        <v>-6.0975609756097456E-2</v>
      </c>
      <c r="I55" s="101">
        <f>IF(ISNUMBER(G55), $B64 * H55, "")</f>
        <v>-6097.5609756097456</v>
      </c>
      <c r="J55" s="15">
        <v>15.5</v>
      </c>
      <c r="K55" s="32">
        <f t="shared" ref="K55:K58" si="24">IF(ISNUMBER(J55), (J55 - $B55) / $B55, "")</f>
        <v>-5.4878048780487722E-2</v>
      </c>
      <c r="L55" s="18">
        <f>IF(ISNUMBER(J55), $B64 * K55, "")</f>
        <v>-5487.8048780487725</v>
      </c>
      <c r="M55" s="31">
        <v>14.1</v>
      </c>
      <c r="N55" s="32">
        <f t="shared" ref="N55:N58" si="25">IF(ISNUMBER(M55), (M55 - $B55) / $B55, "")</f>
        <v>-0.14024390243902435</v>
      </c>
      <c r="O55" s="18">
        <f>IF(ISNUMBER(M55), $B64 * N55, "")</f>
        <v>-14024.390243902435</v>
      </c>
      <c r="Q55" s="242"/>
      <c r="R55" s="243"/>
      <c r="S55" s="244"/>
    </row>
    <row r="56" spans="1:19" ht="17.25" customHeight="1" thickBot="1">
      <c r="A56" s="125" t="s">
        <v>150</v>
      </c>
      <c r="B56" s="126">
        <v>16</v>
      </c>
      <c r="C56" s="77">
        <v>-3.0303030299999999E-2</v>
      </c>
      <c r="D56" s="15">
        <v>15.9</v>
      </c>
      <c r="E56" s="32">
        <f t="shared" si="22"/>
        <v>-6.2499999999999778E-3</v>
      </c>
      <c r="F56" s="18">
        <f>IF(ISNUMBER(D56), $B64 * E56, "")</f>
        <v>-624.99999999999773</v>
      </c>
      <c r="G56" s="31">
        <v>15.2</v>
      </c>
      <c r="H56" s="32">
        <f t="shared" si="23"/>
        <v>-5.0000000000000044E-2</v>
      </c>
      <c r="I56" s="101">
        <f>IF(ISNUMBER(G56), $B64 * H56, "")</f>
        <v>-5000.0000000000045</v>
      </c>
      <c r="J56" s="15">
        <v>15.3</v>
      </c>
      <c r="K56" s="32">
        <f t="shared" si="24"/>
        <v>-4.3749999999999956E-2</v>
      </c>
      <c r="L56" s="18">
        <f>IF(ISNUMBER(J56), $B64 * K56, "")</f>
        <v>-4374.9999999999955</v>
      </c>
      <c r="M56" s="31">
        <v>13.8</v>
      </c>
      <c r="N56" s="32">
        <f t="shared" si="25"/>
        <v>-0.13749999999999996</v>
      </c>
      <c r="O56" s="18">
        <f>IF(ISNUMBER(M56), $B64 * N56, "")</f>
        <v>-13749.999999999996</v>
      </c>
      <c r="Q56" s="227"/>
      <c r="R56" s="227"/>
      <c r="S56" s="227"/>
    </row>
    <row r="57" spans="1:19" ht="17.25" customHeight="1" thickBot="1">
      <c r="A57" s="125" t="s">
        <v>188</v>
      </c>
      <c r="B57" s="126">
        <v>17.399999999999999</v>
      </c>
      <c r="C57" s="77">
        <v>-5.9459459499999999E-2</v>
      </c>
      <c r="D57" s="15">
        <v>17.5</v>
      </c>
      <c r="E57" s="32">
        <f t="shared" si="22"/>
        <v>5.7471264367816915E-3</v>
      </c>
      <c r="F57" s="18">
        <f>IF(ISNUMBER(D57), $B64 * E57, "")</f>
        <v>574.71264367816912</v>
      </c>
      <c r="G57" s="31">
        <v>16.899999999999999</v>
      </c>
      <c r="H57" s="32">
        <f t="shared" si="23"/>
        <v>-2.8735632183908049E-2</v>
      </c>
      <c r="I57" s="101">
        <f>IF(ISNUMBER(G57), $B64 * H57, "")</f>
        <v>-2873.5632183908051</v>
      </c>
      <c r="J57" s="15">
        <v>17</v>
      </c>
      <c r="K57" s="32">
        <f t="shared" si="24"/>
        <v>-2.2988505747126357E-2</v>
      </c>
      <c r="L57" s="18">
        <f>IF(ISNUMBER(J57), $B64 * K57, "")</f>
        <v>-2298.8505747126355</v>
      </c>
      <c r="M57" s="31">
        <v>15</v>
      </c>
      <c r="N57" s="32">
        <f t="shared" si="25"/>
        <v>-0.13793103448275856</v>
      </c>
      <c r="O57" s="18">
        <f>IF(ISNUMBER(M57), $B64 * N57, "")</f>
        <v>-13793.103448275857</v>
      </c>
      <c r="Q57" s="222"/>
      <c r="R57" s="222"/>
      <c r="S57" s="222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22"/>
      <c r="R58" s="222"/>
      <c r="S58" s="222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27"/>
      <c r="R59" s="227"/>
      <c r="S59" s="227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7"/>
      <c r="R60" s="227"/>
      <c r="S60" s="22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132" t="s">
        <v>270</v>
      </c>
      <c r="B64" s="260">
        <f>$B$37</f>
        <v>100000</v>
      </c>
      <c r="C64" s="261"/>
      <c r="D64" s="26" t="s">
        <v>271</v>
      </c>
      <c r="E64" s="27">
        <f>IF(COUNT(E44:E63), SUM(E44:E63) / COUNT(E44:E63), 0)</f>
        <v>1.0145657689371046E-3</v>
      </c>
      <c r="F64" s="28">
        <f>SUM(F44:F63)</f>
        <v>1420.3920765119465</v>
      </c>
      <c r="G64" s="26" t="s">
        <v>271</v>
      </c>
      <c r="H64" s="27">
        <f>IF(COUNT(H44:H63), SUM(H44:H63) / COUNT(H44:H63), 0)</f>
        <v>-4.583097059191777E-2</v>
      </c>
      <c r="I64" s="28">
        <f>SUM(I44:I63)</f>
        <v>-64163.358828684875</v>
      </c>
      <c r="J64" s="26" t="s">
        <v>271</v>
      </c>
      <c r="K64" s="27">
        <f>IF(COUNT(K44:K63), SUM(K44:K63) / COUNT(K44:K63), 0)</f>
        <v>-3.9870602359842806E-2</v>
      </c>
      <c r="L64" s="28">
        <f>SUM(L44:L63)</f>
        <v>-55818.843303779911</v>
      </c>
      <c r="M64" s="26" t="s">
        <v>271</v>
      </c>
      <c r="N64" s="27">
        <f>IF(COUNT(N44:N63), SUM(N44:N63) / COUNT(N44:N63), 0)</f>
        <v>-0.13110255358802084</v>
      </c>
      <c r="O64" s="28">
        <f>SUM(O44:O63)</f>
        <v>-183543.5750232292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81" t="s">
        <v>267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55149000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2.1442459999999998E-3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2021-09-07(화) 오전 00:00</v>
      </c>
      <c r="C69" s="265"/>
      <c r="D69" s="224" t="str">
        <f>TEXT($G$1, "[$-ko-KR]yyyy-mm-dd(ddd) ") &amp; "오후 14:00"</f>
        <v>2021-09-07(화) 오후 14:00</v>
      </c>
      <c r="E69" s="225"/>
      <c r="F69" s="226"/>
      <c r="G69" s="224" t="str">
        <f>TEXT($G$1, "[$-ko-KR]yyyy-mm-dd(ddd) ") &amp; "오후 19:00"</f>
        <v>2021-09-07(화) 오후 19:00</v>
      </c>
      <c r="H69" s="225"/>
      <c r="I69" s="226"/>
      <c r="J69" s="224" t="str">
        <f>TEXT($G$1, "[$-ko-KR]yyyy-mm-dd(ddd) ") &amp; "오후 21:00"</f>
        <v>2021-09-07(화) 오후 21:00</v>
      </c>
      <c r="K69" s="225"/>
      <c r="L69" s="226"/>
      <c r="M69" s="224" t="str">
        <f>TEXT($G$1+1, "[$-ko-KR]yyyy-mm-dd(ddd) ") &amp; "오전 00:00"</f>
        <v>2021-09-08(수)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7"/>
      <c r="R70" s="227"/>
      <c r="S70" s="227"/>
    </row>
    <row r="71" spans="1:19" ht="17.25" thickBot="1">
      <c r="A71" s="123" t="s">
        <v>200</v>
      </c>
      <c r="B71" s="124">
        <v>255</v>
      </c>
      <c r="C71" s="76">
        <v>0.16972477059999999</v>
      </c>
      <c r="D71" s="13">
        <v>244</v>
      </c>
      <c r="E71" s="14">
        <f>IF(ISNUMBER(D71), (D71 - $B71) / $B71, "")</f>
        <v>-4.3137254901960784E-2</v>
      </c>
      <c r="F71" s="16">
        <f>IF(ISNUMBER(D71), $B91 * E71, "")</f>
        <v>-4313.7254901960787</v>
      </c>
      <c r="G71" s="29">
        <v>238</v>
      </c>
      <c r="H71" s="14">
        <f>IF(ISNUMBER(G71), (G71 - $B71) / $B71, "")</f>
        <v>-6.6666666666666666E-2</v>
      </c>
      <c r="I71" s="100">
        <f>IF(ISNUMBER(G71), $B91 * H71, "")</f>
        <v>-6666.666666666667</v>
      </c>
      <c r="J71" s="13">
        <v>240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218</v>
      </c>
      <c r="N71" s="14">
        <f>IF(ISNUMBER(M71), (M71 - $B71) / $B71, "")</f>
        <v>-0.14509803921568629</v>
      </c>
      <c r="O71" s="16">
        <f>IF(ISNUMBER(M71), $B91 * N71, "")</f>
        <v>-14509.803921568629</v>
      </c>
      <c r="Q71" s="222"/>
      <c r="R71" s="222"/>
      <c r="S71" s="222"/>
    </row>
    <row r="72" spans="1:19" ht="17.25" thickBot="1">
      <c r="A72" s="125" t="s">
        <v>228</v>
      </c>
      <c r="B72" s="126">
        <v>960</v>
      </c>
      <c r="C72" s="77">
        <v>0.1387900356</v>
      </c>
      <c r="D72" s="15">
        <v>1195</v>
      </c>
      <c r="E72" s="32">
        <f t="shared" ref="E72:E75" si="30">IF(ISNUMBER(D72), (D72 - $B72) / $B72, "")</f>
        <v>0.24479166666666666</v>
      </c>
      <c r="F72" s="18">
        <f>IF(ISNUMBER(D72), $B91 * E72, "")</f>
        <v>24479.166666666664</v>
      </c>
      <c r="G72" s="31">
        <v>1160</v>
      </c>
      <c r="H72" s="32">
        <f t="shared" ref="H72:H75" si="31">IF(ISNUMBER(G72), (G72 - $B72) / $B72, "")</f>
        <v>0.20833333333333334</v>
      </c>
      <c r="I72" s="101">
        <f>IF(ISNUMBER(G72), $B91 * H72, "")</f>
        <v>20833.333333333336</v>
      </c>
      <c r="J72" s="15">
        <v>1170</v>
      </c>
      <c r="K72" s="32">
        <f t="shared" ref="K72:K75" si="32">IF(ISNUMBER(J72), (J72 - $B72) / $B72, "")</f>
        <v>0.21875</v>
      </c>
      <c r="L72" s="18">
        <f>IF(ISNUMBER(J72), $B91 * K72, "")</f>
        <v>21875</v>
      </c>
      <c r="M72" s="31">
        <v>1120</v>
      </c>
      <c r="N72" s="32">
        <f t="shared" ref="N72:N75" si="33">IF(ISNUMBER(M72), (M72 - $B72) / $B72, "")</f>
        <v>0.16666666666666666</v>
      </c>
      <c r="O72" s="18">
        <f>IF(ISNUMBER(M72), $B91 * N72, "")</f>
        <v>16666.666666666664</v>
      </c>
      <c r="Q72" s="222"/>
      <c r="R72" s="222"/>
      <c r="S72" s="222"/>
    </row>
    <row r="73" spans="1:19" ht="17.25" thickBot="1">
      <c r="A73" s="125" t="s">
        <v>242</v>
      </c>
      <c r="B73" s="126">
        <v>755</v>
      </c>
      <c r="C73" s="77">
        <v>0.11029411760000001</v>
      </c>
      <c r="D73" s="15">
        <v>726</v>
      </c>
      <c r="E73" s="32">
        <f t="shared" si="30"/>
        <v>-3.8410596026490065E-2</v>
      </c>
      <c r="F73" s="18">
        <f>IF(ISNUMBER(D73), $B91 * E73, "")</f>
        <v>-3841.0596026490066</v>
      </c>
      <c r="G73" s="31">
        <v>682</v>
      </c>
      <c r="H73" s="32">
        <f t="shared" si="31"/>
        <v>-9.6688741721854307E-2</v>
      </c>
      <c r="I73" s="101">
        <f>IF(ISNUMBER(G73), $B91 * H73, "")</f>
        <v>-9668.8741721854312</v>
      </c>
      <c r="J73" s="15">
        <v>698</v>
      </c>
      <c r="K73" s="32">
        <f t="shared" si="32"/>
        <v>-7.5496688741721857E-2</v>
      </c>
      <c r="L73" s="18">
        <f>IF(ISNUMBER(J73), $B91 * K73, "")</f>
        <v>-7549.6688741721855</v>
      </c>
      <c r="M73" s="31">
        <v>620</v>
      </c>
      <c r="N73" s="32">
        <f t="shared" si="33"/>
        <v>-0.17880794701986755</v>
      </c>
      <c r="O73" s="18">
        <f>IF(ISNUMBER(M73), $B91 * N73, "")</f>
        <v>-17880.794701986753</v>
      </c>
      <c r="Q73" s="227"/>
      <c r="R73" s="227"/>
      <c r="S73" s="227"/>
    </row>
    <row r="74" spans="1:19" ht="17.25" thickBot="1">
      <c r="A74" s="125" t="s">
        <v>206</v>
      </c>
      <c r="B74" s="126">
        <v>928</v>
      </c>
      <c r="C74" s="77">
        <v>8.2847141200000002E-2</v>
      </c>
      <c r="D74" s="15">
        <v>972</v>
      </c>
      <c r="E74" s="32">
        <f t="shared" si="30"/>
        <v>4.7413793103448273E-2</v>
      </c>
      <c r="F74" s="18">
        <f>IF(ISNUMBER(D74), $B91 * E74, "")</f>
        <v>4741.379310344827</v>
      </c>
      <c r="G74" s="31">
        <v>917</v>
      </c>
      <c r="H74" s="32">
        <f t="shared" si="31"/>
        <v>-1.1853448275862068E-2</v>
      </c>
      <c r="I74" s="101">
        <f>IF(ISNUMBER(G74), $B91 * H74, "")</f>
        <v>-1185.3448275862067</v>
      </c>
      <c r="J74" s="15">
        <v>967</v>
      </c>
      <c r="K74" s="32">
        <f t="shared" si="32"/>
        <v>4.2025862068965518E-2</v>
      </c>
      <c r="L74" s="18">
        <f>IF(ISNUMBER(J74), $B91 * K74, "")</f>
        <v>4202.5862068965516</v>
      </c>
      <c r="M74" s="31">
        <v>889</v>
      </c>
      <c r="N74" s="32">
        <f t="shared" si="33"/>
        <v>-4.2025862068965518E-2</v>
      </c>
      <c r="O74" s="18">
        <f>IF(ISNUMBER(M74), $B91 * N74, "")</f>
        <v>-4202.5862068965516</v>
      </c>
      <c r="Q74" s="227"/>
      <c r="R74" s="227"/>
      <c r="S74" s="227"/>
    </row>
    <row r="75" spans="1:19" ht="17.25" thickBot="1">
      <c r="A75" s="127" t="s">
        <v>118</v>
      </c>
      <c r="B75" s="128">
        <v>229</v>
      </c>
      <c r="C75" s="78">
        <v>8.0188679200000001E-2</v>
      </c>
      <c r="D75" s="20">
        <v>228</v>
      </c>
      <c r="E75" s="21">
        <f t="shared" si="30"/>
        <v>-4.3668122270742356E-3</v>
      </c>
      <c r="F75" s="22">
        <f>IF(ISNUMBER(D75), $B91 * E75, "")</f>
        <v>-436.68122270742356</v>
      </c>
      <c r="G75" s="30">
        <v>215</v>
      </c>
      <c r="H75" s="21">
        <f t="shared" si="31"/>
        <v>-6.1135371179039298E-2</v>
      </c>
      <c r="I75" s="105">
        <f>IF(ISNUMBER(G75), $B91 * H75, "")</f>
        <v>-6113.5371179039303</v>
      </c>
      <c r="J75" s="20">
        <v>216</v>
      </c>
      <c r="K75" s="21">
        <f t="shared" si="32"/>
        <v>-5.6768558951965066E-2</v>
      </c>
      <c r="L75" s="22">
        <f>IF(ISNUMBER(J75), $B91 * K75, "")</f>
        <v>-5676.8558951965069</v>
      </c>
      <c r="M75" s="30">
        <v>201</v>
      </c>
      <c r="N75" s="21">
        <f t="shared" si="33"/>
        <v>-0.1222707423580786</v>
      </c>
      <c r="O75" s="22">
        <f>IF(ISNUMBER(M75), $B91 * N75, "")</f>
        <v>-12227.074235807861</v>
      </c>
      <c r="Q75" s="227"/>
      <c r="R75" s="227"/>
      <c r="S75" s="227"/>
    </row>
    <row r="76" spans="1:19" ht="17.25" thickBot="1">
      <c r="A76" s="125" t="s">
        <v>222</v>
      </c>
      <c r="B76" s="129">
        <v>219</v>
      </c>
      <c r="C76" s="80">
        <v>6.3106796100000001E-2</v>
      </c>
      <c r="D76" s="106">
        <v>226</v>
      </c>
      <c r="E76" s="107">
        <f>IF(ISNUMBER(D76), (D76 - $B76) / $B76, "")</f>
        <v>3.1963470319634701E-2</v>
      </c>
      <c r="F76" s="108">
        <f>IF(ISNUMBER(D76), $B91 * E76, "")</f>
        <v>3196.3470319634703</v>
      </c>
      <c r="G76" s="109">
        <v>209</v>
      </c>
      <c r="H76" s="107">
        <f>IF(ISNUMBER(G76), (G76 - $B76) / $B76, "")</f>
        <v>-4.5662100456621002E-2</v>
      </c>
      <c r="I76" s="110">
        <f>IF(ISNUMBER(G76), $B91 * H76, "")</f>
        <v>-4566.2100456621001</v>
      </c>
      <c r="J76" s="106">
        <v>211</v>
      </c>
      <c r="K76" s="107">
        <f>IF(ISNUMBER(J76), (J76 - $B76) / $B76, "")</f>
        <v>-3.6529680365296802E-2</v>
      </c>
      <c r="L76" s="108">
        <f>IF(ISNUMBER(J76), $B91 * K76, "")</f>
        <v>-3652.9680365296804</v>
      </c>
      <c r="M76" s="109">
        <v>188</v>
      </c>
      <c r="N76" s="107">
        <f>IF(ISNUMBER(M76), (M76 - $B76) / $B76, "")</f>
        <v>-0.14155251141552511</v>
      </c>
      <c r="O76" s="108">
        <f>IF(ISNUMBER(M76), $B91 * N76, "")</f>
        <v>-14155.251141552511</v>
      </c>
      <c r="Q76" s="227"/>
      <c r="R76" s="227"/>
      <c r="S76" s="227"/>
    </row>
    <row r="77" spans="1:19" ht="17.25" thickBot="1">
      <c r="A77" s="125" t="s">
        <v>232</v>
      </c>
      <c r="B77" s="126">
        <v>911</v>
      </c>
      <c r="C77" s="77">
        <v>5.9302325599999997E-2</v>
      </c>
      <c r="D77" s="15">
        <v>962</v>
      </c>
      <c r="E77" s="32">
        <f t="shared" ref="E77:E80" si="34">IF(ISNUMBER(D77), (D77 - $B77) / $B77, "")</f>
        <v>5.598243688254665E-2</v>
      </c>
      <c r="F77" s="18">
        <f>IF(ISNUMBER(D77), $B91 * E77, "")</f>
        <v>5598.2436882546654</v>
      </c>
      <c r="G77" s="31">
        <v>915</v>
      </c>
      <c r="H77" s="32">
        <f t="shared" ref="H77:H80" si="35">IF(ISNUMBER(G77), (G77 - $B77) / $B77, "")</f>
        <v>4.3907793633369925E-3</v>
      </c>
      <c r="I77" s="101">
        <f>IF(ISNUMBER(G77), $B91 * H77, "")</f>
        <v>439.07793633369926</v>
      </c>
      <c r="J77" s="15">
        <v>966</v>
      </c>
      <c r="K77" s="32">
        <f t="shared" ref="K77:K80" si="36">IF(ISNUMBER(J77), (J77 - $B77) / $B77, "")</f>
        <v>6.0373216245883647E-2</v>
      </c>
      <c r="L77" s="18">
        <f>IF(ISNUMBER(J77), $B91 * K77, "")</f>
        <v>6037.321624588365</v>
      </c>
      <c r="M77" s="31">
        <v>940</v>
      </c>
      <c r="N77" s="32">
        <f t="shared" ref="N77:N80" si="37">IF(ISNUMBER(M77), (M77 - $B77) / $B77, "")</f>
        <v>3.1833150384193196E-2</v>
      </c>
      <c r="O77" s="18">
        <f>IF(ISNUMBER(M77), $B91 * N77, "")</f>
        <v>3183.3150384193195</v>
      </c>
      <c r="Q77" s="227"/>
      <c r="R77" s="227"/>
      <c r="S77" s="227"/>
    </row>
    <row r="78" spans="1:19" ht="17.25" thickBot="1">
      <c r="A78" s="125" t="s">
        <v>51</v>
      </c>
      <c r="B78" s="126">
        <v>477</v>
      </c>
      <c r="C78" s="77">
        <v>4.6052631599999998E-2</v>
      </c>
      <c r="D78" s="15">
        <v>480</v>
      </c>
      <c r="E78" s="32">
        <f t="shared" si="34"/>
        <v>6.2893081761006293E-3</v>
      </c>
      <c r="F78" s="18">
        <f>IF(ISNUMBER(D78), $B91 * E78, "")</f>
        <v>628.93081761006295</v>
      </c>
      <c r="G78" s="31">
        <v>448</v>
      </c>
      <c r="H78" s="32">
        <f t="shared" si="35"/>
        <v>-6.0796645702306078E-2</v>
      </c>
      <c r="I78" s="101">
        <f>IF(ISNUMBER(G78), $B91 * H78, "")</f>
        <v>-6079.6645702306078</v>
      </c>
      <c r="J78" s="15">
        <v>448</v>
      </c>
      <c r="K78" s="32">
        <f t="shared" si="36"/>
        <v>-6.0796645702306078E-2</v>
      </c>
      <c r="L78" s="18">
        <f>IF(ISNUMBER(J78), $B91 * K78, "")</f>
        <v>-6079.6645702306078</v>
      </c>
      <c r="M78" s="31">
        <v>407</v>
      </c>
      <c r="N78" s="32">
        <f t="shared" si="37"/>
        <v>-0.14675052410901468</v>
      </c>
      <c r="O78" s="18">
        <f>IF(ISNUMBER(M78), $B91 * N78, "")</f>
        <v>-14675.052410901468</v>
      </c>
      <c r="Q78" s="227"/>
      <c r="R78" s="227"/>
      <c r="S78" s="227"/>
    </row>
    <row r="79" spans="1:19" ht="17.25" thickBot="1">
      <c r="A79" s="125" t="s">
        <v>220</v>
      </c>
      <c r="B79" s="126">
        <v>282</v>
      </c>
      <c r="C79" s="77">
        <v>2.1739130400000001E-2</v>
      </c>
      <c r="D79" s="15">
        <v>291</v>
      </c>
      <c r="E79" s="32">
        <f t="shared" si="34"/>
        <v>3.1914893617021274E-2</v>
      </c>
      <c r="F79" s="18">
        <f>IF(ISNUMBER(D79), $B91 * E79, "")</f>
        <v>3191.4893617021276</v>
      </c>
      <c r="G79" s="31">
        <v>273</v>
      </c>
      <c r="H79" s="32">
        <f t="shared" si="35"/>
        <v>-3.1914893617021274E-2</v>
      </c>
      <c r="I79" s="101">
        <f>IF(ISNUMBER(G79), $B91 * H79, "")</f>
        <v>-3191.4893617021276</v>
      </c>
      <c r="J79" s="15">
        <v>276</v>
      </c>
      <c r="K79" s="32">
        <f t="shared" si="36"/>
        <v>-2.1276595744680851E-2</v>
      </c>
      <c r="L79" s="18">
        <f>IF(ISNUMBER(J79), $B91 * K79, "")</f>
        <v>-2127.6595744680849</v>
      </c>
      <c r="M79" s="31">
        <v>240</v>
      </c>
      <c r="N79" s="32">
        <f t="shared" si="37"/>
        <v>-0.14893617021276595</v>
      </c>
      <c r="O79" s="18">
        <f>IF(ISNUMBER(M79), $B91 * N79, "")</f>
        <v>-14893.617021276596</v>
      </c>
      <c r="Q79" s="33"/>
      <c r="R79" s="33"/>
    </row>
    <row r="80" spans="1:19" ht="17.25" thickBot="1">
      <c r="A80" s="130" t="s">
        <v>254</v>
      </c>
      <c r="B80" s="131">
        <v>471</v>
      </c>
      <c r="C80" s="79">
        <v>2.1691973999999999E-2</v>
      </c>
      <c r="D80" s="24">
        <v>480</v>
      </c>
      <c r="E80" s="25">
        <f t="shared" si="34"/>
        <v>1.9108280254777069E-2</v>
      </c>
      <c r="F80" s="104">
        <f>IF(ISNUMBER(D80), $B91 * E80, "")</f>
        <v>1910.8280254777069</v>
      </c>
      <c r="G80" s="102">
        <v>448</v>
      </c>
      <c r="H80" s="25">
        <f t="shared" si="35"/>
        <v>-4.8832271762208071E-2</v>
      </c>
      <c r="I80" s="103">
        <f>IF(ISNUMBER(G80), $B91 * H80, "")</f>
        <v>-4883.2271762208075</v>
      </c>
      <c r="J80" s="24">
        <v>446</v>
      </c>
      <c r="K80" s="25">
        <f t="shared" si="36"/>
        <v>-5.3078556263269641E-2</v>
      </c>
      <c r="L80" s="104">
        <f>IF(ISNUMBER(J80), $B91 * K80, "")</f>
        <v>-5307.8556263269638</v>
      </c>
      <c r="M80" s="102">
        <v>404</v>
      </c>
      <c r="N80" s="25">
        <f t="shared" si="37"/>
        <v>-0.14225053078556263</v>
      </c>
      <c r="O80" s="104">
        <f>IF(ISNUMBER(M80), $B91 * N80, "")</f>
        <v>-14225.053078556262</v>
      </c>
      <c r="Q80" s="236"/>
      <c r="R80" s="237"/>
      <c r="S80" s="238"/>
    </row>
    <row r="81" spans="1:19">
      <c r="A81" s="123" t="s">
        <v>144</v>
      </c>
      <c r="B81" s="124">
        <v>143</v>
      </c>
      <c r="C81" s="76">
        <v>2.1428571399999999E-2</v>
      </c>
      <c r="D81" s="13">
        <v>140</v>
      </c>
      <c r="E81" s="14">
        <f>IF(ISNUMBER(D81), (D81 - $B81) / $B81, "")</f>
        <v>-2.097902097902098E-2</v>
      </c>
      <c r="F81" s="16">
        <f>IF(ISNUMBER(D81), $B91 * E81, "")</f>
        <v>-2097.9020979020979</v>
      </c>
      <c r="G81" s="29">
        <v>133</v>
      </c>
      <c r="H81" s="14">
        <f>IF(ISNUMBER(G81), (G81 - $B81) / $B81, "")</f>
        <v>-6.9930069930069935E-2</v>
      </c>
      <c r="I81" s="100">
        <f>IF(ISNUMBER(G81), $B91 * H81, "")</f>
        <v>-6993.0069930069931</v>
      </c>
      <c r="J81" s="13">
        <v>133</v>
      </c>
      <c r="K81" s="14">
        <f>IF(ISNUMBER(J81), (J81 - $B81) / $B81, "")</f>
        <v>-6.9930069930069935E-2</v>
      </c>
      <c r="L81" s="16">
        <f>IF(ISNUMBER(J81), $B91 * K81, "")</f>
        <v>-6993.0069930069931</v>
      </c>
      <c r="M81" s="29">
        <v>118</v>
      </c>
      <c r="N81" s="14">
        <f>IF(ISNUMBER(M81), (M81 - $B81) / $B81, "")</f>
        <v>-0.17482517482517482</v>
      </c>
      <c r="O81" s="16">
        <f>IF(ISNUMBER(M81), $B91 * N81, "")</f>
        <v>-17482.51748251748</v>
      </c>
      <c r="Q81" s="239"/>
      <c r="R81" s="240"/>
      <c r="S81" s="241"/>
    </row>
    <row r="82" spans="1:19" ht="17.25" thickBot="1">
      <c r="A82" s="125" t="s">
        <v>124</v>
      </c>
      <c r="B82" s="126">
        <v>730</v>
      </c>
      <c r="C82" s="77">
        <v>2.0979021E-2</v>
      </c>
      <c r="D82" s="15">
        <v>752</v>
      </c>
      <c r="E82" s="32">
        <f t="shared" ref="E82:E85" si="38">IF(ISNUMBER(D82), (D82 - $B82) / $B82, "")</f>
        <v>3.0136986301369864E-2</v>
      </c>
      <c r="F82" s="18">
        <f>IF(ISNUMBER(D82), $B91 * E82, "")</f>
        <v>3013.6986301369866</v>
      </c>
      <c r="G82" s="31">
        <v>696</v>
      </c>
      <c r="H82" s="32">
        <f t="shared" ref="H82:H85" si="39">IF(ISNUMBER(G82), (G82 - $B82) / $B82, "")</f>
        <v>-4.6575342465753428E-2</v>
      </c>
      <c r="I82" s="101">
        <f>IF(ISNUMBER(G82), $B91 * H82, "")</f>
        <v>-4657.5342465753429</v>
      </c>
      <c r="J82" s="15">
        <v>703</v>
      </c>
      <c r="K82" s="32">
        <f t="shared" ref="K82:K85" si="40">IF(ISNUMBER(J82), (J82 - $B82) / $B82, "")</f>
        <v>-3.6986301369863014E-2</v>
      </c>
      <c r="L82" s="18">
        <f>IF(ISNUMBER(J82), $B91 * K82, "")</f>
        <v>-3698.6301369863013</v>
      </c>
      <c r="M82" s="31">
        <v>603</v>
      </c>
      <c r="N82" s="32">
        <f t="shared" ref="N82:N85" si="41">IF(ISNUMBER(M82), (M82 - $B82) / $B82, "")</f>
        <v>-0.17397260273972603</v>
      </c>
      <c r="O82" s="18">
        <f>IF(ISNUMBER(M82), $B91 * N82, "")</f>
        <v>-17397.260273972603</v>
      </c>
      <c r="Q82" s="242"/>
      <c r="R82" s="243"/>
      <c r="S82" s="244"/>
    </row>
    <row r="83" spans="1:19" ht="17.25" thickBot="1">
      <c r="A83" s="125" t="s">
        <v>238</v>
      </c>
      <c r="B83" s="126">
        <v>153</v>
      </c>
      <c r="C83" s="77">
        <v>0.02</v>
      </c>
      <c r="D83" s="15">
        <v>152</v>
      </c>
      <c r="E83" s="32">
        <f t="shared" si="38"/>
        <v>-6.5359477124183009E-3</v>
      </c>
      <c r="F83" s="18">
        <f>IF(ISNUMBER(D83), $B91 * E83, "")</f>
        <v>-653.59477124183013</v>
      </c>
      <c r="G83" s="31">
        <v>145</v>
      </c>
      <c r="H83" s="32">
        <f t="shared" si="39"/>
        <v>-5.2287581699346407E-2</v>
      </c>
      <c r="I83" s="101">
        <f>IF(ISNUMBER(G83), $B91 * H83, "")</f>
        <v>-5228.758169934641</v>
      </c>
      <c r="J83" s="15">
        <v>146</v>
      </c>
      <c r="K83" s="32">
        <f t="shared" si="40"/>
        <v>-4.5751633986928102E-2</v>
      </c>
      <c r="L83" s="18">
        <f>IF(ISNUMBER(J83), $B91 * K83, "")</f>
        <v>-4575.16339869281</v>
      </c>
      <c r="M83" s="31">
        <v>132</v>
      </c>
      <c r="N83" s="32">
        <f t="shared" si="41"/>
        <v>-0.13725490196078433</v>
      </c>
      <c r="O83" s="18">
        <f>IF(ISNUMBER(M83), $B91 * N83, "")</f>
        <v>-13725.490196078432</v>
      </c>
      <c r="Q83" s="227"/>
      <c r="R83" s="227"/>
      <c r="S83" s="227"/>
    </row>
    <row r="84" spans="1:19" ht="17.25" thickBot="1">
      <c r="A84" s="125" t="s">
        <v>250</v>
      </c>
      <c r="B84" s="126">
        <v>107</v>
      </c>
      <c r="C84" s="77">
        <v>1.9047618999999998E-2</v>
      </c>
      <c r="D84" s="15">
        <v>108</v>
      </c>
      <c r="E84" s="32">
        <f t="shared" si="38"/>
        <v>9.3457943925233638E-3</v>
      </c>
      <c r="F84" s="18">
        <f>IF(ISNUMBER(D84), $B91 * E84, "")</f>
        <v>934.57943925233633</v>
      </c>
      <c r="G84" s="31">
        <v>101</v>
      </c>
      <c r="H84" s="32">
        <f t="shared" si="39"/>
        <v>-5.6074766355140186E-2</v>
      </c>
      <c r="I84" s="101">
        <f>IF(ISNUMBER(G84), $B91 * H84, "")</f>
        <v>-5607.4766355140182</v>
      </c>
      <c r="J84" s="15">
        <v>102</v>
      </c>
      <c r="K84" s="32">
        <f t="shared" si="40"/>
        <v>-4.6728971962616821E-2</v>
      </c>
      <c r="L84" s="18">
        <f>IF(ISNUMBER(J84), $B91 * K84, "")</f>
        <v>-4672.8971962616824</v>
      </c>
      <c r="M84" s="31">
        <v>91.4</v>
      </c>
      <c r="N84" s="32">
        <f t="shared" si="41"/>
        <v>-0.14579439252336443</v>
      </c>
      <c r="O84" s="18">
        <f>IF(ISNUMBER(M84), $B91 * N84, "")</f>
        <v>-14579.439252336442</v>
      </c>
      <c r="Q84" s="222"/>
      <c r="R84" s="222"/>
      <c r="S84" s="222"/>
    </row>
    <row r="85" spans="1:19" ht="17.25" thickBot="1">
      <c r="A85" s="127" t="s">
        <v>236</v>
      </c>
      <c r="B85" s="128">
        <v>820</v>
      </c>
      <c r="C85" s="78">
        <v>1.7369727000000001E-2</v>
      </c>
      <c r="D85" s="20">
        <v>834</v>
      </c>
      <c r="E85" s="21">
        <f t="shared" si="38"/>
        <v>1.7073170731707318E-2</v>
      </c>
      <c r="F85" s="22">
        <f>IF(ISNUMBER(D85), $B91 * E85, "")</f>
        <v>1707.3170731707319</v>
      </c>
      <c r="G85" s="30">
        <v>790</v>
      </c>
      <c r="H85" s="21">
        <f t="shared" si="39"/>
        <v>-3.6585365853658534E-2</v>
      </c>
      <c r="I85" s="105">
        <f>IF(ISNUMBER(G85), $B91 * H85, "")</f>
        <v>-3658.5365853658536</v>
      </c>
      <c r="J85" s="20">
        <v>803</v>
      </c>
      <c r="K85" s="21">
        <f t="shared" si="40"/>
        <v>-2.0731707317073172E-2</v>
      </c>
      <c r="L85" s="22">
        <f>IF(ISNUMBER(J85), $B91 * K85, "")</f>
        <v>-2073.1707317073174</v>
      </c>
      <c r="M85" s="30">
        <v>740</v>
      </c>
      <c r="N85" s="21">
        <f t="shared" si="41"/>
        <v>-9.7560975609756101E-2</v>
      </c>
      <c r="O85" s="22">
        <f>IF(ISNUMBER(M85), $B91 * N85, "")</f>
        <v>-9756.0975609756097</v>
      </c>
      <c r="Q85" s="222"/>
      <c r="R85" s="222"/>
      <c r="S85" s="222"/>
    </row>
    <row r="86" spans="1:19" ht="17.25" thickBot="1">
      <c r="A86" s="125" t="s">
        <v>174</v>
      </c>
      <c r="B86" s="129">
        <v>487</v>
      </c>
      <c r="C86" s="80">
        <v>1.6701461399999999E-2</v>
      </c>
      <c r="D86" s="106">
        <v>504</v>
      </c>
      <c r="E86" s="107">
        <f>IF(ISNUMBER(D86), (D86 - $B86) / $B86, "")</f>
        <v>3.4907597535934289E-2</v>
      </c>
      <c r="F86" s="108">
        <f>IF(ISNUMBER(D86), $B91 * E86, "")</f>
        <v>3490.7597535934287</v>
      </c>
      <c r="G86" s="109">
        <v>462</v>
      </c>
      <c r="H86" s="107">
        <f>IF(ISNUMBER(G86), (G86 - $B86) / $B86, "")</f>
        <v>-5.1334702258726897E-2</v>
      </c>
      <c r="I86" s="110">
        <f>IF(ISNUMBER(G86), $B91 * H86, "")</f>
        <v>-5133.4702258726893</v>
      </c>
      <c r="J86" s="106">
        <v>485</v>
      </c>
      <c r="K86" s="107">
        <f>IF(ISNUMBER(J86), (J86 - $B86) / $B86, "")</f>
        <v>-4.1067761806981521E-3</v>
      </c>
      <c r="L86" s="108">
        <f>IF(ISNUMBER(J86), $B91 * K86, "")</f>
        <v>-410.6776180698152</v>
      </c>
      <c r="M86" s="109">
        <v>417</v>
      </c>
      <c r="N86" s="107">
        <f>IF(ISNUMBER(M86), (M86 - $B86) / $B86, "")</f>
        <v>-0.14373716632443531</v>
      </c>
      <c r="O86" s="108">
        <f>IF(ISNUMBER(M86), $B91 * N86, "")</f>
        <v>-14373.716632443531</v>
      </c>
      <c r="Q86" s="227"/>
      <c r="R86" s="227"/>
      <c r="S86" s="227"/>
    </row>
    <row r="87" spans="1:19" ht="17.25" thickBot="1">
      <c r="A87" s="125" t="s">
        <v>166</v>
      </c>
      <c r="B87" s="126">
        <v>284</v>
      </c>
      <c r="C87" s="77">
        <v>1.42857143E-2</v>
      </c>
      <c r="D87" s="15">
        <v>286</v>
      </c>
      <c r="E87" s="32">
        <f t="shared" ref="E87:E90" si="42">IF(ISNUMBER(D87), (D87 - $B87) / $B87, "")</f>
        <v>7.0422535211267607E-3</v>
      </c>
      <c r="F87" s="18">
        <f>IF(ISNUMBER(D87), $B91 * E87, "")</f>
        <v>704.22535211267609</v>
      </c>
      <c r="G87" s="31">
        <v>268</v>
      </c>
      <c r="H87" s="32">
        <f t="shared" ref="H87:H90" si="43">IF(ISNUMBER(G87), (G87 - $B87) / $B87, "")</f>
        <v>-5.6338028169014086E-2</v>
      </c>
      <c r="I87" s="101">
        <f>IF(ISNUMBER(G87), $B91 * H87, "")</f>
        <v>-5633.8028169014087</v>
      </c>
      <c r="J87" s="15">
        <v>270</v>
      </c>
      <c r="K87" s="32">
        <f t="shared" ref="K87:K90" si="44">IF(ISNUMBER(J87), (J87 - $B87) / $B87, "")</f>
        <v>-4.9295774647887321E-2</v>
      </c>
      <c r="L87" s="18">
        <f>IF(ISNUMBER(J87), $B91 * K87, "")</f>
        <v>-4929.577464788732</v>
      </c>
      <c r="M87" s="31">
        <v>239</v>
      </c>
      <c r="N87" s="32">
        <f t="shared" ref="N87:N90" si="45">IF(ISNUMBER(M87), (M87 - $B87) / $B87, "")</f>
        <v>-0.15845070422535212</v>
      </c>
      <c r="O87" s="18">
        <f>IF(ISNUMBER(M87), $B91 * N87, "")</f>
        <v>-15845.070422535213</v>
      </c>
      <c r="Q87" s="227"/>
      <c r="R87" s="227"/>
      <c r="S87" s="227"/>
    </row>
    <row r="88" spans="1:19" ht="17.25" thickBot="1">
      <c r="A88" s="125" t="s">
        <v>194</v>
      </c>
      <c r="B88" s="126">
        <v>163</v>
      </c>
      <c r="C88" s="77">
        <v>1.24223602E-2</v>
      </c>
      <c r="D88" s="15">
        <v>165</v>
      </c>
      <c r="E88" s="32">
        <f t="shared" si="42"/>
        <v>1.2269938650306749E-2</v>
      </c>
      <c r="F88" s="18">
        <f>IF(ISNUMBER(D88), $B91 * E88, "")</f>
        <v>1226.9938650306749</v>
      </c>
      <c r="G88" s="31">
        <v>156</v>
      </c>
      <c r="H88" s="32">
        <f t="shared" si="43"/>
        <v>-4.2944785276073622E-2</v>
      </c>
      <c r="I88" s="101">
        <f>IF(ISNUMBER(G88), $B91 * H88, "")</f>
        <v>-4294.4785276073626</v>
      </c>
      <c r="J88" s="15">
        <v>156</v>
      </c>
      <c r="K88" s="32">
        <f t="shared" si="44"/>
        <v>-4.2944785276073622E-2</v>
      </c>
      <c r="L88" s="18">
        <f>IF(ISNUMBER(J88), $B91 * K88, "")</f>
        <v>-4294.4785276073626</v>
      </c>
      <c r="M88" s="31">
        <v>141</v>
      </c>
      <c r="N88" s="32">
        <f t="shared" si="45"/>
        <v>-0.13496932515337423</v>
      </c>
      <c r="O88" s="18">
        <f>IF(ISNUMBER(M88), $B91 * N88, "")</f>
        <v>-13496.932515337423</v>
      </c>
      <c r="Q88" s="227"/>
      <c r="R88" s="227"/>
      <c r="S88" s="227"/>
    </row>
    <row r="89" spans="1:19">
      <c r="A89" s="125" t="s">
        <v>138</v>
      </c>
      <c r="B89" s="126">
        <v>452</v>
      </c>
      <c r="C89" s="77">
        <v>1.1185682299999999E-2</v>
      </c>
      <c r="D89" s="15">
        <v>490</v>
      </c>
      <c r="E89" s="32">
        <f t="shared" si="42"/>
        <v>8.4070796460176997E-2</v>
      </c>
      <c r="F89" s="18">
        <f>IF(ISNUMBER(D89), $B91 * E89, "")</f>
        <v>8407.0796460176989</v>
      </c>
      <c r="G89" s="31">
        <v>460</v>
      </c>
      <c r="H89" s="32">
        <f t="shared" si="43"/>
        <v>1.7699115044247787E-2</v>
      </c>
      <c r="I89" s="101">
        <f>IF(ISNUMBER(G89), $B91 * H89, "")</f>
        <v>1769.9115044247787</v>
      </c>
      <c r="J89" s="15">
        <v>461</v>
      </c>
      <c r="K89" s="32">
        <f t="shared" si="44"/>
        <v>1.9911504424778761E-2</v>
      </c>
      <c r="L89" s="18">
        <f>IF(ISNUMBER(J89), $B91 * K89, "")</f>
        <v>1991.1504424778761</v>
      </c>
      <c r="M89" s="31">
        <v>419</v>
      </c>
      <c r="N89" s="32">
        <f t="shared" si="45"/>
        <v>-7.3008849557522126E-2</v>
      </c>
      <c r="O89" s="18">
        <f>IF(ISNUMBER(M89), $B91 * N89, "")</f>
        <v>-7300.8849557522126</v>
      </c>
      <c r="Q89" s="249"/>
      <c r="R89" s="250"/>
      <c r="S89" s="251"/>
    </row>
    <row r="90" spans="1:19" ht="17.25" thickBot="1">
      <c r="A90" s="130" t="s">
        <v>54</v>
      </c>
      <c r="B90" s="131">
        <v>355</v>
      </c>
      <c r="C90" s="79">
        <v>5.6657223999999999E-3</v>
      </c>
      <c r="D90" s="24">
        <v>391</v>
      </c>
      <c r="E90" s="25">
        <f t="shared" si="42"/>
        <v>0.10140845070422536</v>
      </c>
      <c r="F90" s="104">
        <f>IF(ISNUMBER(D90), $B91 * E90, "")</f>
        <v>10140.845070422536</v>
      </c>
      <c r="G90" s="102">
        <v>364</v>
      </c>
      <c r="H90" s="25">
        <f t="shared" si="43"/>
        <v>2.5352112676056339E-2</v>
      </c>
      <c r="I90" s="103">
        <f>IF(ISNUMBER(G90), $B91 * H90, "")</f>
        <v>2535.211267605634</v>
      </c>
      <c r="J90" s="24">
        <v>359</v>
      </c>
      <c r="K90" s="25">
        <f t="shared" si="44"/>
        <v>1.1267605633802818E-2</v>
      </c>
      <c r="L90" s="104">
        <f>IF(ISNUMBER(J90), $B91 * K90, "")</f>
        <v>1126.7605633802818</v>
      </c>
      <c r="M90" s="102">
        <v>332</v>
      </c>
      <c r="N90" s="25">
        <f t="shared" si="45"/>
        <v>-6.4788732394366194E-2</v>
      </c>
      <c r="O90" s="104">
        <f>IF(ISNUMBER(M90), $B91 * N90, "")</f>
        <v>-6478.8732394366198</v>
      </c>
      <c r="Q90" s="252"/>
      <c r="R90" s="253"/>
      <c r="S90" s="254"/>
    </row>
    <row r="91" spans="1:19" ht="17.25" thickBot="1">
      <c r="A91" s="132" t="s">
        <v>270</v>
      </c>
      <c r="B91" s="260">
        <f>$B$37</f>
        <v>100000</v>
      </c>
      <c r="C91" s="261"/>
      <c r="D91" s="26" t="s">
        <v>271</v>
      </c>
      <c r="E91" s="27">
        <f>IF(COUNT(E71:E90), SUM(E71:E90) / COUNT(E71:E90), 0)</f>
        <v>3.1014460273530081E-2</v>
      </c>
      <c r="F91" s="28">
        <f>SUM(F71:F90)</f>
        <v>62028.920547060145</v>
      </c>
      <c r="G91" s="26" t="s">
        <v>271</v>
      </c>
      <c r="H91" s="27">
        <f>IF(COUNT(H71:H90), SUM(H71:H90) / COUNT(H71:H90), 0)</f>
        <v>-2.8992272048619372E-2</v>
      </c>
      <c r="I91" s="28">
        <f>SUM(I71:I90)</f>
        <v>-57984.54409723873</v>
      </c>
      <c r="J91" s="26" t="s">
        <v>271</v>
      </c>
      <c r="K91" s="27">
        <f>IF(COUNT(K71:K90), SUM(K71:K90) / COUNT(K71:K90), 0)</f>
        <v>-1.6345904373939225E-2</v>
      </c>
      <c r="L91" s="28">
        <f>SUM(L71:L90)</f>
        <v>-32691.808747878436</v>
      </c>
      <c r="M91" s="26" t="s">
        <v>271</v>
      </c>
      <c r="N91" s="27">
        <f>IF(COUNT(N71:N90), SUM(N71:N90) / COUNT(N71:N90), 0)</f>
        <v>-0.10867776677242311</v>
      </c>
      <c r="O91" s="28">
        <f>SUM(O71:O90)</f>
        <v>-217355.5335448462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81" t="s">
        <v>267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55149000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2.1442459999999998E-3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2021-09-07(화) 오전 00:00</v>
      </c>
      <c r="C96" s="265"/>
      <c r="D96" s="224" t="str">
        <f>TEXT($G$1, "[$-ko-KR]yyyy-mm-dd(ddd) ") &amp; "오후 14:00"</f>
        <v>2021-09-07(화) 오후 14:00</v>
      </c>
      <c r="E96" s="225"/>
      <c r="F96" s="226"/>
      <c r="G96" s="224" t="str">
        <f>TEXT($G$1, "[$-ko-KR]yyyy-mm-dd(ddd) ") &amp; "오후 19:00"</f>
        <v>2021-09-07(화) 오후 19:00</v>
      </c>
      <c r="H96" s="225"/>
      <c r="I96" s="226"/>
      <c r="J96" s="224" t="str">
        <f>TEXT($G$1, "[$-ko-KR]yyyy-mm-dd(ddd) ") &amp; "오후 21:00"</f>
        <v>2021-09-07(화) 오후 21:00</v>
      </c>
      <c r="K96" s="225"/>
      <c r="L96" s="226"/>
      <c r="M96" s="224" t="str">
        <f>TEXT($G$1+1, "[$-ko-KR]yyyy-mm-dd(ddd) ") &amp; "오전 00:00"</f>
        <v>2021-09-08(수)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7"/>
      <c r="R97" s="227"/>
      <c r="S97" s="227"/>
    </row>
    <row r="98" spans="1:19" ht="17.25" thickBot="1">
      <c r="A98" s="123" t="s">
        <v>164</v>
      </c>
      <c r="B98" s="124">
        <v>1000</v>
      </c>
      <c r="C98" s="76">
        <v>0.34408602150000001</v>
      </c>
      <c r="D98" s="13">
        <v>975</v>
      </c>
      <c r="E98" s="14">
        <f>IF(ISNUMBER(D98), (D98 - $B98) / $B98, "")</f>
        <v>-2.5000000000000001E-2</v>
      </c>
      <c r="F98" s="16">
        <f>IF(ISNUMBER(D98), $B118 * E98, "")</f>
        <v>-2500</v>
      </c>
      <c r="G98" s="29">
        <v>909</v>
      </c>
      <c r="H98" s="14">
        <f>IF(ISNUMBER(G98), (G98 - $B98) / $B98, "")</f>
        <v>-9.0999999999999998E-2</v>
      </c>
      <c r="I98" s="100">
        <f>IF(ISNUMBER(G98), $B118 * H98, "")</f>
        <v>-9100</v>
      </c>
      <c r="J98" s="13">
        <v>984</v>
      </c>
      <c r="K98" s="14">
        <f>IF(ISNUMBER(J98), (J98 - $B98) / $B98, "")</f>
        <v>-1.6E-2</v>
      </c>
      <c r="L98" s="16">
        <f>IF(ISNUMBER(J98), $B118 * K98, "")</f>
        <v>-1600</v>
      </c>
      <c r="M98" s="29">
        <v>900</v>
      </c>
      <c r="N98" s="14">
        <f>IF(ISNUMBER(M98), (M98 - $B98) / $B98, "")</f>
        <v>-0.1</v>
      </c>
      <c r="O98" s="16">
        <f>IF(ISNUMBER(M98), $B118 * N98, "")</f>
        <v>-10000</v>
      </c>
      <c r="Q98" s="222"/>
      <c r="R98" s="222"/>
      <c r="S98" s="222"/>
    </row>
    <row r="99" spans="1:19" ht="17.25" thickBot="1">
      <c r="A99" s="125" t="s">
        <v>200</v>
      </c>
      <c r="B99" s="126">
        <v>255</v>
      </c>
      <c r="C99" s="77">
        <v>0.16972477059999999</v>
      </c>
      <c r="D99" s="15">
        <v>244</v>
      </c>
      <c r="E99" s="32">
        <f t="shared" ref="E99:E102" si="46">IF(ISNUMBER(D99), (D99 - $B99) / $B99, "")</f>
        <v>-4.3137254901960784E-2</v>
      </c>
      <c r="F99" s="18">
        <f>IF(ISNUMBER(D99), $B118 * E99, "")</f>
        <v>-4313.7254901960787</v>
      </c>
      <c r="G99" s="31">
        <v>238</v>
      </c>
      <c r="H99" s="32">
        <f t="shared" ref="H99:H102" si="47">IF(ISNUMBER(G99), (G99 - $B99) / $B99, "")</f>
        <v>-6.6666666666666666E-2</v>
      </c>
      <c r="I99" s="101">
        <f>IF(ISNUMBER(G99), $B118 * H99, "")</f>
        <v>-6666.666666666667</v>
      </c>
      <c r="J99" s="15">
        <v>240</v>
      </c>
      <c r="K99" s="32">
        <f t="shared" ref="K99:K102" si="48">IF(ISNUMBER(J99), (J99 - $B99) / $B99, "")</f>
        <v>-5.8823529411764705E-2</v>
      </c>
      <c r="L99" s="18">
        <f>IF(ISNUMBER(J99), $B118 * K99, "")</f>
        <v>-5882.3529411764703</v>
      </c>
      <c r="M99" s="31">
        <v>218</v>
      </c>
      <c r="N99" s="32">
        <f t="shared" ref="N99:N102" si="49">IF(ISNUMBER(M99), (M99 - $B99) / $B99, "")</f>
        <v>-0.14509803921568629</v>
      </c>
      <c r="O99" s="18">
        <f>IF(ISNUMBER(M99), $B118 * N99, "")</f>
        <v>-14509.803921568629</v>
      </c>
      <c r="Q99" s="222"/>
      <c r="R99" s="222"/>
      <c r="S99" s="222"/>
    </row>
    <row r="100" spans="1:19" ht="17.25" thickBot="1">
      <c r="A100" s="125" t="s">
        <v>228</v>
      </c>
      <c r="B100" s="126">
        <v>960</v>
      </c>
      <c r="C100" s="77">
        <v>0.1387900356</v>
      </c>
      <c r="D100" s="15">
        <v>1195</v>
      </c>
      <c r="E100" s="32">
        <f t="shared" si="46"/>
        <v>0.24479166666666666</v>
      </c>
      <c r="F100" s="18">
        <f>IF(ISNUMBER(D100), $B118 * E100, "")</f>
        <v>24479.166666666664</v>
      </c>
      <c r="G100" s="31">
        <v>1160</v>
      </c>
      <c r="H100" s="32">
        <f t="shared" si="47"/>
        <v>0.20833333333333334</v>
      </c>
      <c r="I100" s="101">
        <f>IF(ISNUMBER(G100), $B118 * H100, "")</f>
        <v>20833.333333333336</v>
      </c>
      <c r="J100" s="15">
        <v>1170</v>
      </c>
      <c r="K100" s="32">
        <f t="shared" si="48"/>
        <v>0.21875</v>
      </c>
      <c r="L100" s="18">
        <f>IF(ISNUMBER(J100), $B118 * K100, "")</f>
        <v>21875</v>
      </c>
      <c r="M100" s="31">
        <v>1120</v>
      </c>
      <c r="N100" s="32">
        <f t="shared" si="49"/>
        <v>0.16666666666666666</v>
      </c>
      <c r="O100" s="18">
        <f>IF(ISNUMBER(M100), $B118 * N100, "")</f>
        <v>16666.666666666664</v>
      </c>
      <c r="Q100" s="227"/>
      <c r="R100" s="227"/>
      <c r="S100" s="227"/>
    </row>
    <row r="101" spans="1:19" ht="17.25" thickBot="1">
      <c r="A101" s="125" t="s">
        <v>242</v>
      </c>
      <c r="B101" s="126">
        <v>755</v>
      </c>
      <c r="C101" s="77">
        <v>0.11029411760000001</v>
      </c>
      <c r="D101" s="15">
        <v>726</v>
      </c>
      <c r="E101" s="32">
        <f t="shared" si="46"/>
        <v>-3.8410596026490065E-2</v>
      </c>
      <c r="F101" s="18">
        <f>IF(ISNUMBER(D101), $B118 * E101, "")</f>
        <v>-3841.0596026490066</v>
      </c>
      <c r="G101" s="31">
        <v>682</v>
      </c>
      <c r="H101" s="32">
        <f t="shared" si="47"/>
        <v>-9.6688741721854307E-2</v>
      </c>
      <c r="I101" s="101">
        <f>IF(ISNUMBER(G101), $B118 * H101, "")</f>
        <v>-9668.8741721854312</v>
      </c>
      <c r="J101" s="15">
        <v>698</v>
      </c>
      <c r="K101" s="32">
        <f t="shared" si="48"/>
        <v>-7.5496688741721857E-2</v>
      </c>
      <c r="L101" s="18">
        <f>IF(ISNUMBER(J101), $B118 * K101, "")</f>
        <v>-7549.6688741721855</v>
      </c>
      <c r="M101" s="31">
        <v>620</v>
      </c>
      <c r="N101" s="32">
        <f t="shared" si="49"/>
        <v>-0.17880794701986755</v>
      </c>
      <c r="O101" s="18">
        <f>IF(ISNUMBER(M101), $B118 * N101, "")</f>
        <v>-17880.794701986753</v>
      </c>
      <c r="Q101" s="227"/>
      <c r="R101" s="227"/>
      <c r="S101" s="227"/>
    </row>
    <row r="102" spans="1:19" ht="17.25" thickBot="1">
      <c r="A102" s="127" t="s">
        <v>206</v>
      </c>
      <c r="B102" s="128">
        <v>928</v>
      </c>
      <c r="C102" s="78">
        <v>8.2847141200000002E-2</v>
      </c>
      <c r="D102" s="20">
        <v>972</v>
      </c>
      <c r="E102" s="21">
        <f t="shared" si="46"/>
        <v>4.7413793103448273E-2</v>
      </c>
      <c r="F102" s="22">
        <f>IF(ISNUMBER(D102), $B118 * E102, "")</f>
        <v>4741.379310344827</v>
      </c>
      <c r="G102" s="30">
        <v>917</v>
      </c>
      <c r="H102" s="21">
        <f t="shared" si="47"/>
        <v>-1.1853448275862068E-2</v>
      </c>
      <c r="I102" s="105">
        <f>IF(ISNUMBER(G102), $B118 * H102, "")</f>
        <v>-1185.3448275862067</v>
      </c>
      <c r="J102" s="20">
        <v>967</v>
      </c>
      <c r="K102" s="21">
        <f t="shared" si="48"/>
        <v>4.2025862068965518E-2</v>
      </c>
      <c r="L102" s="22">
        <f>IF(ISNUMBER(J102), $B118 * K102, "")</f>
        <v>4202.5862068965516</v>
      </c>
      <c r="M102" s="30">
        <v>889</v>
      </c>
      <c r="N102" s="21">
        <f t="shared" si="49"/>
        <v>-4.2025862068965518E-2</v>
      </c>
      <c r="O102" s="22">
        <f>IF(ISNUMBER(M102), $B118 * N102, "")</f>
        <v>-4202.5862068965516</v>
      </c>
      <c r="Q102" s="227"/>
      <c r="R102" s="227"/>
      <c r="S102" s="227"/>
    </row>
    <row r="103" spans="1:19" ht="17.25" thickBot="1">
      <c r="A103" s="125" t="s">
        <v>244</v>
      </c>
      <c r="B103" s="129">
        <v>2145</v>
      </c>
      <c r="C103" s="80">
        <v>8.0604534000000005E-2</v>
      </c>
      <c r="D103" s="106">
        <v>2120</v>
      </c>
      <c r="E103" s="107">
        <f>IF(ISNUMBER(D103), (D103 - $B103) / $B103, "")</f>
        <v>-1.1655011655011656E-2</v>
      </c>
      <c r="F103" s="108">
        <f>IF(ISNUMBER(D103), $B118 * E103, "")</f>
        <v>-1165.5011655011656</v>
      </c>
      <c r="G103" s="109">
        <v>2020</v>
      </c>
      <c r="H103" s="107">
        <f>IF(ISNUMBER(G103), (G103 - $B103) / $B103, "")</f>
        <v>-5.8275058275058272E-2</v>
      </c>
      <c r="I103" s="110">
        <f>IF(ISNUMBER(G103), $B118 * H103, "")</f>
        <v>-5827.5058275058273</v>
      </c>
      <c r="J103" s="106">
        <v>2045</v>
      </c>
      <c r="K103" s="107">
        <f>IF(ISNUMBER(J103), (J103 - $B103) / $B103, "")</f>
        <v>-4.6620046620046623E-2</v>
      </c>
      <c r="L103" s="108">
        <f>IF(ISNUMBER(J103), $B118 * K103, "")</f>
        <v>-4662.0046620046624</v>
      </c>
      <c r="M103" s="109">
        <v>1865</v>
      </c>
      <c r="N103" s="107">
        <f>IF(ISNUMBER(M103), (M103 - $B103) / $B103, "")</f>
        <v>-0.13053613053613053</v>
      </c>
      <c r="O103" s="108">
        <f>IF(ISNUMBER(M103), $B118 * N103, "")</f>
        <v>-13053.613053613053</v>
      </c>
      <c r="Q103" s="227"/>
      <c r="R103" s="227"/>
      <c r="S103" s="227"/>
    </row>
    <row r="104" spans="1:19" ht="17.25" thickBot="1">
      <c r="A104" s="125" t="s">
        <v>118</v>
      </c>
      <c r="B104" s="126">
        <v>229</v>
      </c>
      <c r="C104" s="77">
        <v>8.0188679200000001E-2</v>
      </c>
      <c r="D104" s="15">
        <v>228</v>
      </c>
      <c r="E104" s="32">
        <f t="shared" ref="E104:E107" si="50">IF(ISNUMBER(D104), (D104 - $B104) / $B104, "")</f>
        <v>-4.3668122270742356E-3</v>
      </c>
      <c r="F104" s="18">
        <f>IF(ISNUMBER(D104), $B118 * E104, "")</f>
        <v>-436.68122270742356</v>
      </c>
      <c r="G104" s="31">
        <v>215</v>
      </c>
      <c r="H104" s="32">
        <f t="shared" ref="H104:H107" si="51">IF(ISNUMBER(G104), (G104 - $B104) / $B104, "")</f>
        <v>-6.1135371179039298E-2</v>
      </c>
      <c r="I104" s="101">
        <f>IF(ISNUMBER(G104), $B118 * H104, "")</f>
        <v>-6113.5371179039303</v>
      </c>
      <c r="J104" s="15">
        <v>216</v>
      </c>
      <c r="K104" s="32">
        <f t="shared" ref="K104:K107" si="52">IF(ISNUMBER(J104), (J104 - $B104) / $B104, "")</f>
        <v>-5.6768558951965066E-2</v>
      </c>
      <c r="L104" s="18">
        <f>IF(ISNUMBER(J104), $B118 * K104, "")</f>
        <v>-5676.8558951965069</v>
      </c>
      <c r="M104" s="31">
        <v>201</v>
      </c>
      <c r="N104" s="32">
        <f t="shared" ref="N104:N107" si="53">IF(ISNUMBER(M104), (M104 - $B104) / $B104, "")</f>
        <v>-0.1222707423580786</v>
      </c>
      <c r="O104" s="18">
        <f>IF(ISNUMBER(M104), $B118 * N104, "")</f>
        <v>-12227.074235807861</v>
      </c>
      <c r="Q104" s="227"/>
      <c r="R104" s="227"/>
      <c r="S104" s="227"/>
    </row>
    <row r="105" spans="1:19" ht="17.25" thickBot="1">
      <c r="A105" s="125" t="s">
        <v>76</v>
      </c>
      <c r="B105" s="126">
        <v>41370</v>
      </c>
      <c r="C105" s="77">
        <v>7.7343750000000003E-2</v>
      </c>
      <c r="D105" s="15">
        <v>40340</v>
      </c>
      <c r="E105" s="32">
        <f t="shared" si="50"/>
        <v>-2.4897268552090887E-2</v>
      </c>
      <c r="F105" s="18">
        <f>IF(ISNUMBER(D105), $B118 * E105, "")</f>
        <v>-2489.7268552090886</v>
      </c>
      <c r="G105" s="31">
        <v>37700</v>
      </c>
      <c r="H105" s="32">
        <f t="shared" si="51"/>
        <v>-8.8711626782692773E-2</v>
      </c>
      <c r="I105" s="101">
        <f>IF(ISNUMBER(G105), $B118 * H105, "")</f>
        <v>-8871.1626782692765</v>
      </c>
      <c r="J105" s="15">
        <v>38230</v>
      </c>
      <c r="K105" s="32">
        <f t="shared" si="52"/>
        <v>-7.5900410925791639E-2</v>
      </c>
      <c r="L105" s="18">
        <f>IF(ISNUMBER(J105), $B118 * K105, "")</f>
        <v>-7590.0410925791639</v>
      </c>
      <c r="M105" s="31">
        <v>33990</v>
      </c>
      <c r="N105" s="32">
        <f t="shared" si="53"/>
        <v>-0.17839013778100071</v>
      </c>
      <c r="O105" s="18">
        <f>IF(ISNUMBER(M105), $B118 * N105, "")</f>
        <v>-17839.01377810007</v>
      </c>
      <c r="Q105" s="227"/>
      <c r="R105" s="227"/>
      <c r="S105" s="227"/>
    </row>
    <row r="106" spans="1:19" ht="17.25" thickBot="1">
      <c r="A106" s="125" t="s">
        <v>140</v>
      </c>
      <c r="B106" s="126">
        <v>11040</v>
      </c>
      <c r="C106" s="77">
        <v>6.6666666700000002E-2</v>
      </c>
      <c r="D106" s="15">
        <v>11030</v>
      </c>
      <c r="E106" s="32">
        <f t="shared" si="50"/>
        <v>-9.0579710144927537E-4</v>
      </c>
      <c r="F106" s="18">
        <f>IF(ISNUMBER(D106), $B118 * E106, "")</f>
        <v>-90.579710144927532</v>
      </c>
      <c r="G106" s="31">
        <v>10320</v>
      </c>
      <c r="H106" s="32">
        <f t="shared" si="51"/>
        <v>-6.5217391304347824E-2</v>
      </c>
      <c r="I106" s="101">
        <f>IF(ISNUMBER(G106), $B118 * H106, "")</f>
        <v>-6521.7391304347821</v>
      </c>
      <c r="J106" s="15">
        <v>10440</v>
      </c>
      <c r="K106" s="32">
        <f t="shared" si="52"/>
        <v>-5.434782608695652E-2</v>
      </c>
      <c r="L106" s="18">
        <f>IF(ISNUMBER(J106), $B118 * K106, "")</f>
        <v>-5434.782608695652</v>
      </c>
      <c r="M106" s="31">
        <v>9055</v>
      </c>
      <c r="N106" s="32">
        <f t="shared" si="53"/>
        <v>-0.17980072463768115</v>
      </c>
      <c r="O106" s="18">
        <f>IF(ISNUMBER(M106), $B118 * N106, "")</f>
        <v>-17980.072463768116</v>
      </c>
      <c r="Q106" s="33"/>
      <c r="R106" s="33"/>
    </row>
    <row r="107" spans="1:19" ht="17.25" thickBot="1">
      <c r="A107" s="130" t="s">
        <v>222</v>
      </c>
      <c r="B107" s="131">
        <v>219</v>
      </c>
      <c r="C107" s="79">
        <v>6.3106796100000001E-2</v>
      </c>
      <c r="D107" s="24">
        <v>226</v>
      </c>
      <c r="E107" s="25">
        <f t="shared" si="50"/>
        <v>3.1963470319634701E-2</v>
      </c>
      <c r="F107" s="104">
        <f>IF(ISNUMBER(D107), $B118 * E107, "")</f>
        <v>3196.3470319634703</v>
      </c>
      <c r="G107" s="102">
        <v>209</v>
      </c>
      <c r="H107" s="25">
        <f t="shared" si="51"/>
        <v>-4.5662100456621002E-2</v>
      </c>
      <c r="I107" s="103">
        <f>IF(ISNUMBER(G107), $B118 * H107, "")</f>
        <v>-4566.2100456621001</v>
      </c>
      <c r="J107" s="24">
        <v>211</v>
      </c>
      <c r="K107" s="25">
        <f t="shared" si="52"/>
        <v>-3.6529680365296802E-2</v>
      </c>
      <c r="L107" s="104">
        <f>IF(ISNUMBER(J107), $B118 * K107, "")</f>
        <v>-3652.9680365296804</v>
      </c>
      <c r="M107" s="102">
        <v>188</v>
      </c>
      <c r="N107" s="25">
        <f t="shared" si="53"/>
        <v>-0.14155251141552511</v>
      </c>
      <c r="O107" s="104">
        <f>IF(ISNUMBER(M107), $B118 * N107, "")</f>
        <v>-14155.251141552511</v>
      </c>
      <c r="Q107" s="236"/>
      <c r="R107" s="237"/>
      <c r="S107" s="238"/>
    </row>
    <row r="108" spans="1:19">
      <c r="A108" s="123" t="s">
        <v>90</v>
      </c>
      <c r="B108" s="124">
        <v>1585</v>
      </c>
      <c r="C108" s="76">
        <v>6.0200668899999997E-2</v>
      </c>
      <c r="D108" s="13">
        <v>1590</v>
      </c>
      <c r="E108" s="14">
        <f>IF(ISNUMBER(D108), (D108 - $B108) / $B108, "")</f>
        <v>3.1545741324921135E-3</v>
      </c>
      <c r="F108" s="16">
        <f>IF(ISNUMBER(D108), $B118 * E108, "")</f>
        <v>315.45741324921136</v>
      </c>
      <c r="G108" s="29">
        <v>1505</v>
      </c>
      <c r="H108" s="14">
        <f>IF(ISNUMBER(G108), (G108 - $B108) / $B108, "")</f>
        <v>-5.0473186119873815E-2</v>
      </c>
      <c r="I108" s="100">
        <f>IF(ISNUMBER(G108), $B118 * H108, "")</f>
        <v>-5047.3186119873817</v>
      </c>
      <c r="J108" s="13">
        <v>1510</v>
      </c>
      <c r="K108" s="14">
        <f>IF(ISNUMBER(J108), (J108 - $B108) / $B108, "")</f>
        <v>-4.7318611987381701E-2</v>
      </c>
      <c r="L108" s="16">
        <f>IF(ISNUMBER(J108), $B118 * K108, "")</f>
        <v>-4731.8611987381701</v>
      </c>
      <c r="M108" s="29">
        <v>1360</v>
      </c>
      <c r="N108" s="14">
        <f>IF(ISNUMBER(M108), (M108 - $B108) / $B108, "")</f>
        <v>-0.14195583596214512</v>
      </c>
      <c r="O108" s="16">
        <f>IF(ISNUMBER(M108), $B118 * N108, "")</f>
        <v>-14195.583596214512</v>
      </c>
      <c r="Q108" s="239"/>
      <c r="R108" s="240"/>
      <c r="S108" s="241"/>
    </row>
    <row r="109" spans="1:19" ht="17.25" thickBot="1">
      <c r="A109" s="125" t="s">
        <v>232</v>
      </c>
      <c r="B109" s="126">
        <v>911</v>
      </c>
      <c r="C109" s="77">
        <v>5.9302325599999997E-2</v>
      </c>
      <c r="D109" s="15">
        <v>962</v>
      </c>
      <c r="E109" s="32">
        <f t="shared" ref="E109:E112" si="54">IF(ISNUMBER(D109), (D109 - $B109) / $B109, "")</f>
        <v>5.598243688254665E-2</v>
      </c>
      <c r="F109" s="18">
        <f>IF(ISNUMBER(D109), $B118 * E109, "")</f>
        <v>5598.2436882546654</v>
      </c>
      <c r="G109" s="31">
        <v>915</v>
      </c>
      <c r="H109" s="32">
        <f t="shared" ref="H109:H112" si="55">IF(ISNUMBER(G109), (G109 - $B109) / $B109, "")</f>
        <v>4.3907793633369925E-3</v>
      </c>
      <c r="I109" s="101">
        <f>IF(ISNUMBER(G109), $B118 * H109, "")</f>
        <v>439.07793633369926</v>
      </c>
      <c r="J109" s="15">
        <v>966</v>
      </c>
      <c r="K109" s="32">
        <f t="shared" ref="K109:K112" si="56">IF(ISNUMBER(J109), (J109 - $B109) / $B109, "")</f>
        <v>6.0373216245883647E-2</v>
      </c>
      <c r="L109" s="18">
        <f>IF(ISNUMBER(J109), $B118 * K109, "")</f>
        <v>6037.321624588365</v>
      </c>
      <c r="M109" s="31">
        <v>940</v>
      </c>
      <c r="N109" s="32">
        <f t="shared" ref="N109:N112" si="57">IF(ISNUMBER(M109), (M109 - $B109) / $B109, "")</f>
        <v>3.1833150384193196E-2</v>
      </c>
      <c r="O109" s="18">
        <f>IF(ISNUMBER(M109), $B118 * N109, "")</f>
        <v>3183.3150384193195</v>
      </c>
      <c r="Q109" s="242"/>
      <c r="R109" s="243"/>
      <c r="S109" s="244"/>
    </row>
    <row r="110" spans="1:19" ht="17.25" thickBot="1">
      <c r="A110" s="125" t="s">
        <v>112</v>
      </c>
      <c r="B110" s="126">
        <v>9930</v>
      </c>
      <c r="C110" s="77">
        <v>5.86353945E-2</v>
      </c>
      <c r="D110" s="15">
        <v>10850</v>
      </c>
      <c r="E110" s="32">
        <f t="shared" si="54"/>
        <v>9.264853977844914E-2</v>
      </c>
      <c r="F110" s="18">
        <f>IF(ISNUMBER(D110), $B118 * E110, "")</f>
        <v>9264.853977844914</v>
      </c>
      <c r="G110" s="31">
        <v>10050</v>
      </c>
      <c r="H110" s="32">
        <f t="shared" si="55"/>
        <v>1.2084592145015106E-2</v>
      </c>
      <c r="I110" s="101">
        <f>IF(ISNUMBER(G110), $B118 * H110, "")</f>
        <v>1208.4592145015106</v>
      </c>
      <c r="J110" s="15">
        <v>9915</v>
      </c>
      <c r="K110" s="32">
        <f t="shared" si="56"/>
        <v>-1.5105740181268882E-3</v>
      </c>
      <c r="L110" s="18">
        <f>IF(ISNUMBER(J110), $B118 * K110, "")</f>
        <v>-151.05740181268882</v>
      </c>
      <c r="M110" s="31">
        <v>8665</v>
      </c>
      <c r="N110" s="32">
        <f t="shared" si="57"/>
        <v>-0.12739174219536759</v>
      </c>
      <c r="O110" s="18">
        <f>IF(ISNUMBER(M110), $B118 * N110, "")</f>
        <v>-12739.174219536759</v>
      </c>
      <c r="Q110" s="227"/>
      <c r="R110" s="227"/>
      <c r="S110" s="227"/>
    </row>
    <row r="111" spans="1:19" ht="17.25" thickBot="1">
      <c r="A111" s="125" t="s">
        <v>176</v>
      </c>
      <c r="B111" s="126">
        <v>2170</v>
      </c>
      <c r="C111" s="77">
        <v>5.08474576E-2</v>
      </c>
      <c r="D111" s="15">
        <v>2125</v>
      </c>
      <c r="E111" s="32">
        <f t="shared" si="54"/>
        <v>-2.0737327188940093E-2</v>
      </c>
      <c r="F111" s="18">
        <f>IF(ISNUMBER(D111), $B118 * E111, "")</f>
        <v>-2073.7327188940094</v>
      </c>
      <c r="G111" s="31">
        <v>1930</v>
      </c>
      <c r="H111" s="32">
        <f t="shared" si="55"/>
        <v>-0.11059907834101383</v>
      </c>
      <c r="I111" s="101">
        <f>IF(ISNUMBER(G111), $B118 * H111, "")</f>
        <v>-11059.907834101383</v>
      </c>
      <c r="J111" s="15">
        <v>1985</v>
      </c>
      <c r="K111" s="32">
        <f t="shared" si="56"/>
        <v>-8.5253456221198162E-2</v>
      </c>
      <c r="L111" s="18">
        <f>IF(ISNUMBER(J111), $B118 * K111, "")</f>
        <v>-8525.3456221198157</v>
      </c>
      <c r="M111" s="31">
        <v>1815</v>
      </c>
      <c r="N111" s="32">
        <f t="shared" si="57"/>
        <v>-0.16359447004608296</v>
      </c>
      <c r="O111" s="18">
        <f>IF(ISNUMBER(M111), $B118 * N111, "")</f>
        <v>-16359.447004608297</v>
      </c>
      <c r="Q111" s="222"/>
      <c r="R111" s="222"/>
      <c r="S111" s="222"/>
    </row>
    <row r="112" spans="1:19" ht="17.25" thickBot="1">
      <c r="A112" s="127" t="s">
        <v>248</v>
      </c>
      <c r="B112" s="128">
        <v>3270</v>
      </c>
      <c r="C112" s="78">
        <v>4.6399999999999997E-2</v>
      </c>
      <c r="D112" s="20">
        <v>3270</v>
      </c>
      <c r="E112" s="21">
        <f t="shared" si="54"/>
        <v>0</v>
      </c>
      <c r="F112" s="22">
        <f>IF(ISNUMBER(D112), $B118 * E112, "")</f>
        <v>0</v>
      </c>
      <c r="G112" s="30">
        <v>3105</v>
      </c>
      <c r="H112" s="21">
        <f t="shared" si="55"/>
        <v>-5.0458715596330278E-2</v>
      </c>
      <c r="I112" s="105">
        <f>IF(ISNUMBER(G112), $B118 * H112, "")</f>
        <v>-5045.8715596330276</v>
      </c>
      <c r="J112" s="20">
        <v>3130</v>
      </c>
      <c r="K112" s="21">
        <f t="shared" si="56"/>
        <v>-4.2813455657492352E-2</v>
      </c>
      <c r="L112" s="22">
        <f>IF(ISNUMBER(J112), $B118 * K112, "")</f>
        <v>-4281.345565749235</v>
      </c>
      <c r="M112" s="30">
        <v>2830</v>
      </c>
      <c r="N112" s="21">
        <f t="shared" si="57"/>
        <v>-0.13455657492354739</v>
      </c>
      <c r="O112" s="22">
        <f>IF(ISNUMBER(M112), $B118 * N112, "")</f>
        <v>-13455.65749235474</v>
      </c>
      <c r="Q112" s="222"/>
      <c r="R112" s="222"/>
      <c r="S112" s="222"/>
    </row>
    <row r="113" spans="1:19" ht="17.25" thickBot="1">
      <c r="A113" s="125" t="s">
        <v>51</v>
      </c>
      <c r="B113" s="129">
        <v>477</v>
      </c>
      <c r="C113" s="80">
        <v>4.6052631599999998E-2</v>
      </c>
      <c r="D113" s="106">
        <v>480</v>
      </c>
      <c r="E113" s="107">
        <f>IF(ISNUMBER(D113), (D113 - $B113) / $B113, "")</f>
        <v>6.2893081761006293E-3</v>
      </c>
      <c r="F113" s="108">
        <f>IF(ISNUMBER(D113), $B118 * E113, "")</f>
        <v>628.93081761006295</v>
      </c>
      <c r="G113" s="109">
        <v>448</v>
      </c>
      <c r="H113" s="107">
        <f>IF(ISNUMBER(G113), (G113 - $B113) / $B113, "")</f>
        <v>-6.0796645702306078E-2</v>
      </c>
      <c r="I113" s="110">
        <f>IF(ISNUMBER(G113), $B118 * H113, "")</f>
        <v>-6079.6645702306078</v>
      </c>
      <c r="J113" s="106">
        <v>448</v>
      </c>
      <c r="K113" s="107">
        <f>IF(ISNUMBER(J113), (J113 - $B113) / $B113, "")</f>
        <v>-6.0796645702306078E-2</v>
      </c>
      <c r="L113" s="108">
        <f>IF(ISNUMBER(J113), $B118 * K113, "")</f>
        <v>-6079.6645702306078</v>
      </c>
      <c r="M113" s="109">
        <v>407</v>
      </c>
      <c r="N113" s="107">
        <f>IF(ISNUMBER(M113), (M113 - $B113) / $B113, "")</f>
        <v>-0.14675052410901468</v>
      </c>
      <c r="O113" s="108">
        <f>IF(ISNUMBER(M113), $B118 * N113, "")</f>
        <v>-14675.052410901468</v>
      </c>
      <c r="Q113" s="227"/>
      <c r="R113" s="227"/>
      <c r="S113" s="227"/>
    </row>
    <row r="114" spans="1:19" ht="17.25" thickBot="1">
      <c r="A114" s="125" t="s">
        <v>78</v>
      </c>
      <c r="B114" s="126">
        <v>905500</v>
      </c>
      <c r="C114" s="77">
        <v>3.6041189899999999E-2</v>
      </c>
      <c r="D114" s="15">
        <v>898500</v>
      </c>
      <c r="E114" s="32">
        <f t="shared" ref="E114:E117" si="58">IF(ISNUMBER(D114), (D114 - $B114) / $B114, "")</f>
        <v>-7.730535615681944E-3</v>
      </c>
      <c r="F114" s="18">
        <f>IF(ISNUMBER(D114), $B118 * E114, "")</f>
        <v>-773.05356156819437</v>
      </c>
      <c r="G114" s="31">
        <v>862000</v>
      </c>
      <c r="H114" s="32">
        <f t="shared" ref="H114:H117" si="59">IF(ISNUMBER(G114), (G114 - $B114) / $B114, "")</f>
        <v>-4.8039757040309224E-2</v>
      </c>
      <c r="I114" s="101">
        <f>IF(ISNUMBER(G114), $B118 * H114, "")</f>
        <v>-4803.9757040309223</v>
      </c>
      <c r="J114" s="15">
        <v>866000</v>
      </c>
      <c r="K114" s="32">
        <f t="shared" ref="K114:K117" si="60">IF(ISNUMBER(J114), (J114 - $B114) / $B114, "")</f>
        <v>-4.3622308117062393E-2</v>
      </c>
      <c r="L114" s="18">
        <f>IF(ISNUMBER(J114), $B118 * K114, "")</f>
        <v>-4362.2308117062394</v>
      </c>
      <c r="M114" s="31">
        <v>787000</v>
      </c>
      <c r="N114" s="32">
        <f t="shared" ref="N114:N117" si="61">IF(ISNUMBER(M114), (M114 - $B114) / $B114, "")</f>
        <v>-0.13086692435118719</v>
      </c>
      <c r="O114" s="18">
        <f>IF(ISNUMBER(M114), $B118 * N114, "")</f>
        <v>-13086.692435118719</v>
      </c>
      <c r="Q114" s="227"/>
      <c r="R114" s="227"/>
      <c r="S114" s="227"/>
    </row>
    <row r="115" spans="1:19" ht="17.25" thickBot="1">
      <c r="A115" s="125" t="s">
        <v>204</v>
      </c>
      <c r="B115" s="126">
        <v>19.399999999999999</v>
      </c>
      <c r="C115" s="77">
        <v>3.1914893600000001E-2</v>
      </c>
      <c r="D115" s="15">
        <v>19.3</v>
      </c>
      <c r="E115" s="32">
        <f t="shared" si="58"/>
        <v>-5.1546391752576226E-3</v>
      </c>
      <c r="F115" s="18">
        <f>IF(ISNUMBER(D115), $B118 * E115, "")</f>
        <v>-515.46391752576221</v>
      </c>
      <c r="G115" s="31">
        <v>18.5</v>
      </c>
      <c r="H115" s="32">
        <f t="shared" si="59"/>
        <v>-4.639175257731952E-2</v>
      </c>
      <c r="I115" s="101">
        <f>IF(ISNUMBER(G115), $B118 * H115, "")</f>
        <v>-4639.1752577319521</v>
      </c>
      <c r="J115" s="15">
        <v>18.600000000000001</v>
      </c>
      <c r="K115" s="32">
        <f t="shared" si="60"/>
        <v>-4.1237113402061709E-2</v>
      </c>
      <c r="L115" s="18">
        <f>IF(ISNUMBER(J115), $B118 * K115, "")</f>
        <v>-4123.7113402061714</v>
      </c>
      <c r="M115" s="31">
        <v>16.899999999999999</v>
      </c>
      <c r="N115" s="32">
        <f t="shared" si="61"/>
        <v>-0.12886597938144331</v>
      </c>
      <c r="O115" s="18">
        <f>IF(ISNUMBER(M115), $B118 * N115, "")</f>
        <v>-12886.597938144332</v>
      </c>
      <c r="Q115" s="227"/>
      <c r="R115" s="227"/>
      <c r="S115" s="227"/>
    </row>
    <row r="116" spans="1:19">
      <c r="A116" s="125" t="s">
        <v>210</v>
      </c>
      <c r="B116" s="126">
        <v>18.100000000000001</v>
      </c>
      <c r="C116" s="77">
        <v>2.2598870100000001E-2</v>
      </c>
      <c r="D116" s="15">
        <v>18.100000000000001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-3.8674033149171422E-2</v>
      </c>
      <c r="I116" s="101">
        <f>IF(ISNUMBER(G116), $B118 * H116, "")</f>
        <v>-3867.4033149171423</v>
      </c>
      <c r="J116" s="15">
        <v>17.5</v>
      </c>
      <c r="K116" s="32">
        <f t="shared" si="60"/>
        <v>-3.3149171270718307E-2</v>
      </c>
      <c r="L116" s="18">
        <f>IF(ISNUMBER(J116), $B118 * K116, "")</f>
        <v>-3314.9171270718307</v>
      </c>
      <c r="M116" s="31">
        <v>15.8</v>
      </c>
      <c r="N116" s="32">
        <f t="shared" si="61"/>
        <v>-0.12707182320441993</v>
      </c>
      <c r="O116" s="18">
        <f>IF(ISNUMBER(M116), $B118 * N116, "")</f>
        <v>-12707.182320441992</v>
      </c>
      <c r="Q116" s="249"/>
      <c r="R116" s="250"/>
      <c r="S116" s="251"/>
    </row>
    <row r="117" spans="1:19" ht="17.25" thickBot="1">
      <c r="A117" s="130" t="s">
        <v>252</v>
      </c>
      <c r="B117" s="131">
        <v>1375</v>
      </c>
      <c r="C117" s="79">
        <v>2.2304832699999999E-2</v>
      </c>
      <c r="D117" s="24">
        <v>1405</v>
      </c>
      <c r="E117" s="25">
        <f t="shared" si="58"/>
        <v>2.181818181818182E-2</v>
      </c>
      <c r="F117" s="104">
        <f>IF(ISNUMBER(D117), $B118 * E117, "")</f>
        <v>2181.818181818182</v>
      </c>
      <c r="G117" s="102">
        <v>1325</v>
      </c>
      <c r="H117" s="25">
        <f t="shared" si="59"/>
        <v>-3.6363636363636362E-2</v>
      </c>
      <c r="I117" s="103">
        <f>IF(ISNUMBER(G117), $B118 * H117, "")</f>
        <v>-3636.363636363636</v>
      </c>
      <c r="J117" s="24">
        <v>1340</v>
      </c>
      <c r="K117" s="25">
        <f t="shared" si="60"/>
        <v>-2.5454545454545455E-2</v>
      </c>
      <c r="L117" s="104">
        <f>IF(ISNUMBER(J117), $B118 * K117, "")</f>
        <v>-2545.4545454545455</v>
      </c>
      <c r="M117" s="102">
        <v>1240</v>
      </c>
      <c r="N117" s="25">
        <f t="shared" si="61"/>
        <v>-9.8181818181818176E-2</v>
      </c>
      <c r="O117" s="104">
        <f>IF(ISNUMBER(M117), $B118 * N117, "")</f>
        <v>-9818.181818181818</v>
      </c>
      <c r="Q117" s="252"/>
      <c r="R117" s="253"/>
      <c r="S117" s="254"/>
    </row>
    <row r="118" spans="1:19" ht="17.25" thickBot="1">
      <c r="A118" s="132" t="s">
        <v>270</v>
      </c>
      <c r="B118" s="260">
        <f>$B$37</f>
        <v>100000</v>
      </c>
      <c r="C118" s="261"/>
      <c r="D118" s="26" t="s">
        <v>271</v>
      </c>
      <c r="E118" s="27">
        <f>IF(COUNT(E98:E117), SUM(E98:E117) / COUNT(E98:E117), 0)</f>
        <v>1.6103336421678171E-2</v>
      </c>
      <c r="F118" s="28">
        <f>SUM(F98:F117)</f>
        <v>32206.67284335634</v>
      </c>
      <c r="G118" s="26" t="s">
        <v>271</v>
      </c>
      <c r="H118" s="27">
        <f>IF(COUNT(H98:H117), SUM(H98:H117) / COUNT(H98:H117), 0)</f>
        <v>-4.0109925235520864E-2</v>
      </c>
      <c r="I118" s="28">
        <f>SUM(I98:I117)</f>
        <v>-80219.850471041718</v>
      </c>
      <c r="J118" s="26" t="s">
        <v>271</v>
      </c>
      <c r="K118" s="27">
        <f>IF(COUNT(K98:K117), SUM(K98:K117) / COUNT(K98:K117), 0)</f>
        <v>-2.4024677230979355E-2</v>
      </c>
      <c r="L118" s="28">
        <f>SUM(L98:L117)</f>
        <v>-48049.354461958712</v>
      </c>
      <c r="M118" s="26" t="s">
        <v>271</v>
      </c>
      <c r="N118" s="27">
        <f>IF(COUNT(N98:N117), SUM(N98:N117) / COUNT(N98:N117), 0)</f>
        <v>-0.11096089851685512</v>
      </c>
      <c r="O118" s="28">
        <f>SUM(O98:O117)</f>
        <v>-221921.79703371017</v>
      </c>
      <c r="Q118" s="255"/>
      <c r="R118" s="256"/>
      <c r="S118" s="257"/>
    </row>
    <row r="120" spans="1:19" ht="17.25" thickBot="1"/>
    <row r="121" spans="1:19" ht="17.25" thickBot="1">
      <c r="A121" s="201" t="s">
        <v>258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81" t="s">
        <v>267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55149000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2.1442459999999998E-3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2021-09-07(화) 오전 00:00</v>
      </c>
      <c r="C123" s="265"/>
      <c r="D123" s="224" t="str">
        <f>TEXT($G$1, "[$-ko-KR]yyyy-mm-dd(ddd) ") &amp; "오후 14:00"</f>
        <v>2021-09-07(화) 오후 14:00</v>
      </c>
      <c r="E123" s="225"/>
      <c r="F123" s="226"/>
      <c r="G123" s="224" t="str">
        <f>TEXT($G$1, "[$-ko-KR]yyyy-mm-dd(ddd) ") &amp; "오후 19:00"</f>
        <v>2021-09-07(화) 오후 19:00</v>
      </c>
      <c r="H123" s="225"/>
      <c r="I123" s="226"/>
      <c r="J123" s="224" t="str">
        <f>TEXT($G$1, "[$-ko-KR]yyyy-mm-dd(ddd) ") &amp; "오후 21:00"</f>
        <v>2021-09-07(화) 오후 21:00</v>
      </c>
      <c r="K123" s="225"/>
      <c r="L123" s="226"/>
      <c r="M123" s="224" t="str">
        <f>TEXT($G$1+1, "[$-ko-KR]yyyy-mm-dd(ddd) ") &amp; "오전 00:00"</f>
        <v>2021-09-08(수)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7"/>
      <c r="R124" s="227"/>
      <c r="S124" s="227"/>
    </row>
    <row r="125" spans="1:19" ht="17.25" thickBot="1">
      <c r="A125" s="123" t="s">
        <v>204</v>
      </c>
      <c r="B125" s="124">
        <v>19.399999999999999</v>
      </c>
      <c r="C125" s="76">
        <v>3.1914893600000001E-2</v>
      </c>
      <c r="D125" s="13">
        <v>19.3</v>
      </c>
      <c r="E125" s="14">
        <f>IF(ISNUMBER(D125), (D125 - $B125) / $B125, "")</f>
        <v>-5.1546391752576226E-3</v>
      </c>
      <c r="F125" s="16">
        <f>IF(ISNUMBER(D125), $B145 * E125, "")</f>
        <v>-515.46391752576221</v>
      </c>
      <c r="G125" s="29">
        <v>18.5</v>
      </c>
      <c r="H125" s="14">
        <f>IF(ISNUMBER(G125), (G125 - $B125) / $B125, "")</f>
        <v>-4.639175257731952E-2</v>
      </c>
      <c r="I125" s="100">
        <f>IF(ISNUMBER(G125), $B145 * H125, "")</f>
        <v>-4639.1752577319521</v>
      </c>
      <c r="J125" s="13">
        <v>18.600000000000001</v>
      </c>
      <c r="K125" s="14">
        <f>IF(ISNUMBER(J125), (J125 - $B125) / $B125, "")</f>
        <v>-4.1237113402061709E-2</v>
      </c>
      <c r="L125" s="16">
        <f>IF(ISNUMBER(J125), $B145 * K125, "")</f>
        <v>-4123.7113402061714</v>
      </c>
      <c r="M125" s="29">
        <v>16.899999999999999</v>
      </c>
      <c r="N125" s="14">
        <f>IF(ISNUMBER(M125), (M125 - $B125) / $B125, "")</f>
        <v>-0.12886597938144331</v>
      </c>
      <c r="O125" s="16">
        <f>IF(ISNUMBER(M125), $B145 * N125, "")</f>
        <v>-12886.597938144332</v>
      </c>
      <c r="Q125" s="222"/>
      <c r="R125" s="222"/>
      <c r="S125" s="222"/>
    </row>
    <row r="126" spans="1:19" ht="17.25" thickBot="1">
      <c r="A126" s="125" t="s">
        <v>210</v>
      </c>
      <c r="B126" s="126">
        <v>18.100000000000001</v>
      </c>
      <c r="C126" s="77">
        <v>2.2598870100000001E-2</v>
      </c>
      <c r="D126" s="15">
        <v>18.100000000000001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17.399999999999999</v>
      </c>
      <c r="H126" s="32">
        <f t="shared" ref="H126:H129" si="63">IF(ISNUMBER(G126), (G126 - $B126) / $B126, "")</f>
        <v>-3.8674033149171422E-2</v>
      </c>
      <c r="I126" s="101">
        <f>IF(ISNUMBER(G126), $B145 * H126, "")</f>
        <v>-3867.4033149171423</v>
      </c>
      <c r="J126" s="15">
        <v>17.5</v>
      </c>
      <c r="K126" s="32">
        <f t="shared" ref="K126:K129" si="64">IF(ISNUMBER(J126), (J126 - $B126) / $B126, "")</f>
        <v>-3.3149171270718307E-2</v>
      </c>
      <c r="L126" s="18">
        <f>IF(ISNUMBER(J126), $B145 * K126, "")</f>
        <v>-3314.9171270718307</v>
      </c>
      <c r="M126" s="31">
        <v>15.8</v>
      </c>
      <c r="N126" s="32">
        <f t="shared" ref="N126:N129" si="65">IF(ISNUMBER(M126), (M126 - $B126) / $B126, "")</f>
        <v>-0.12707182320441993</v>
      </c>
      <c r="O126" s="18">
        <f>IF(ISNUMBER(M126), $B145 * N126, "")</f>
        <v>-12707.182320441992</v>
      </c>
      <c r="Q126" s="222"/>
      <c r="R126" s="222"/>
      <c r="S126" s="222"/>
    </row>
    <row r="127" spans="1:19" ht="17.25" thickBot="1">
      <c r="A127" s="125" t="s">
        <v>65</v>
      </c>
      <c r="B127" s="126">
        <v>71.2</v>
      </c>
      <c r="C127" s="77">
        <v>1.5691868800000001E-2</v>
      </c>
      <c r="D127" s="15">
        <v>71.7</v>
      </c>
      <c r="E127" s="32">
        <f t="shared" si="62"/>
        <v>7.0224719101123594E-3</v>
      </c>
      <c r="F127" s="18">
        <f>IF(ISNUMBER(D127), $B145 * E127, "")</f>
        <v>702.24719101123594</v>
      </c>
      <c r="G127" s="31">
        <v>69.400000000000006</v>
      </c>
      <c r="H127" s="32">
        <f t="shared" si="63"/>
        <v>-2.5280898876404452E-2</v>
      </c>
      <c r="I127" s="101">
        <f>IF(ISNUMBER(G127), $B145 * H127, "")</f>
        <v>-2528.0898876404453</v>
      </c>
      <c r="J127" s="15">
        <v>70</v>
      </c>
      <c r="K127" s="32">
        <f t="shared" si="64"/>
        <v>-1.6853932584269701E-2</v>
      </c>
      <c r="L127" s="18">
        <f>IF(ISNUMBER(J127), $B145 * K127, "")</f>
        <v>-1685.3932584269701</v>
      </c>
      <c r="M127" s="31">
        <v>66.8</v>
      </c>
      <c r="N127" s="32">
        <f t="shared" si="65"/>
        <v>-6.1797752808988839E-2</v>
      </c>
      <c r="O127" s="18">
        <f>IF(ISNUMBER(M127), $B145 * N127, "")</f>
        <v>-6179.7752808988835</v>
      </c>
      <c r="Q127" s="227"/>
      <c r="R127" s="227"/>
      <c r="S127" s="227"/>
    </row>
    <row r="128" spans="1:19" ht="17.25" thickBot="1">
      <c r="A128" s="125" t="s">
        <v>72</v>
      </c>
      <c r="B128" s="126">
        <v>30.4</v>
      </c>
      <c r="C128" s="77">
        <v>9.9667773999999997E-3</v>
      </c>
      <c r="D128" s="15">
        <v>30.5</v>
      </c>
      <c r="E128" s="32">
        <f t="shared" si="62"/>
        <v>3.2894736842105734E-3</v>
      </c>
      <c r="F128" s="18">
        <f>IF(ISNUMBER(D128), $B145 * E128, "")</f>
        <v>328.94736842105732</v>
      </c>
      <c r="G128" s="31">
        <v>28.9</v>
      </c>
      <c r="H128" s="32">
        <f t="shared" si="63"/>
        <v>-4.9342105263157895E-2</v>
      </c>
      <c r="I128" s="101">
        <f>IF(ISNUMBER(G128), $B145 * H128, "")</f>
        <v>-4934.2105263157891</v>
      </c>
      <c r="J128" s="15">
        <v>29.1</v>
      </c>
      <c r="K128" s="32">
        <f t="shared" si="64"/>
        <v>-4.2763157894736753E-2</v>
      </c>
      <c r="L128" s="18">
        <f>IF(ISNUMBER(J128), $B145 * K128, "")</f>
        <v>-4276.3157894736751</v>
      </c>
      <c r="M128" s="31">
        <v>26.1</v>
      </c>
      <c r="N128" s="32">
        <f t="shared" si="65"/>
        <v>-0.14144736842105254</v>
      </c>
      <c r="O128" s="18">
        <f>IF(ISNUMBER(M128), $B145 * N128, "")</f>
        <v>-14144.736842105254</v>
      </c>
      <c r="Q128" s="227"/>
      <c r="R128" s="227"/>
      <c r="S128" s="227"/>
    </row>
    <row r="129" spans="1:19" ht="17.25" thickBot="1">
      <c r="A129" s="127" t="s">
        <v>122</v>
      </c>
      <c r="B129" s="128">
        <v>49.5</v>
      </c>
      <c r="C129" s="78">
        <v>-4.0241449000000002E-3</v>
      </c>
      <c r="D129" s="20">
        <v>49.3</v>
      </c>
      <c r="E129" s="21">
        <f t="shared" si="62"/>
        <v>-4.0404040404040976E-3</v>
      </c>
      <c r="F129" s="22">
        <f>IF(ISNUMBER(D129), $B145 * E129, "")</f>
        <v>-404.04040404040978</v>
      </c>
      <c r="G129" s="30">
        <v>46.3</v>
      </c>
      <c r="H129" s="21">
        <f t="shared" si="63"/>
        <v>-6.4646464646464702E-2</v>
      </c>
      <c r="I129" s="105">
        <f>IF(ISNUMBER(G129), $B145 * H129, "")</f>
        <v>-6464.6464646464701</v>
      </c>
      <c r="J129" s="20">
        <v>47</v>
      </c>
      <c r="K129" s="21">
        <f t="shared" si="64"/>
        <v>-5.0505050505050504E-2</v>
      </c>
      <c r="L129" s="22">
        <f>IF(ISNUMBER(J129), $B145 * K129, "")</f>
        <v>-5050.5050505050503</v>
      </c>
      <c r="M129" s="30">
        <v>41.2</v>
      </c>
      <c r="N129" s="21">
        <f t="shared" si="65"/>
        <v>-0.16767676767676762</v>
      </c>
      <c r="O129" s="22">
        <f>IF(ISNUMBER(M129), $B145 * N129, "")</f>
        <v>-16767.676767676763</v>
      </c>
      <c r="Q129" s="227"/>
      <c r="R129" s="227"/>
      <c r="S129" s="227"/>
    </row>
    <row r="130" spans="1:19" ht="17.25" thickBot="1">
      <c r="A130" s="125" t="s">
        <v>98</v>
      </c>
      <c r="B130" s="129">
        <v>5.61</v>
      </c>
      <c r="C130" s="80">
        <v>-5.3191489E-3</v>
      </c>
      <c r="D130" s="106">
        <v>5.62</v>
      </c>
      <c r="E130" s="107">
        <f>IF(ISNUMBER(D130), (D130 - $B130) / $B130, "")</f>
        <v>1.7825311942958621E-3</v>
      </c>
      <c r="F130" s="108">
        <f>IF(ISNUMBER(D130), $B145 * E130, "")</f>
        <v>178.25311942958621</v>
      </c>
      <c r="G130" s="109">
        <v>5.28</v>
      </c>
      <c r="H130" s="107">
        <f>IF(ISNUMBER(G130), (G130 - $B130) / $B130, "")</f>
        <v>-5.8823529411764712E-2</v>
      </c>
      <c r="I130" s="110">
        <f>IF(ISNUMBER(G130), $B145 * H130, "")</f>
        <v>-5882.3529411764712</v>
      </c>
      <c r="J130" s="106">
        <v>5.31</v>
      </c>
      <c r="K130" s="107">
        <f>IF(ISNUMBER(J130), (J130 - $B130) / $B130, "")</f>
        <v>-5.3475935828877129E-2</v>
      </c>
      <c r="L130" s="108">
        <f>IF(ISNUMBER(J130), $B145 * K130, "")</f>
        <v>-5347.5935828877127</v>
      </c>
      <c r="M130" s="109">
        <v>4.8099999999999996</v>
      </c>
      <c r="N130" s="107">
        <f>IF(ISNUMBER(M130), (M130 - $B130) / $B130, "")</f>
        <v>-0.14260249554367213</v>
      </c>
      <c r="O130" s="108">
        <f>IF(ISNUMBER(M130), $B145 * N130, "")</f>
        <v>-14260.249554367214</v>
      </c>
      <c r="Q130" s="227"/>
      <c r="R130" s="227"/>
      <c r="S130" s="227"/>
    </row>
    <row r="131" spans="1:19" ht="17.25" thickBot="1">
      <c r="A131" s="125" t="s">
        <v>190</v>
      </c>
      <c r="B131" s="126">
        <v>22.4</v>
      </c>
      <c r="C131" s="77">
        <v>-8.8495575000000007E-3</v>
      </c>
      <c r="D131" s="15">
        <v>22.3</v>
      </c>
      <c r="E131" s="32">
        <f t="shared" ref="E131:E134" si="66">IF(ISNUMBER(D131), (D131 - $B131) / $B131, "")</f>
        <v>-4.4642857142856195E-3</v>
      </c>
      <c r="F131" s="18">
        <f>IF(ISNUMBER(D131), $B145 * E131, "")</f>
        <v>-446.42857142856195</v>
      </c>
      <c r="G131" s="31">
        <v>21.4</v>
      </c>
      <c r="H131" s="32">
        <f t="shared" ref="H131:H134" si="67">IF(ISNUMBER(G131), (G131 - $B131) / $B131, "")</f>
        <v>-4.4642857142857144E-2</v>
      </c>
      <c r="I131" s="101">
        <f>IF(ISNUMBER(G131), $B145 * H131, "")</f>
        <v>-4464.2857142857147</v>
      </c>
      <c r="J131" s="15">
        <v>21.5</v>
      </c>
      <c r="K131" s="32">
        <f t="shared" ref="K131:K134" si="68">IF(ISNUMBER(J131), (J131 - $B131) / $B131, "")</f>
        <v>-4.0178571428571369E-2</v>
      </c>
      <c r="L131" s="18">
        <f>IF(ISNUMBER(J131), $B145 * K131, "")</f>
        <v>-4017.8571428571368</v>
      </c>
      <c r="M131" s="31">
        <v>19.600000000000001</v>
      </c>
      <c r="N131" s="32">
        <f t="shared" ref="N131:N134" si="69">IF(ISNUMBER(M131), (M131 - $B131) / $B131, "")</f>
        <v>-0.12499999999999988</v>
      </c>
      <c r="O131" s="18">
        <f>IF(ISNUMBER(M131), $B145 * N131, "")</f>
        <v>-12499.999999999987</v>
      </c>
      <c r="Q131" s="227"/>
      <c r="R131" s="227"/>
      <c r="S131" s="227"/>
    </row>
    <row r="132" spans="1:19" ht="17.25" thickBot="1">
      <c r="A132" s="125" t="s">
        <v>240</v>
      </c>
      <c r="B132" s="126">
        <v>80.8</v>
      </c>
      <c r="C132" s="77">
        <v>-1.10159119E-2</v>
      </c>
      <c r="D132" s="15">
        <v>81.599999999999994</v>
      </c>
      <c r="E132" s="32">
        <f t="shared" si="66"/>
        <v>9.9009900990098664E-3</v>
      </c>
      <c r="F132" s="18">
        <f>IF(ISNUMBER(D132), $B145 * E132, "")</f>
        <v>990.09900990098663</v>
      </c>
      <c r="G132" s="31">
        <v>77.900000000000006</v>
      </c>
      <c r="H132" s="32">
        <f t="shared" si="67"/>
        <v>-3.5891089108910784E-2</v>
      </c>
      <c r="I132" s="101">
        <f>IF(ISNUMBER(G132), $B145 * H132, "")</f>
        <v>-3589.1089108910783</v>
      </c>
      <c r="J132" s="15">
        <v>78.5</v>
      </c>
      <c r="K132" s="32">
        <f t="shared" si="68"/>
        <v>-2.8465346534653432E-2</v>
      </c>
      <c r="L132" s="18">
        <f>IF(ISNUMBER(J132), $B145 * K132, "")</f>
        <v>-2846.5346534653431</v>
      </c>
      <c r="M132" s="31">
        <v>72.7</v>
      </c>
      <c r="N132" s="32">
        <f t="shared" si="69"/>
        <v>-0.10024752475247518</v>
      </c>
      <c r="O132" s="18">
        <f>IF(ISNUMBER(M132), $B145 * N132, "")</f>
        <v>-10024.752475247518</v>
      </c>
      <c r="Q132" s="227"/>
      <c r="R132" s="227"/>
      <c r="S132" s="227"/>
    </row>
    <row r="133" spans="1:19" ht="17.25" thickBot="1">
      <c r="A133" s="125" t="s">
        <v>148</v>
      </c>
      <c r="B133" s="126">
        <v>28</v>
      </c>
      <c r="C133" s="77">
        <v>-1.4084507E-2</v>
      </c>
      <c r="D133" s="15">
        <v>27.8</v>
      </c>
      <c r="E133" s="32">
        <f t="shared" si="66"/>
        <v>-7.1428571428571175E-3</v>
      </c>
      <c r="F133" s="18">
        <f>IF(ISNUMBER(D133), $B145 * E133, "")</f>
        <v>-714.28571428571172</v>
      </c>
      <c r="G133" s="31">
        <v>26.5</v>
      </c>
      <c r="H133" s="32">
        <f t="shared" si="67"/>
        <v>-5.3571428571428568E-2</v>
      </c>
      <c r="I133" s="101">
        <f>IF(ISNUMBER(G133), $B145 * H133, "")</f>
        <v>-5357.1428571428569</v>
      </c>
      <c r="J133" s="15">
        <v>26.4</v>
      </c>
      <c r="K133" s="32">
        <f t="shared" si="68"/>
        <v>-5.7142857142857197E-2</v>
      </c>
      <c r="L133" s="18">
        <f>IF(ISNUMBER(J133), $B145 * K133, "")</f>
        <v>-5714.2857142857192</v>
      </c>
      <c r="M133" s="31">
        <v>24</v>
      </c>
      <c r="N133" s="32">
        <f t="shared" si="69"/>
        <v>-0.14285714285714285</v>
      </c>
      <c r="O133" s="18">
        <f>IF(ISNUMBER(M133), $B145 * N133, "")</f>
        <v>-14285.714285714284</v>
      </c>
      <c r="Q133" s="33"/>
      <c r="R133" s="33"/>
    </row>
    <row r="134" spans="1:19" ht="17.25" thickBot="1">
      <c r="A134" s="130" t="s">
        <v>178</v>
      </c>
      <c r="B134" s="131">
        <v>22.2</v>
      </c>
      <c r="C134" s="79">
        <v>-1.7699115000000001E-2</v>
      </c>
      <c r="D134" s="24">
        <v>22.5</v>
      </c>
      <c r="E134" s="25">
        <f t="shared" si="66"/>
        <v>1.3513513513513545E-2</v>
      </c>
      <c r="F134" s="104">
        <f>IF(ISNUMBER(D134), $B145 * E134, "")</f>
        <v>1351.3513513513547</v>
      </c>
      <c r="G134" s="102">
        <v>21.3</v>
      </c>
      <c r="H134" s="25">
        <f t="shared" si="67"/>
        <v>-4.054054054054048E-2</v>
      </c>
      <c r="I134" s="103">
        <f>IF(ISNUMBER(G134), $B145 * H134, "")</f>
        <v>-4054.0540540540478</v>
      </c>
      <c r="J134" s="24">
        <v>21.4</v>
      </c>
      <c r="K134" s="25">
        <f t="shared" si="68"/>
        <v>-3.603603603603607E-2</v>
      </c>
      <c r="L134" s="104">
        <f>IF(ISNUMBER(J134), $B145 * K134, "")</f>
        <v>-3603.6036036036071</v>
      </c>
      <c r="M134" s="102">
        <v>19.2</v>
      </c>
      <c r="N134" s="25">
        <f t="shared" si="69"/>
        <v>-0.13513513513513514</v>
      </c>
      <c r="O134" s="104">
        <f>IF(ISNUMBER(M134), $B145 * N134, "")</f>
        <v>-13513.513513513515</v>
      </c>
      <c r="Q134" s="236"/>
      <c r="R134" s="237"/>
      <c r="S134" s="238"/>
    </row>
    <row r="135" spans="1:19">
      <c r="A135" s="123" t="s">
        <v>216</v>
      </c>
      <c r="B135" s="124">
        <v>13.6</v>
      </c>
      <c r="C135" s="76">
        <v>-2.15827338E-2</v>
      </c>
      <c r="D135" s="13">
        <v>13.6</v>
      </c>
      <c r="E135" s="14">
        <f>IF(ISNUMBER(D135), (D135 - $B135) / $B135, "")</f>
        <v>0</v>
      </c>
      <c r="F135" s="16">
        <f>IF(ISNUMBER(D135), $B145 * E135, "")</f>
        <v>0</v>
      </c>
      <c r="G135" s="29">
        <v>13</v>
      </c>
      <c r="H135" s="14">
        <f>IF(ISNUMBER(G135), (G135 - $B135) / $B135, "")</f>
        <v>-4.4117647058823505E-2</v>
      </c>
      <c r="I135" s="100">
        <f>IF(ISNUMBER(G135), $B145 * H135, "")</f>
        <v>-4411.7647058823504</v>
      </c>
      <c r="J135" s="13">
        <v>13.1</v>
      </c>
      <c r="K135" s="14">
        <f>IF(ISNUMBER(J135), (J135 - $B135) / $B135, "")</f>
        <v>-3.6764705882352942E-2</v>
      </c>
      <c r="L135" s="16">
        <f>IF(ISNUMBER(J135), $B145 * K135, "")</f>
        <v>-3676.4705882352941</v>
      </c>
      <c r="M135" s="29">
        <v>11.6</v>
      </c>
      <c r="N135" s="14">
        <f>IF(ISNUMBER(M135), (M135 - $B135) / $B135, "")</f>
        <v>-0.14705882352941177</v>
      </c>
      <c r="O135" s="16">
        <f>IF(ISNUMBER(M135), $B145 * N135, "")</f>
        <v>-14705.882352941177</v>
      </c>
      <c r="Q135" s="239"/>
      <c r="R135" s="240"/>
      <c r="S135" s="241"/>
    </row>
    <row r="136" spans="1:19" ht="17.25" thickBot="1">
      <c r="A136" s="125" t="s">
        <v>208</v>
      </c>
      <c r="B136" s="126">
        <v>16.399999999999999</v>
      </c>
      <c r="C136" s="77">
        <v>-2.3809523799999999E-2</v>
      </c>
      <c r="D136" s="15">
        <v>16.399999999999999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15.4</v>
      </c>
      <c r="H136" s="32">
        <f t="shared" ref="H136:H139" si="71">IF(ISNUMBER(G136), (G136 - $B136) / $B136, "")</f>
        <v>-6.0975609756097456E-2</v>
      </c>
      <c r="I136" s="101">
        <f>IF(ISNUMBER(G136), $B145 * H136, "")</f>
        <v>-6097.5609756097456</v>
      </c>
      <c r="J136" s="15">
        <v>15.5</v>
      </c>
      <c r="K136" s="32">
        <f t="shared" ref="K136:K139" si="72">IF(ISNUMBER(J136), (J136 - $B136) / $B136, "")</f>
        <v>-5.4878048780487722E-2</v>
      </c>
      <c r="L136" s="18">
        <f>IF(ISNUMBER(J136), $B145 * K136, "")</f>
        <v>-5487.8048780487725</v>
      </c>
      <c r="M136" s="31">
        <v>14.1</v>
      </c>
      <c r="N136" s="32">
        <f t="shared" ref="N136:N139" si="73">IF(ISNUMBER(M136), (M136 - $B136) / $B136, "")</f>
        <v>-0.14024390243902435</v>
      </c>
      <c r="O136" s="18">
        <f>IF(ISNUMBER(M136), $B145 * N136, "")</f>
        <v>-14024.390243902435</v>
      </c>
      <c r="Q136" s="242"/>
      <c r="R136" s="243"/>
      <c r="S136" s="244"/>
    </row>
    <row r="137" spans="1:19" ht="17.25" thickBot="1">
      <c r="A137" s="125" t="s">
        <v>150</v>
      </c>
      <c r="B137" s="126">
        <v>16</v>
      </c>
      <c r="C137" s="77">
        <v>-3.0303030299999999E-2</v>
      </c>
      <c r="D137" s="15">
        <v>15.9</v>
      </c>
      <c r="E137" s="32">
        <f t="shared" si="70"/>
        <v>-6.2499999999999778E-3</v>
      </c>
      <c r="F137" s="18">
        <f>IF(ISNUMBER(D137), $B145 * E137, "")</f>
        <v>-624.99999999999773</v>
      </c>
      <c r="G137" s="31">
        <v>15.2</v>
      </c>
      <c r="H137" s="32">
        <f t="shared" si="71"/>
        <v>-5.0000000000000044E-2</v>
      </c>
      <c r="I137" s="101">
        <f>IF(ISNUMBER(G137), $B145 * H137, "")</f>
        <v>-5000.0000000000045</v>
      </c>
      <c r="J137" s="15">
        <v>15.3</v>
      </c>
      <c r="K137" s="32">
        <f t="shared" si="72"/>
        <v>-4.3749999999999956E-2</v>
      </c>
      <c r="L137" s="18">
        <f>IF(ISNUMBER(J137), $B145 * K137, "")</f>
        <v>-4374.9999999999955</v>
      </c>
      <c r="M137" s="31">
        <v>13.8</v>
      </c>
      <c r="N137" s="32">
        <f t="shared" si="73"/>
        <v>-0.13749999999999996</v>
      </c>
      <c r="O137" s="18">
        <f>IF(ISNUMBER(M137), $B145 * N137, "")</f>
        <v>-13749.999999999996</v>
      </c>
      <c r="Q137" s="227"/>
      <c r="R137" s="227"/>
      <c r="S137" s="227"/>
    </row>
    <row r="138" spans="1:19" ht="17.25" thickBot="1">
      <c r="A138" s="125" t="s">
        <v>188</v>
      </c>
      <c r="B138" s="126">
        <v>17.399999999999999</v>
      </c>
      <c r="C138" s="77">
        <v>-5.9459459499999999E-2</v>
      </c>
      <c r="D138" s="15">
        <v>17.5</v>
      </c>
      <c r="E138" s="32">
        <f t="shared" si="70"/>
        <v>5.7471264367816915E-3</v>
      </c>
      <c r="F138" s="18">
        <f>IF(ISNUMBER(D138), $B145 * E138, "")</f>
        <v>574.71264367816912</v>
      </c>
      <c r="G138" s="31">
        <v>16.899999999999999</v>
      </c>
      <c r="H138" s="32">
        <f t="shared" si="71"/>
        <v>-2.8735632183908049E-2</v>
      </c>
      <c r="I138" s="101">
        <f>IF(ISNUMBER(G138), $B145 * H138, "")</f>
        <v>-2873.5632183908051</v>
      </c>
      <c r="J138" s="15">
        <v>17</v>
      </c>
      <c r="K138" s="32">
        <f t="shared" si="72"/>
        <v>-2.2988505747126357E-2</v>
      </c>
      <c r="L138" s="18">
        <f>IF(ISNUMBER(J138), $B145 * K138, "")</f>
        <v>-2298.8505747126355</v>
      </c>
      <c r="M138" s="31">
        <v>15</v>
      </c>
      <c r="N138" s="32">
        <f t="shared" si="73"/>
        <v>-0.13793103448275856</v>
      </c>
      <c r="O138" s="18">
        <f>IF(ISNUMBER(M138), $B145 * N138, "")</f>
        <v>-13793.103448275857</v>
      </c>
      <c r="Q138" s="222"/>
      <c r="R138" s="222"/>
      <c r="S138" s="222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22"/>
      <c r="R139" s="222"/>
      <c r="S139" s="222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27"/>
      <c r="R140" s="227"/>
      <c r="S140" s="227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7"/>
      <c r="R141" s="227"/>
      <c r="S141" s="22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132" t="s">
        <v>270</v>
      </c>
      <c r="B145" s="260">
        <f>$B$37</f>
        <v>100000</v>
      </c>
      <c r="C145" s="261"/>
      <c r="D145" s="26" t="s">
        <v>271</v>
      </c>
      <c r="E145" s="27">
        <f>IF(COUNT(E125:E144), SUM(E125:E144) / COUNT(E125:E144), 0)</f>
        <v>1.0145657689371046E-3</v>
      </c>
      <c r="F145" s="28">
        <f>SUM(F125:F144)</f>
        <v>1420.3920765119465</v>
      </c>
      <c r="G145" s="26" t="s">
        <v>271</v>
      </c>
      <c r="H145" s="27">
        <f>IF(COUNT(H125:H144), SUM(H125:H144) / COUNT(H125:H144), 0)</f>
        <v>-4.583097059191777E-2</v>
      </c>
      <c r="I145" s="28">
        <f>SUM(I125:I144)</f>
        <v>-64163.358828684875</v>
      </c>
      <c r="J145" s="26" t="s">
        <v>271</v>
      </c>
      <c r="K145" s="27">
        <f>IF(COUNT(K125:K144), SUM(K125:K144) / COUNT(K125:K144), 0)</f>
        <v>-3.9870602359842806E-2</v>
      </c>
      <c r="L145" s="28">
        <f>SUM(L125:L144)</f>
        <v>-55818.843303779911</v>
      </c>
      <c r="M145" s="26" t="s">
        <v>271</v>
      </c>
      <c r="N145" s="27">
        <f>IF(COUNT(N125:N144), SUM(N125:N144) / COUNT(N125:N144), 0)</f>
        <v>-0.13110255358802084</v>
      </c>
      <c r="O145" s="28">
        <f>SUM(O125:O144)</f>
        <v>-183543.5750232292</v>
      </c>
      <c r="Q145" s="255"/>
      <c r="R145" s="256"/>
      <c r="S145" s="257"/>
    </row>
    <row r="147" spans="1:19" ht="17.25" thickBot="1"/>
    <row r="148" spans="1:19" ht="17.25" thickBot="1">
      <c r="A148" s="201" t="s">
        <v>259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81" t="s">
        <v>267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55149000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2.1442459999999998E-3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2021-09-07(화) 오전 00:00</v>
      </c>
      <c r="C150" s="265"/>
      <c r="D150" s="224" t="str">
        <f>TEXT($G$1, "[$-ko-KR]yyyy-mm-dd(ddd) ") &amp; "오후 14:00"</f>
        <v>2021-09-07(화) 오후 14:00</v>
      </c>
      <c r="E150" s="225"/>
      <c r="F150" s="226"/>
      <c r="G150" s="224" t="str">
        <f>TEXT($G$1, "[$-ko-KR]yyyy-mm-dd(ddd) ") &amp; "오후 19:00"</f>
        <v>2021-09-07(화) 오후 19:00</v>
      </c>
      <c r="H150" s="225"/>
      <c r="I150" s="226"/>
      <c r="J150" s="224" t="str">
        <f>TEXT($G$1, "[$-ko-KR]yyyy-mm-dd(ddd) ") &amp; "오후 21:00"</f>
        <v>2021-09-07(화) 오후 21:00</v>
      </c>
      <c r="K150" s="225"/>
      <c r="L150" s="226"/>
      <c r="M150" s="224" t="str">
        <f>TEXT($G$1+1, "[$-ko-KR]yyyy-mm-dd(ddd) ") &amp; "오전 00:00"</f>
        <v>2021-09-08(수)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7"/>
      <c r="R151" s="227"/>
      <c r="S151" s="227"/>
    </row>
    <row r="152" spans="1:19" ht="17.25" thickBot="1">
      <c r="A152" s="123" t="s">
        <v>236</v>
      </c>
      <c r="B152" s="124">
        <v>820</v>
      </c>
      <c r="C152" s="76">
        <v>1.7369727000000001E-2</v>
      </c>
      <c r="D152" s="13">
        <v>834</v>
      </c>
      <c r="E152" s="14">
        <f>IF(ISNUMBER(D152), (D152 - $B152) / $B152, "")</f>
        <v>1.7073170731707318E-2</v>
      </c>
      <c r="F152" s="16">
        <f>IF(ISNUMBER(D152), $B172 * E152, "")</f>
        <v>1707.3170731707319</v>
      </c>
      <c r="G152" s="29">
        <v>790</v>
      </c>
      <c r="H152" s="14">
        <f>IF(ISNUMBER(G152), (G152 - $B152) / $B152, "")</f>
        <v>-3.6585365853658534E-2</v>
      </c>
      <c r="I152" s="100">
        <f>IF(ISNUMBER(G152), $B172 * H152, "")</f>
        <v>-3658.5365853658536</v>
      </c>
      <c r="J152" s="13">
        <v>803</v>
      </c>
      <c r="K152" s="14">
        <f>IF(ISNUMBER(J152), (J152 - $B152) / $B152, "")</f>
        <v>-2.0731707317073172E-2</v>
      </c>
      <c r="L152" s="16">
        <f>IF(ISNUMBER(J152), $B172 * K152, "")</f>
        <v>-2073.1707317073174</v>
      </c>
      <c r="M152" s="29">
        <v>740</v>
      </c>
      <c r="N152" s="14">
        <f>IF(ISNUMBER(M152), (M152 - $B152) / $B152, "")</f>
        <v>-9.7560975609756101E-2</v>
      </c>
      <c r="O152" s="16">
        <f>IF(ISNUMBER(M152), $B172 * N152, "")</f>
        <v>-9756.0975609756097</v>
      </c>
      <c r="Q152" s="222"/>
      <c r="R152" s="222"/>
      <c r="S152" s="222"/>
    </row>
    <row r="153" spans="1:19" ht="17.25" thickBot="1">
      <c r="A153" s="125" t="s">
        <v>174</v>
      </c>
      <c r="B153" s="126">
        <v>487</v>
      </c>
      <c r="C153" s="77">
        <v>1.6701461399999999E-2</v>
      </c>
      <c r="D153" s="15">
        <v>504</v>
      </c>
      <c r="E153" s="32">
        <f t="shared" ref="E153:E156" si="78">IF(ISNUMBER(D153), (D153 - $B153) / $B153, "")</f>
        <v>3.4907597535934289E-2</v>
      </c>
      <c r="F153" s="18">
        <f>IF(ISNUMBER(D153), $B172 * E153, "")</f>
        <v>3490.7597535934287</v>
      </c>
      <c r="G153" s="31">
        <v>462</v>
      </c>
      <c r="H153" s="32">
        <f t="shared" ref="H153:H156" si="79">IF(ISNUMBER(G153), (G153 - $B153) / $B153, "")</f>
        <v>-5.1334702258726897E-2</v>
      </c>
      <c r="I153" s="101">
        <f>IF(ISNUMBER(G153), $B172 * H153, "")</f>
        <v>-5133.4702258726893</v>
      </c>
      <c r="J153" s="15">
        <v>485</v>
      </c>
      <c r="K153" s="32">
        <f t="shared" ref="K153:K156" si="80">IF(ISNUMBER(J153), (J153 - $B153) / $B153, "")</f>
        <v>-4.1067761806981521E-3</v>
      </c>
      <c r="L153" s="18">
        <f>IF(ISNUMBER(J153), $B172 * K153, "")</f>
        <v>-410.6776180698152</v>
      </c>
      <c r="M153" s="31">
        <v>417</v>
      </c>
      <c r="N153" s="32">
        <f t="shared" ref="N153:N156" si="81">IF(ISNUMBER(M153), (M153 - $B153) / $B153, "")</f>
        <v>-0.14373716632443531</v>
      </c>
      <c r="O153" s="18">
        <f>IF(ISNUMBER(M153), $B172 * N153, "")</f>
        <v>-14373.716632443531</v>
      </c>
      <c r="Q153" s="222"/>
      <c r="R153" s="222"/>
      <c r="S153" s="222"/>
    </row>
    <row r="154" spans="1:19" ht="17.25" thickBot="1">
      <c r="A154" s="125" t="s">
        <v>166</v>
      </c>
      <c r="B154" s="126">
        <v>284</v>
      </c>
      <c r="C154" s="77">
        <v>1.42857143E-2</v>
      </c>
      <c r="D154" s="15">
        <v>286</v>
      </c>
      <c r="E154" s="32">
        <f t="shared" si="78"/>
        <v>7.0422535211267607E-3</v>
      </c>
      <c r="F154" s="18">
        <f>IF(ISNUMBER(D154), $B172 * E154, "")</f>
        <v>704.22535211267609</v>
      </c>
      <c r="G154" s="31">
        <v>268</v>
      </c>
      <c r="H154" s="32">
        <f t="shared" si="79"/>
        <v>-5.6338028169014086E-2</v>
      </c>
      <c r="I154" s="101">
        <f>IF(ISNUMBER(G154), $B172 * H154, "")</f>
        <v>-5633.8028169014087</v>
      </c>
      <c r="J154" s="15">
        <v>270</v>
      </c>
      <c r="K154" s="32">
        <f t="shared" si="80"/>
        <v>-4.9295774647887321E-2</v>
      </c>
      <c r="L154" s="18">
        <f>IF(ISNUMBER(J154), $B172 * K154, "")</f>
        <v>-4929.577464788732</v>
      </c>
      <c r="M154" s="31">
        <v>239</v>
      </c>
      <c r="N154" s="32">
        <f t="shared" si="81"/>
        <v>-0.15845070422535212</v>
      </c>
      <c r="O154" s="18">
        <f>IF(ISNUMBER(M154), $B172 * N154, "")</f>
        <v>-15845.070422535213</v>
      </c>
      <c r="Q154" s="227"/>
      <c r="R154" s="227"/>
      <c r="S154" s="227"/>
    </row>
    <row r="155" spans="1:19" ht="17.25" thickBot="1">
      <c r="A155" s="125" t="s">
        <v>194</v>
      </c>
      <c r="B155" s="126">
        <v>163</v>
      </c>
      <c r="C155" s="77">
        <v>1.24223602E-2</v>
      </c>
      <c r="D155" s="15">
        <v>165</v>
      </c>
      <c r="E155" s="32">
        <f t="shared" si="78"/>
        <v>1.2269938650306749E-2</v>
      </c>
      <c r="F155" s="18">
        <f>IF(ISNUMBER(D155), $B172 * E155, "")</f>
        <v>1226.9938650306749</v>
      </c>
      <c r="G155" s="31">
        <v>156</v>
      </c>
      <c r="H155" s="32">
        <f t="shared" si="79"/>
        <v>-4.2944785276073622E-2</v>
      </c>
      <c r="I155" s="101">
        <f>IF(ISNUMBER(G155), $B172 * H155, "")</f>
        <v>-4294.4785276073626</v>
      </c>
      <c r="J155" s="15">
        <v>156</v>
      </c>
      <c r="K155" s="32">
        <f t="shared" si="80"/>
        <v>-4.2944785276073622E-2</v>
      </c>
      <c r="L155" s="18">
        <f>IF(ISNUMBER(J155), $B172 * K155, "")</f>
        <v>-4294.4785276073626</v>
      </c>
      <c r="M155" s="31">
        <v>141</v>
      </c>
      <c r="N155" s="32">
        <f t="shared" si="81"/>
        <v>-0.13496932515337423</v>
      </c>
      <c r="O155" s="18">
        <f>IF(ISNUMBER(M155), $B172 * N155, "")</f>
        <v>-13496.932515337423</v>
      </c>
      <c r="Q155" s="227"/>
      <c r="R155" s="227"/>
      <c r="S155" s="227"/>
    </row>
    <row r="156" spans="1:19" ht="17.25" thickBot="1">
      <c r="A156" s="127" t="s">
        <v>138</v>
      </c>
      <c r="B156" s="128">
        <v>452</v>
      </c>
      <c r="C156" s="78">
        <v>1.1185682299999999E-2</v>
      </c>
      <c r="D156" s="20">
        <v>490</v>
      </c>
      <c r="E156" s="21">
        <f t="shared" si="78"/>
        <v>8.4070796460176997E-2</v>
      </c>
      <c r="F156" s="22">
        <f>IF(ISNUMBER(D156), $B172 * E156, "")</f>
        <v>8407.0796460176989</v>
      </c>
      <c r="G156" s="30">
        <v>460</v>
      </c>
      <c r="H156" s="21">
        <f t="shared" si="79"/>
        <v>1.7699115044247787E-2</v>
      </c>
      <c r="I156" s="105">
        <f>IF(ISNUMBER(G156), $B172 * H156, "")</f>
        <v>1769.9115044247787</v>
      </c>
      <c r="J156" s="20">
        <v>461</v>
      </c>
      <c r="K156" s="21">
        <f t="shared" si="80"/>
        <v>1.9911504424778761E-2</v>
      </c>
      <c r="L156" s="22">
        <f>IF(ISNUMBER(J156), $B172 * K156, "")</f>
        <v>1991.1504424778761</v>
      </c>
      <c r="M156" s="30">
        <v>419</v>
      </c>
      <c r="N156" s="21">
        <f t="shared" si="81"/>
        <v>-7.3008849557522126E-2</v>
      </c>
      <c r="O156" s="22">
        <f>IF(ISNUMBER(M156), $B172 * N156, "")</f>
        <v>-7300.8849557522126</v>
      </c>
      <c r="Q156" s="227"/>
      <c r="R156" s="227"/>
      <c r="S156" s="227"/>
    </row>
    <row r="157" spans="1:19" ht="17.25" thickBot="1">
      <c r="A157" s="125" t="s">
        <v>54</v>
      </c>
      <c r="B157" s="129">
        <v>355</v>
      </c>
      <c r="C157" s="80">
        <v>5.6657223999999999E-3</v>
      </c>
      <c r="D157" s="106">
        <v>391</v>
      </c>
      <c r="E157" s="107">
        <f>IF(ISNUMBER(D157), (D157 - $B157) / $B157, "")</f>
        <v>0.10140845070422536</v>
      </c>
      <c r="F157" s="108">
        <f>IF(ISNUMBER(D157), $B172 * E157, "")</f>
        <v>10140.845070422536</v>
      </c>
      <c r="G157" s="109">
        <v>364</v>
      </c>
      <c r="H157" s="107">
        <f>IF(ISNUMBER(G157), (G157 - $B157) / $B157, "")</f>
        <v>2.5352112676056339E-2</v>
      </c>
      <c r="I157" s="110">
        <f>IF(ISNUMBER(G157), $B172 * H157, "")</f>
        <v>2535.211267605634</v>
      </c>
      <c r="J157" s="106">
        <v>359</v>
      </c>
      <c r="K157" s="107">
        <f>IF(ISNUMBER(J157), (J157 - $B157) / $B157, "")</f>
        <v>1.1267605633802818E-2</v>
      </c>
      <c r="L157" s="108">
        <f>IF(ISNUMBER(J157), $B172 * K157, "")</f>
        <v>1126.7605633802818</v>
      </c>
      <c r="M157" s="109">
        <v>332</v>
      </c>
      <c r="N157" s="107">
        <f>IF(ISNUMBER(M157), (M157 - $B157) / $B157, "")</f>
        <v>-6.4788732394366194E-2</v>
      </c>
      <c r="O157" s="108">
        <f>IF(ISNUMBER(M157), $B172 * N157, "")</f>
        <v>-6478.8732394366198</v>
      </c>
      <c r="Q157" s="227"/>
      <c r="R157" s="227"/>
      <c r="S157" s="227"/>
    </row>
    <row r="158" spans="1:19" ht="17.25" thickBot="1">
      <c r="A158" s="125" t="s">
        <v>86</v>
      </c>
      <c r="B158" s="126">
        <v>490</v>
      </c>
      <c r="C158" s="77">
        <v>4.0983607000000003E-3</v>
      </c>
      <c r="D158" s="15">
        <v>505</v>
      </c>
      <c r="E158" s="32">
        <f t="shared" ref="E158:E161" si="82">IF(ISNUMBER(D158), (D158 - $B158) / $B158, "")</f>
        <v>3.0612244897959183E-2</v>
      </c>
      <c r="F158" s="18">
        <f>IF(ISNUMBER(D158), $B172 * E158, "")</f>
        <v>3061.2244897959181</v>
      </c>
      <c r="G158" s="31">
        <v>476</v>
      </c>
      <c r="H158" s="32">
        <f t="shared" ref="H158:H161" si="83">IF(ISNUMBER(G158), (G158 - $B158) / $B158, "")</f>
        <v>-2.8571428571428571E-2</v>
      </c>
      <c r="I158" s="101">
        <f>IF(ISNUMBER(G158), $B172 * H158, "")</f>
        <v>-2857.1428571428569</v>
      </c>
      <c r="J158" s="15">
        <v>479</v>
      </c>
      <c r="K158" s="32">
        <f t="shared" ref="K158:K161" si="84">IF(ISNUMBER(J158), (J158 - $B158) / $B158, "")</f>
        <v>-2.2448979591836733E-2</v>
      </c>
      <c r="L158" s="18">
        <f>IF(ISNUMBER(J158), $B172 * K158, "")</f>
        <v>-2244.8979591836733</v>
      </c>
      <c r="M158" s="31">
        <v>421</v>
      </c>
      <c r="N158" s="32">
        <f t="shared" ref="N158:N161" si="85">IF(ISNUMBER(M158), (M158 - $B158) / $B158, "")</f>
        <v>-0.14081632653061224</v>
      </c>
      <c r="O158" s="18">
        <f>IF(ISNUMBER(M158), $B172 * N158, "")</f>
        <v>-14081.632653061224</v>
      </c>
      <c r="Q158" s="227"/>
      <c r="R158" s="227"/>
      <c r="S158" s="227"/>
    </row>
    <row r="159" spans="1:19" ht="17.25" thickBot="1">
      <c r="A159" s="125" t="s">
        <v>152</v>
      </c>
      <c r="B159" s="126">
        <v>120</v>
      </c>
      <c r="C159" s="77">
        <v>0</v>
      </c>
      <c r="D159" s="15">
        <v>121</v>
      </c>
      <c r="E159" s="32">
        <f t="shared" si="82"/>
        <v>8.3333333333333332E-3</v>
      </c>
      <c r="F159" s="18">
        <f>IF(ISNUMBER(D159), $B172 * E159, "")</f>
        <v>833.33333333333337</v>
      </c>
      <c r="G159" s="31">
        <v>113</v>
      </c>
      <c r="H159" s="32">
        <f t="shared" si="83"/>
        <v>-5.8333333333333334E-2</v>
      </c>
      <c r="I159" s="101">
        <f>IF(ISNUMBER(G159), $B172 * H159, "")</f>
        <v>-5833.333333333333</v>
      </c>
      <c r="J159" s="15">
        <v>114</v>
      </c>
      <c r="K159" s="32">
        <f t="shared" si="84"/>
        <v>-0.05</v>
      </c>
      <c r="L159" s="18">
        <f>IF(ISNUMBER(J159), $B172 * K159, "")</f>
        <v>-5000</v>
      </c>
      <c r="M159" s="31">
        <v>105</v>
      </c>
      <c r="N159" s="32">
        <f t="shared" si="85"/>
        <v>-0.125</v>
      </c>
      <c r="O159" s="18">
        <f>IF(ISNUMBER(M159), $B172 * N159, "")</f>
        <v>-12500</v>
      </c>
      <c r="Q159" s="227"/>
      <c r="R159" s="227"/>
      <c r="S159" s="227"/>
    </row>
    <row r="160" spans="1:19" ht="17.25" thickBot="1">
      <c r="A160" s="125" t="s">
        <v>130</v>
      </c>
      <c r="B160" s="126">
        <v>166</v>
      </c>
      <c r="C160" s="77">
        <v>0</v>
      </c>
      <c r="D160" s="15">
        <v>165</v>
      </c>
      <c r="E160" s="32">
        <f t="shared" si="82"/>
        <v>-6.024096385542169E-3</v>
      </c>
      <c r="F160" s="18">
        <f>IF(ISNUMBER(D160), $B172 * E160, "")</f>
        <v>-602.40963855421694</v>
      </c>
      <c r="G160" s="31">
        <v>157</v>
      </c>
      <c r="H160" s="32">
        <f t="shared" si="83"/>
        <v>-5.4216867469879519E-2</v>
      </c>
      <c r="I160" s="101">
        <f>IF(ISNUMBER(G160), $B172 * H160, "")</f>
        <v>-5421.6867469879517</v>
      </c>
      <c r="J160" s="15">
        <v>160</v>
      </c>
      <c r="K160" s="32">
        <f t="shared" si="84"/>
        <v>-3.614457831325301E-2</v>
      </c>
      <c r="L160" s="18">
        <f>IF(ISNUMBER(J160), $B172 * K160, "")</f>
        <v>-3614.457831325301</v>
      </c>
      <c r="M160" s="31">
        <v>154</v>
      </c>
      <c r="N160" s="32">
        <f t="shared" si="85"/>
        <v>-7.2289156626506021E-2</v>
      </c>
      <c r="O160" s="18">
        <f>IF(ISNUMBER(M160), $B172 * N160, "")</f>
        <v>-7228.9156626506019</v>
      </c>
      <c r="Q160" s="33"/>
      <c r="R160" s="33"/>
    </row>
    <row r="161" spans="1:19" ht="17.25" thickBot="1">
      <c r="A161" s="130" t="s">
        <v>218</v>
      </c>
      <c r="B161" s="131">
        <v>168</v>
      </c>
      <c r="C161" s="79">
        <v>0</v>
      </c>
      <c r="D161" s="24">
        <v>168</v>
      </c>
      <c r="E161" s="25">
        <f t="shared" si="82"/>
        <v>0</v>
      </c>
      <c r="F161" s="104">
        <f>IF(ISNUMBER(D161), $B172 * E161, "")</f>
        <v>0</v>
      </c>
      <c r="G161" s="102">
        <v>157</v>
      </c>
      <c r="H161" s="25">
        <f t="shared" si="83"/>
        <v>-6.5476190476190479E-2</v>
      </c>
      <c r="I161" s="103">
        <f>IF(ISNUMBER(G161), $B172 * H161, "")</f>
        <v>-6547.6190476190477</v>
      </c>
      <c r="J161" s="24">
        <v>159</v>
      </c>
      <c r="K161" s="25">
        <f t="shared" si="84"/>
        <v>-5.3571428571428568E-2</v>
      </c>
      <c r="L161" s="104">
        <f>IF(ISNUMBER(J161), $B172 * K161, "")</f>
        <v>-5357.1428571428569</v>
      </c>
      <c r="M161" s="102">
        <v>145</v>
      </c>
      <c r="N161" s="25">
        <f t="shared" si="85"/>
        <v>-0.13690476190476192</v>
      </c>
      <c r="O161" s="104">
        <f>IF(ISNUMBER(M161), $B172 * N161, "")</f>
        <v>-13690.476190476193</v>
      </c>
      <c r="Q161" s="236"/>
      <c r="R161" s="237"/>
      <c r="S161" s="238"/>
    </row>
    <row r="162" spans="1:19">
      <c r="A162" s="123" t="s">
        <v>128</v>
      </c>
      <c r="B162" s="124">
        <v>176</v>
      </c>
      <c r="C162" s="76">
        <v>-5.6497175E-3</v>
      </c>
      <c r="D162" s="13">
        <v>175</v>
      </c>
      <c r="E162" s="14">
        <f>IF(ISNUMBER(D162), (D162 - $B162) / $B162, "")</f>
        <v>-5.681818181818182E-3</v>
      </c>
      <c r="F162" s="16">
        <f>IF(ISNUMBER(D162), $B172 * E162, "")</f>
        <v>-568.18181818181824</v>
      </c>
      <c r="G162" s="29">
        <v>159</v>
      </c>
      <c r="H162" s="14">
        <f>IF(ISNUMBER(G162), (G162 - $B162) / $B162, "")</f>
        <v>-9.6590909090909088E-2</v>
      </c>
      <c r="I162" s="100">
        <f>IF(ISNUMBER(G162), $B172 * H162, "")</f>
        <v>-9659.0909090909081</v>
      </c>
      <c r="J162" s="13">
        <v>162</v>
      </c>
      <c r="K162" s="14">
        <f>IF(ISNUMBER(J162), (J162 - $B162) / $B162, "")</f>
        <v>-7.9545454545454544E-2</v>
      </c>
      <c r="L162" s="16">
        <f>IF(ISNUMBER(J162), $B172 * K162, "")</f>
        <v>-7954.545454545454</v>
      </c>
      <c r="M162" s="29">
        <v>145</v>
      </c>
      <c r="N162" s="14">
        <f>IF(ISNUMBER(M162), (M162 - $B162) / $B162, "")</f>
        <v>-0.17613636363636365</v>
      </c>
      <c r="O162" s="16">
        <f>IF(ISNUMBER(M162), $B172 * N162, "")</f>
        <v>-17613.636363636364</v>
      </c>
      <c r="Q162" s="239"/>
      <c r="R162" s="240"/>
      <c r="S162" s="241"/>
    </row>
    <row r="163" spans="1:19" ht="17.25" thickBot="1">
      <c r="A163" s="125" t="s">
        <v>132</v>
      </c>
      <c r="B163" s="126">
        <v>150</v>
      </c>
      <c r="C163" s="77">
        <v>-6.6225166000000004E-3</v>
      </c>
      <c r="D163" s="15">
        <v>149</v>
      </c>
      <c r="E163" s="32">
        <f t="shared" ref="E163:E166" si="86">IF(ISNUMBER(D163), (D163 - $B163) / $B163, "")</f>
        <v>-6.6666666666666671E-3</v>
      </c>
      <c r="F163" s="18">
        <f>IF(ISNUMBER(D163), $B172 * E163, "")</f>
        <v>-666.66666666666674</v>
      </c>
      <c r="G163" s="31">
        <v>141</v>
      </c>
      <c r="H163" s="32">
        <f t="shared" ref="H163:H166" si="87">IF(ISNUMBER(G163), (G163 - $B163) / $B163, "")</f>
        <v>-0.06</v>
      </c>
      <c r="I163" s="101">
        <f>IF(ISNUMBER(G163), $B172 * H163, "")</f>
        <v>-6000</v>
      </c>
      <c r="J163" s="15">
        <v>139</v>
      </c>
      <c r="K163" s="32">
        <f t="shared" ref="K163:K166" si="88">IF(ISNUMBER(J163), (J163 - $B163) / $B163, "")</f>
        <v>-7.3333333333333334E-2</v>
      </c>
      <c r="L163" s="18">
        <f>IF(ISNUMBER(J163), $B172 * K163, "")</f>
        <v>-7333.333333333333</v>
      </c>
      <c r="M163" s="31">
        <v>126</v>
      </c>
      <c r="N163" s="32">
        <f t="shared" ref="N163:N166" si="89">IF(ISNUMBER(M163), (M163 - $B163) / $B163, "")</f>
        <v>-0.16</v>
      </c>
      <c r="O163" s="18">
        <f>IF(ISNUMBER(M163), $B172 * N163, "")</f>
        <v>-16000</v>
      </c>
      <c r="Q163" s="242"/>
      <c r="R163" s="243"/>
      <c r="S163" s="244"/>
    </row>
    <row r="164" spans="1:19" ht="17.25" thickBot="1">
      <c r="A164" s="125" t="s">
        <v>266</v>
      </c>
      <c r="B164" s="126">
        <v>356</v>
      </c>
      <c r="C164" s="77">
        <v>-8.3565459999999994E-3</v>
      </c>
      <c r="D164" s="15">
        <v>353</v>
      </c>
      <c r="E164" s="32">
        <f t="shared" si="86"/>
        <v>-8.4269662921348312E-3</v>
      </c>
      <c r="F164" s="18">
        <f>IF(ISNUMBER(D164), $B172 * E164, "")</f>
        <v>-842.69662921348311</v>
      </c>
      <c r="G164" s="31">
        <v>334</v>
      </c>
      <c r="H164" s="32">
        <f t="shared" si="87"/>
        <v>-6.1797752808988762E-2</v>
      </c>
      <c r="I164" s="101">
        <f>IF(ISNUMBER(G164), $B172 * H164, "")</f>
        <v>-6179.7752808988762</v>
      </c>
      <c r="J164" s="15">
        <v>335</v>
      </c>
      <c r="K164" s="32">
        <f t="shared" si="88"/>
        <v>-5.8988764044943819E-2</v>
      </c>
      <c r="L164" s="18">
        <f>IF(ISNUMBER(J164), $B172 * K164, "")</f>
        <v>-5898.8764044943819</v>
      </c>
      <c r="M164" s="31">
        <v>306</v>
      </c>
      <c r="N164" s="32">
        <f t="shared" si="89"/>
        <v>-0.1404494382022472</v>
      </c>
      <c r="O164" s="18">
        <f>IF(ISNUMBER(M164), $B172 * N164, "")</f>
        <v>-14044.94382022472</v>
      </c>
      <c r="Q164" s="227"/>
      <c r="R164" s="227"/>
      <c r="S164" s="227"/>
    </row>
    <row r="165" spans="1:19" ht="17.25" thickBot="1">
      <c r="A165" s="125" t="s">
        <v>234</v>
      </c>
      <c r="B165" s="126">
        <v>101</v>
      </c>
      <c r="C165" s="77">
        <v>-9.8039215999999995E-3</v>
      </c>
      <c r="D165" s="15">
        <v>107</v>
      </c>
      <c r="E165" s="32">
        <f t="shared" si="86"/>
        <v>5.9405940594059403E-2</v>
      </c>
      <c r="F165" s="18">
        <f>IF(ISNUMBER(D165), $B172 * E165, "")</f>
        <v>5940.5940594059402</v>
      </c>
      <c r="G165" s="31">
        <v>101</v>
      </c>
      <c r="H165" s="32">
        <f t="shared" si="87"/>
        <v>0</v>
      </c>
      <c r="I165" s="101">
        <f>IF(ISNUMBER(G165), $B172 * H165, "")</f>
        <v>0</v>
      </c>
      <c r="J165" s="15">
        <v>104</v>
      </c>
      <c r="K165" s="32">
        <f t="shared" si="88"/>
        <v>2.9702970297029702E-2</v>
      </c>
      <c r="L165" s="18">
        <f>IF(ISNUMBER(J165), $B172 * K165, "")</f>
        <v>2970.2970297029701</v>
      </c>
      <c r="M165" s="31">
        <v>94.2</v>
      </c>
      <c r="N165" s="32">
        <f t="shared" si="89"/>
        <v>-6.7326732673267303E-2</v>
      </c>
      <c r="O165" s="18">
        <f>IF(ISNUMBER(M165), $B172 * N165, "")</f>
        <v>-6732.6732673267306</v>
      </c>
      <c r="Q165" s="222"/>
      <c r="R165" s="222"/>
      <c r="S165" s="222"/>
    </row>
    <row r="166" spans="1:19" ht="17.25" thickBot="1">
      <c r="A166" s="127" t="s">
        <v>110</v>
      </c>
      <c r="B166" s="128">
        <v>226</v>
      </c>
      <c r="C166" s="78">
        <v>-1.3100436700000001E-2</v>
      </c>
      <c r="D166" s="20">
        <v>230</v>
      </c>
      <c r="E166" s="21">
        <f t="shared" si="86"/>
        <v>1.7699115044247787E-2</v>
      </c>
      <c r="F166" s="22">
        <f>IF(ISNUMBER(D166), $B172 * E166, "")</f>
        <v>1769.9115044247787</v>
      </c>
      <c r="G166" s="30">
        <v>213</v>
      </c>
      <c r="H166" s="21">
        <f t="shared" si="87"/>
        <v>-5.7522123893805309E-2</v>
      </c>
      <c r="I166" s="105">
        <f>IF(ISNUMBER(G166), $B172 * H166, "")</f>
        <v>-5752.212389380531</v>
      </c>
      <c r="J166" s="20">
        <v>216</v>
      </c>
      <c r="K166" s="21">
        <f t="shared" si="88"/>
        <v>-4.4247787610619468E-2</v>
      </c>
      <c r="L166" s="22">
        <f>IF(ISNUMBER(J166), $B172 * K166, "")</f>
        <v>-4424.7787610619471</v>
      </c>
      <c r="M166" s="30">
        <v>201</v>
      </c>
      <c r="N166" s="21">
        <f t="shared" si="89"/>
        <v>-0.11061946902654868</v>
      </c>
      <c r="O166" s="22">
        <f>IF(ISNUMBER(M166), $B172 * N166, "")</f>
        <v>-11061.946902654869</v>
      </c>
      <c r="Q166" s="222"/>
      <c r="R166" s="222"/>
      <c r="S166" s="222"/>
    </row>
    <row r="167" spans="1:19" ht="17.25" thickBot="1">
      <c r="A167" s="125" t="s">
        <v>202</v>
      </c>
      <c r="B167" s="129">
        <v>107</v>
      </c>
      <c r="C167" s="80">
        <v>-1.83486239E-2</v>
      </c>
      <c r="D167" s="106">
        <v>109</v>
      </c>
      <c r="E167" s="107">
        <f>IF(ISNUMBER(D167), (D167 - $B167) / $B167, "")</f>
        <v>1.8691588785046728E-2</v>
      </c>
      <c r="F167" s="108">
        <f>IF(ISNUMBER(D167), $B172 * E167, "")</f>
        <v>1869.1588785046727</v>
      </c>
      <c r="G167" s="109">
        <v>102</v>
      </c>
      <c r="H167" s="107">
        <f>IF(ISNUMBER(G167), (G167 - $B167) / $B167, "")</f>
        <v>-4.6728971962616821E-2</v>
      </c>
      <c r="I167" s="110">
        <f>IF(ISNUMBER(G167), $B172 * H167, "")</f>
        <v>-4672.8971962616824</v>
      </c>
      <c r="J167" s="106">
        <v>104</v>
      </c>
      <c r="K167" s="107">
        <f>IF(ISNUMBER(J167), (J167 - $B167) / $B167, "")</f>
        <v>-2.8037383177570093E-2</v>
      </c>
      <c r="L167" s="108">
        <f>IF(ISNUMBER(J167), $B172 * K167, "")</f>
        <v>-2803.7383177570091</v>
      </c>
      <c r="M167" s="109">
        <v>93.2</v>
      </c>
      <c r="N167" s="107">
        <f>IF(ISNUMBER(M167), (M167 - $B167) / $B167, "")</f>
        <v>-0.12897196261682239</v>
      </c>
      <c r="O167" s="108">
        <f>IF(ISNUMBER(M167), $B172 * N167, "")</f>
        <v>-12897.19626168224</v>
      </c>
      <c r="Q167" s="227"/>
      <c r="R167" s="227"/>
      <c r="S167" s="227"/>
    </row>
    <row r="168" spans="1:19" ht="17.25" thickBot="1">
      <c r="A168" s="125" t="s">
        <v>230</v>
      </c>
      <c r="B168" s="126">
        <v>407</v>
      </c>
      <c r="C168" s="77">
        <v>-1.92771084E-2</v>
      </c>
      <c r="D168" s="15">
        <v>408</v>
      </c>
      <c r="E168" s="32">
        <f t="shared" ref="E168:E171" si="90">IF(ISNUMBER(D168), (D168 - $B168) / $B168, "")</f>
        <v>2.4570024570024569E-3</v>
      </c>
      <c r="F168" s="18">
        <f>IF(ISNUMBER(D168), $B172 * E168, "")</f>
        <v>245.70024570024569</v>
      </c>
      <c r="G168" s="31">
        <v>392</v>
      </c>
      <c r="H168" s="32">
        <f t="shared" ref="H168:H171" si="91">IF(ISNUMBER(G168), (G168 - $B168) / $B168, "")</f>
        <v>-3.6855036855036855E-2</v>
      </c>
      <c r="I168" s="101">
        <f>IF(ISNUMBER(G168), $B172 * H168, "")</f>
        <v>-3685.5036855036856</v>
      </c>
      <c r="J168" s="15">
        <v>387</v>
      </c>
      <c r="K168" s="32">
        <f t="shared" ref="K168:K171" si="92">IF(ISNUMBER(J168), (J168 - $B168) / $B168, "")</f>
        <v>-4.9140049140049137E-2</v>
      </c>
      <c r="L168" s="18">
        <f>IF(ISNUMBER(J168), $B172 * K168, "")</f>
        <v>-4914.0049140049141</v>
      </c>
      <c r="M168" s="31">
        <v>339</v>
      </c>
      <c r="N168" s="32">
        <f t="shared" ref="N168:N171" si="93">IF(ISNUMBER(M168), (M168 - $B168) / $B168, "")</f>
        <v>-0.16707616707616707</v>
      </c>
      <c r="O168" s="18">
        <f>IF(ISNUMBER(M168), $B172 * N168, "")</f>
        <v>-16707.616707616708</v>
      </c>
      <c r="Q168" s="227"/>
      <c r="R168" s="227"/>
      <c r="S168" s="227"/>
    </row>
    <row r="169" spans="1:19" ht="17.25" thickBot="1">
      <c r="A169" s="125" t="s">
        <v>57</v>
      </c>
      <c r="B169" s="126">
        <v>272</v>
      </c>
      <c r="C169" s="77">
        <v>-2.50896057E-2</v>
      </c>
      <c r="D169" s="15">
        <v>269</v>
      </c>
      <c r="E169" s="32">
        <f t="shared" si="90"/>
        <v>-1.1029411764705883E-2</v>
      </c>
      <c r="F169" s="18">
        <f>IF(ISNUMBER(D169), $B172 * E169, "")</f>
        <v>-1102.9411764705883</v>
      </c>
      <c r="G169" s="31">
        <v>253</v>
      </c>
      <c r="H169" s="32">
        <f t="shared" si="91"/>
        <v>-6.985294117647059E-2</v>
      </c>
      <c r="I169" s="101">
        <f>IF(ISNUMBER(G169), $B172 * H169, "")</f>
        <v>-6985.2941176470586</v>
      </c>
      <c r="J169" s="15">
        <v>254</v>
      </c>
      <c r="K169" s="32">
        <f t="shared" si="92"/>
        <v>-6.6176470588235295E-2</v>
      </c>
      <c r="L169" s="18">
        <f>IF(ISNUMBER(J169), $B172 * K169, "")</f>
        <v>-6617.6470588235297</v>
      </c>
      <c r="M169" s="31">
        <v>229</v>
      </c>
      <c r="N169" s="32">
        <f t="shared" si="93"/>
        <v>-0.15808823529411764</v>
      </c>
      <c r="O169" s="18">
        <f>IF(ISNUMBER(M169), $B172 * N169, "")</f>
        <v>-15808.823529411764</v>
      </c>
      <c r="Q169" s="227"/>
      <c r="R169" s="227"/>
      <c r="S169" s="227"/>
    </row>
    <row r="170" spans="1:19">
      <c r="A170" s="125" t="s">
        <v>192</v>
      </c>
      <c r="B170" s="126">
        <v>380</v>
      </c>
      <c r="C170" s="77">
        <v>-2.5641025599999999E-2</v>
      </c>
      <c r="D170" s="15">
        <v>417</v>
      </c>
      <c r="E170" s="32">
        <f t="shared" si="90"/>
        <v>9.7368421052631576E-2</v>
      </c>
      <c r="F170" s="18">
        <f>IF(ISNUMBER(D170), $B172 * E170, "")</f>
        <v>9736.8421052631584</v>
      </c>
      <c r="G170" s="31">
        <v>397</v>
      </c>
      <c r="H170" s="32">
        <f t="shared" si="91"/>
        <v>4.4736842105263158E-2</v>
      </c>
      <c r="I170" s="101">
        <f>IF(ISNUMBER(G170), $B172 * H170, "")</f>
        <v>4473.6842105263158</v>
      </c>
      <c r="J170" s="15">
        <v>406</v>
      </c>
      <c r="K170" s="32">
        <f t="shared" si="92"/>
        <v>6.8421052631578952E-2</v>
      </c>
      <c r="L170" s="18">
        <f>IF(ISNUMBER(J170), $B172 * K170, "")</f>
        <v>6842.105263157895</v>
      </c>
      <c r="M170" s="31">
        <v>364</v>
      </c>
      <c r="N170" s="32">
        <f t="shared" si="93"/>
        <v>-4.2105263157894736E-2</v>
      </c>
      <c r="O170" s="18">
        <f>IF(ISNUMBER(M170), $B172 * N170, "")</f>
        <v>-4210.5263157894733</v>
      </c>
      <c r="Q170" s="249"/>
      <c r="R170" s="250"/>
      <c r="S170" s="251"/>
    </row>
    <row r="171" spans="1:19" ht="17.25" thickBot="1">
      <c r="A171" s="130" t="s">
        <v>162</v>
      </c>
      <c r="B171" s="131">
        <v>136</v>
      </c>
      <c r="C171" s="79">
        <v>-2.85714286E-2</v>
      </c>
      <c r="D171" s="24">
        <v>135</v>
      </c>
      <c r="E171" s="25">
        <f t="shared" si="90"/>
        <v>-7.3529411764705881E-3</v>
      </c>
      <c r="F171" s="104">
        <f>IF(ISNUMBER(D171), $B172 * E171, "")</f>
        <v>-735.29411764705878</v>
      </c>
      <c r="G171" s="102">
        <v>127</v>
      </c>
      <c r="H171" s="25">
        <f t="shared" si="91"/>
        <v>-6.6176470588235295E-2</v>
      </c>
      <c r="I171" s="103">
        <f>IF(ISNUMBER(G171), $B172 * H171, "")</f>
        <v>-6617.6470588235297</v>
      </c>
      <c r="J171" s="24">
        <v>129</v>
      </c>
      <c r="K171" s="25">
        <f t="shared" si="92"/>
        <v>-5.1470588235294115E-2</v>
      </c>
      <c r="L171" s="104">
        <f>IF(ISNUMBER(J171), $B172 * K171, "")</f>
        <v>-5147.0588235294117</v>
      </c>
      <c r="M171" s="102">
        <v>115</v>
      </c>
      <c r="N171" s="25">
        <f t="shared" si="93"/>
        <v>-0.15441176470588236</v>
      </c>
      <c r="O171" s="104">
        <f>IF(ISNUMBER(M171), $B172 * N171, "")</f>
        <v>-15441.176470588236</v>
      </c>
      <c r="Q171" s="252"/>
      <c r="R171" s="253"/>
      <c r="S171" s="254"/>
    </row>
    <row r="172" spans="1:19" ht="17.25" thickBot="1">
      <c r="A172" s="132" t="s">
        <v>270</v>
      </c>
      <c r="B172" s="260">
        <f>$B$37</f>
        <v>100000</v>
      </c>
      <c r="C172" s="261"/>
      <c r="D172" s="26" t="s">
        <v>271</v>
      </c>
      <c r="E172" s="27">
        <f>IF(COUNT(E152:E171), SUM(E152:E171) / COUNT(E152:E171), 0)</f>
        <v>2.2307897665020983E-2</v>
      </c>
      <c r="F172" s="28">
        <f>SUM(F152:F171)</f>
        <v>44615.795330041961</v>
      </c>
      <c r="G172" s="26" t="s">
        <v>271</v>
      </c>
      <c r="H172" s="27">
        <f>IF(COUNT(H152:H171), SUM(H152:H171) / COUNT(H152:H171), 0)</f>
        <v>-4.0076841897940023E-2</v>
      </c>
      <c r="I172" s="28">
        <f>SUM(I152:I171)</f>
        <v>-80153.683795880046</v>
      </c>
      <c r="J172" s="26" t="s">
        <v>271</v>
      </c>
      <c r="K172" s="27">
        <f>IF(COUNT(K152:K171), SUM(K152:K171) / COUNT(K152:K171), 0)</f>
        <v>-3.0044036379328003E-2</v>
      </c>
      <c r="L172" s="28">
        <f>SUM(L152:L171)</f>
        <v>-60088.072758656032</v>
      </c>
      <c r="M172" s="26" t="s">
        <v>271</v>
      </c>
      <c r="N172" s="27">
        <f>IF(COUNT(N152:N171), SUM(N152:N171) / COUNT(N152:N171), 0)</f>
        <v>-0.12263556973579988</v>
      </c>
      <c r="O172" s="28">
        <f>SUM(O152:O171)</f>
        <v>-245271.13947159972</v>
      </c>
      <c r="Q172" s="255"/>
      <c r="R172" s="256"/>
      <c r="S172" s="257"/>
    </row>
    <row r="174" spans="1:19" ht="17.25" thickBot="1"/>
    <row r="175" spans="1:19" ht="17.25" thickBot="1">
      <c r="A175" s="201" t="s">
        <v>255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81" t="s">
        <v>267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55149000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2.1442459999999998E-3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2021-09-07(화) 오전 00:00</v>
      </c>
      <c r="C177" s="265"/>
      <c r="D177" s="224" t="str">
        <f>TEXT($G$1, "[$-ko-KR]yyyy-mm-dd(ddd) ") &amp; "오후 14:00"</f>
        <v>2021-09-07(화) 오후 14:00</v>
      </c>
      <c r="E177" s="225"/>
      <c r="F177" s="226"/>
      <c r="G177" s="224" t="str">
        <f>TEXT($G$1, "[$-ko-KR]yyyy-mm-dd(ddd) ") &amp; "오후 19:00"</f>
        <v>2021-09-07(화) 오후 19:00</v>
      </c>
      <c r="H177" s="225"/>
      <c r="I177" s="226"/>
      <c r="J177" s="224" t="str">
        <f>TEXT($G$1, "[$-ko-KR]yyyy-mm-dd(ddd) ") &amp; "오후 21:00"</f>
        <v>2021-09-07(화) 오후 21:00</v>
      </c>
      <c r="K177" s="225"/>
      <c r="L177" s="226"/>
      <c r="M177" s="224" t="str">
        <f>TEXT($G$1+1, "[$-ko-KR]yyyy-mm-dd(ddd) ") &amp; "오전 00:00"</f>
        <v>2021-09-08(수)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7"/>
      <c r="R178" s="227"/>
      <c r="S178" s="227"/>
    </row>
    <row r="179" spans="1:19" ht="17.25" thickBot="1">
      <c r="A179" s="123" t="s">
        <v>136</v>
      </c>
      <c r="B179" s="124">
        <v>2575</v>
      </c>
      <c r="C179" s="76">
        <v>-2.09125475E-2</v>
      </c>
      <c r="D179" s="13">
        <v>2555</v>
      </c>
      <c r="E179" s="14">
        <f>IF(ISNUMBER(D179), (D179 - $B179) / $B179, "")</f>
        <v>-7.7669902912621356E-3</v>
      </c>
      <c r="F179" s="16">
        <f>IF(ISNUMBER(D179), $B199 * E179, "")</f>
        <v>-776.69902912621353</v>
      </c>
      <c r="G179" s="29">
        <v>2465</v>
      </c>
      <c r="H179" s="14">
        <f>IF(ISNUMBER(G179), (G179 - $B179) / $B179, "")</f>
        <v>-4.2718446601941747E-2</v>
      </c>
      <c r="I179" s="100">
        <f>IF(ISNUMBER(G179), $B199 * H179, "")</f>
        <v>-4271.844660194175</v>
      </c>
      <c r="J179" s="13">
        <v>2475</v>
      </c>
      <c r="K179" s="14">
        <f>IF(ISNUMBER(J179), (J179 - $B179) / $B179, "")</f>
        <v>-3.8834951456310676E-2</v>
      </c>
      <c r="L179" s="16">
        <f>IF(ISNUMBER(J179), $B199 * K179, "")</f>
        <v>-3883.4951456310678</v>
      </c>
      <c r="M179" s="29">
        <v>2150</v>
      </c>
      <c r="N179" s="14">
        <f>IF(ISNUMBER(M179), (M179 - $B179) / $B179, "")</f>
        <v>-0.1650485436893204</v>
      </c>
      <c r="O179" s="16">
        <f>IF(ISNUMBER(M179), $B199 * N179, "")</f>
        <v>-16504.85436893204</v>
      </c>
      <c r="Q179" s="222"/>
      <c r="R179" s="222"/>
      <c r="S179" s="222"/>
    </row>
    <row r="180" spans="1:19" ht="17.25" thickBot="1">
      <c r="A180" s="125" t="s">
        <v>216</v>
      </c>
      <c r="B180" s="126">
        <v>13.6</v>
      </c>
      <c r="C180" s="77">
        <v>-2.15827338E-2</v>
      </c>
      <c r="D180" s="15">
        <v>13.6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13</v>
      </c>
      <c r="H180" s="32">
        <f t="shared" ref="H180:H183" si="95">IF(ISNUMBER(G180), (G180 - $B180) / $B180, "")</f>
        <v>-4.4117647058823505E-2</v>
      </c>
      <c r="I180" s="101">
        <f>IF(ISNUMBER(G180), $B199 * H180, "")</f>
        <v>-4411.7647058823504</v>
      </c>
      <c r="J180" s="15">
        <v>13.1</v>
      </c>
      <c r="K180" s="32">
        <f t="shared" ref="K180:K183" si="96">IF(ISNUMBER(J180), (J180 - $B180) / $B180, "")</f>
        <v>-3.6764705882352942E-2</v>
      </c>
      <c r="L180" s="18">
        <f>IF(ISNUMBER(J180), $B199 * K180, "")</f>
        <v>-3676.4705882352941</v>
      </c>
      <c r="M180" s="31">
        <v>11.6</v>
      </c>
      <c r="N180" s="32">
        <f t="shared" ref="N180:N183" si="97">IF(ISNUMBER(M180), (M180 - $B180) / $B180, "")</f>
        <v>-0.14705882352941177</v>
      </c>
      <c r="O180" s="18">
        <f>IF(ISNUMBER(M180), $B199 * N180, "")</f>
        <v>-14705.882352941177</v>
      </c>
      <c r="Q180" s="222"/>
      <c r="R180" s="222"/>
      <c r="S180" s="222"/>
    </row>
    <row r="181" spans="1:19" ht="17.25" thickBot="1">
      <c r="A181" s="125" t="s">
        <v>208</v>
      </c>
      <c r="B181" s="126">
        <v>16.399999999999999</v>
      </c>
      <c r="C181" s="77">
        <v>-2.3809523799999999E-2</v>
      </c>
      <c r="D181" s="15">
        <v>16.399999999999999</v>
      </c>
      <c r="E181" s="32">
        <f t="shared" si="94"/>
        <v>0</v>
      </c>
      <c r="F181" s="18">
        <f>IF(ISNUMBER(D181), $B199 * E181, "")</f>
        <v>0</v>
      </c>
      <c r="G181" s="31">
        <v>15.4</v>
      </c>
      <c r="H181" s="32">
        <f t="shared" si="95"/>
        <v>-6.0975609756097456E-2</v>
      </c>
      <c r="I181" s="101">
        <f>IF(ISNUMBER(G181), $B199 * H181, "")</f>
        <v>-6097.5609756097456</v>
      </c>
      <c r="J181" s="15">
        <v>15.5</v>
      </c>
      <c r="K181" s="32">
        <f t="shared" si="96"/>
        <v>-5.4878048780487722E-2</v>
      </c>
      <c r="L181" s="18">
        <f>IF(ISNUMBER(J181), $B199 * K181, "")</f>
        <v>-5487.8048780487725</v>
      </c>
      <c r="M181" s="31">
        <v>14.1</v>
      </c>
      <c r="N181" s="32">
        <f t="shared" si="97"/>
        <v>-0.14024390243902435</v>
      </c>
      <c r="O181" s="18">
        <f>IF(ISNUMBER(M181), $B199 * N181, "")</f>
        <v>-14024.390243902435</v>
      </c>
      <c r="Q181" s="227"/>
      <c r="R181" s="227"/>
      <c r="S181" s="227"/>
    </row>
    <row r="182" spans="1:19" ht="17.25" thickBot="1">
      <c r="A182" s="125" t="s">
        <v>69</v>
      </c>
      <c r="B182" s="126">
        <v>9745</v>
      </c>
      <c r="C182" s="77">
        <v>-2.4036054099999999E-2</v>
      </c>
      <c r="D182" s="15">
        <v>11100</v>
      </c>
      <c r="E182" s="32">
        <f t="shared" si="94"/>
        <v>0.13904566444330427</v>
      </c>
      <c r="F182" s="18">
        <f>IF(ISNUMBER(D182), $B199 * E182, "")</f>
        <v>13904.566444330427</v>
      </c>
      <c r="G182" s="31">
        <v>11110</v>
      </c>
      <c r="H182" s="32">
        <f t="shared" si="95"/>
        <v>0.14007183170856849</v>
      </c>
      <c r="I182" s="101">
        <f>IF(ISNUMBER(G182), $B199 * H182, "")</f>
        <v>14007.18317085685</v>
      </c>
      <c r="J182" s="15">
        <v>11240</v>
      </c>
      <c r="K182" s="32">
        <f t="shared" si="96"/>
        <v>0.15341200615700359</v>
      </c>
      <c r="L182" s="18">
        <f>IF(ISNUMBER(J182), $B199 * K182, "")</f>
        <v>15341.20061570036</v>
      </c>
      <c r="M182" s="31">
        <v>10030</v>
      </c>
      <c r="N182" s="32">
        <f t="shared" si="97"/>
        <v>2.9245767060030785E-2</v>
      </c>
      <c r="O182" s="18">
        <f>IF(ISNUMBER(M182), $B199 * N182, "")</f>
        <v>2924.5767060030785</v>
      </c>
      <c r="Q182" s="227"/>
      <c r="R182" s="227"/>
      <c r="S182" s="227"/>
    </row>
    <row r="183" spans="1:19" ht="17.25" thickBot="1">
      <c r="A183" s="127" t="s">
        <v>198</v>
      </c>
      <c r="B183" s="128">
        <v>29750</v>
      </c>
      <c r="C183" s="78">
        <v>-2.45901639E-2</v>
      </c>
      <c r="D183" s="20">
        <v>29830</v>
      </c>
      <c r="E183" s="21">
        <f t="shared" si="94"/>
        <v>2.6890756302521009E-3</v>
      </c>
      <c r="F183" s="22">
        <f>IF(ISNUMBER(D183), $B199 * E183, "")</f>
        <v>268.9075630252101</v>
      </c>
      <c r="G183" s="30">
        <v>28170</v>
      </c>
      <c r="H183" s="21">
        <f t="shared" si="95"/>
        <v>-5.3109243697478992E-2</v>
      </c>
      <c r="I183" s="105">
        <f>IF(ISNUMBER(G183), $B199 * H183, "")</f>
        <v>-5310.9243697478996</v>
      </c>
      <c r="J183" s="20">
        <v>28250</v>
      </c>
      <c r="K183" s="21">
        <f t="shared" si="96"/>
        <v>-5.0420168067226892E-2</v>
      </c>
      <c r="L183" s="22">
        <f>IF(ISNUMBER(J183), $B199 * K183, "")</f>
        <v>-5042.0168067226896</v>
      </c>
      <c r="M183" s="30">
        <v>26140</v>
      </c>
      <c r="N183" s="21">
        <f t="shared" si="97"/>
        <v>-0.12134453781512605</v>
      </c>
      <c r="O183" s="22">
        <f>IF(ISNUMBER(M183), $B199 * N183, "")</f>
        <v>-12134.453781512606</v>
      </c>
      <c r="Q183" s="227"/>
      <c r="R183" s="227"/>
      <c r="S183" s="227"/>
    </row>
    <row r="184" spans="1:19" ht="17.25" thickBot="1">
      <c r="A184" s="125" t="s">
        <v>57</v>
      </c>
      <c r="B184" s="129">
        <v>272</v>
      </c>
      <c r="C184" s="80">
        <v>-2.50896057E-2</v>
      </c>
      <c r="D184" s="106">
        <v>269</v>
      </c>
      <c r="E184" s="107">
        <f>IF(ISNUMBER(D184), (D184 - $B184) / $B184, "")</f>
        <v>-1.1029411764705883E-2</v>
      </c>
      <c r="F184" s="108">
        <f>IF(ISNUMBER(D184), $B199 * E184, "")</f>
        <v>-1102.9411764705883</v>
      </c>
      <c r="G184" s="109">
        <v>253</v>
      </c>
      <c r="H184" s="107">
        <f>IF(ISNUMBER(G184), (G184 - $B184) / $B184, "")</f>
        <v>-6.985294117647059E-2</v>
      </c>
      <c r="I184" s="110">
        <f>IF(ISNUMBER(G184), $B199 * H184, "")</f>
        <v>-6985.2941176470586</v>
      </c>
      <c r="J184" s="106">
        <v>254</v>
      </c>
      <c r="K184" s="107">
        <f>IF(ISNUMBER(J184), (J184 - $B184) / $B184, "")</f>
        <v>-6.6176470588235295E-2</v>
      </c>
      <c r="L184" s="108">
        <f>IF(ISNUMBER(J184), $B199 * K184, "")</f>
        <v>-6617.6470588235297</v>
      </c>
      <c r="M184" s="109">
        <v>229</v>
      </c>
      <c r="N184" s="107">
        <f>IF(ISNUMBER(M184), (M184 - $B184) / $B184, "")</f>
        <v>-0.15808823529411764</v>
      </c>
      <c r="O184" s="108">
        <f>IF(ISNUMBER(M184), $B199 * N184, "")</f>
        <v>-15808.823529411764</v>
      </c>
      <c r="Q184" s="227"/>
      <c r="R184" s="227"/>
      <c r="S184" s="227"/>
    </row>
    <row r="185" spans="1:19" ht="17.25" thickBot="1">
      <c r="A185" s="125" t="s">
        <v>192</v>
      </c>
      <c r="B185" s="126">
        <v>380</v>
      </c>
      <c r="C185" s="77">
        <v>-2.5641025599999999E-2</v>
      </c>
      <c r="D185" s="15">
        <v>417</v>
      </c>
      <c r="E185" s="32">
        <f t="shared" ref="E185:E188" si="98">IF(ISNUMBER(D185), (D185 - $B185) / $B185, "")</f>
        <v>9.7368421052631576E-2</v>
      </c>
      <c r="F185" s="18">
        <f>IF(ISNUMBER(D185), $B199 * E185, "")</f>
        <v>9736.8421052631584</v>
      </c>
      <c r="G185" s="31">
        <v>397</v>
      </c>
      <c r="H185" s="32">
        <f t="shared" ref="H185:H188" si="99">IF(ISNUMBER(G185), (G185 - $B185) / $B185, "")</f>
        <v>4.4736842105263158E-2</v>
      </c>
      <c r="I185" s="101">
        <f>IF(ISNUMBER(G185), $B199 * H185, "")</f>
        <v>4473.6842105263158</v>
      </c>
      <c r="J185" s="15">
        <v>406</v>
      </c>
      <c r="K185" s="32">
        <f t="shared" ref="K185:K188" si="100">IF(ISNUMBER(J185), (J185 - $B185) / $B185, "")</f>
        <v>6.8421052631578952E-2</v>
      </c>
      <c r="L185" s="18">
        <f>IF(ISNUMBER(J185), $B199 * K185, "")</f>
        <v>6842.105263157895</v>
      </c>
      <c r="M185" s="31">
        <v>364</v>
      </c>
      <c r="N185" s="32">
        <f t="shared" ref="N185:N188" si="101">IF(ISNUMBER(M185), (M185 - $B185) / $B185, "")</f>
        <v>-4.2105263157894736E-2</v>
      </c>
      <c r="O185" s="18">
        <f>IF(ISNUMBER(M185), $B199 * N185, "")</f>
        <v>-4210.5263157894733</v>
      </c>
      <c r="Q185" s="227"/>
      <c r="R185" s="227"/>
      <c r="S185" s="227"/>
    </row>
    <row r="186" spans="1:19" ht="17.25" thickBot="1">
      <c r="A186" s="125" t="s">
        <v>102</v>
      </c>
      <c r="B186" s="126">
        <v>1480</v>
      </c>
      <c r="C186" s="77">
        <v>-2.6315789499999999E-2</v>
      </c>
      <c r="D186" s="15">
        <v>1460</v>
      </c>
      <c r="E186" s="32">
        <f t="shared" si="98"/>
        <v>-1.3513513513513514E-2</v>
      </c>
      <c r="F186" s="18">
        <f>IF(ISNUMBER(D186), $B199 * E186, "")</f>
        <v>-1351.3513513513515</v>
      </c>
      <c r="G186" s="31">
        <v>1375</v>
      </c>
      <c r="H186" s="32">
        <f t="shared" si="99"/>
        <v>-7.0945945945945943E-2</v>
      </c>
      <c r="I186" s="101">
        <f>IF(ISNUMBER(G186), $B199 * H186, "")</f>
        <v>-7094.5945945945941</v>
      </c>
      <c r="J186" s="15">
        <v>1375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1230</v>
      </c>
      <c r="N186" s="32">
        <f t="shared" si="101"/>
        <v>-0.16891891891891891</v>
      </c>
      <c r="O186" s="18">
        <f>IF(ISNUMBER(M186), $B199 * N186, "")</f>
        <v>-16891.89189189189</v>
      </c>
      <c r="Q186" s="227"/>
      <c r="R186" s="227"/>
      <c r="S186" s="227"/>
    </row>
    <row r="187" spans="1:19" ht="17.25" thickBot="1">
      <c r="A187" s="125" t="s">
        <v>104</v>
      </c>
      <c r="B187" s="126">
        <v>1470</v>
      </c>
      <c r="C187" s="77">
        <v>-2.6490066199999999E-2</v>
      </c>
      <c r="D187" s="15">
        <v>1455</v>
      </c>
      <c r="E187" s="32">
        <f t="shared" si="98"/>
        <v>-1.020408163265306E-2</v>
      </c>
      <c r="F187" s="18">
        <f>IF(ISNUMBER(D187), $B199 * E187, "")</f>
        <v>-1020.408163265306</v>
      </c>
      <c r="G187" s="31">
        <v>1370</v>
      </c>
      <c r="H187" s="32">
        <f t="shared" si="99"/>
        <v>-6.8027210884353748E-2</v>
      </c>
      <c r="I187" s="101">
        <f>IF(ISNUMBER(G187), $B199 * H187, "")</f>
        <v>-6802.7210884353744</v>
      </c>
      <c r="J187" s="15">
        <v>1370</v>
      </c>
      <c r="K187" s="32">
        <f t="shared" si="100"/>
        <v>-6.8027210884353748E-2</v>
      </c>
      <c r="L187" s="18">
        <f>IF(ISNUMBER(J187), $B199 * K187, "")</f>
        <v>-6802.7210884353744</v>
      </c>
      <c r="M187" s="31">
        <v>1250</v>
      </c>
      <c r="N187" s="32">
        <f t="shared" si="101"/>
        <v>-0.14965986394557823</v>
      </c>
      <c r="O187" s="18">
        <f>IF(ISNUMBER(M187), $B199 * N187, "")</f>
        <v>-14965.986394557824</v>
      </c>
      <c r="Q187" s="33"/>
      <c r="R187" s="33"/>
    </row>
    <row r="188" spans="1:19" ht="17.25" thickBot="1">
      <c r="A188" s="130" t="s">
        <v>114</v>
      </c>
      <c r="B188" s="131">
        <v>1090</v>
      </c>
      <c r="C188" s="79">
        <v>-2.6785714299999999E-2</v>
      </c>
      <c r="D188" s="24">
        <v>1090</v>
      </c>
      <c r="E188" s="25">
        <f t="shared" si="98"/>
        <v>0</v>
      </c>
      <c r="F188" s="104">
        <f>IF(ISNUMBER(D188), $B199 * E188, "")</f>
        <v>0</v>
      </c>
      <c r="G188" s="102">
        <v>1020</v>
      </c>
      <c r="H188" s="25">
        <f t="shared" si="99"/>
        <v>-6.4220183486238536E-2</v>
      </c>
      <c r="I188" s="103">
        <f>IF(ISNUMBER(G188), $B199 * H188, "")</f>
        <v>-6422.0183486238539</v>
      </c>
      <c r="J188" s="24">
        <v>1020</v>
      </c>
      <c r="K188" s="25">
        <f t="shared" si="100"/>
        <v>-6.4220183486238536E-2</v>
      </c>
      <c r="L188" s="104">
        <f>IF(ISNUMBER(J188), $B199 * K188, "")</f>
        <v>-6422.0183486238539</v>
      </c>
      <c r="M188" s="102">
        <v>919</v>
      </c>
      <c r="N188" s="25">
        <f t="shared" si="101"/>
        <v>-0.15688073394495414</v>
      </c>
      <c r="O188" s="104">
        <f>IF(ISNUMBER(M188), $B199 * N188, "")</f>
        <v>-15688.073394495414</v>
      </c>
      <c r="Q188" s="236"/>
      <c r="R188" s="237"/>
      <c r="S188" s="238"/>
    </row>
    <row r="189" spans="1:19">
      <c r="A189" s="123" t="s">
        <v>63</v>
      </c>
      <c r="B189" s="124">
        <v>73190</v>
      </c>
      <c r="C189" s="76">
        <v>-2.7375415300000001E-2</v>
      </c>
      <c r="D189" s="13">
        <v>72930</v>
      </c>
      <c r="E189" s="14">
        <f>IF(ISNUMBER(D189), (D189 - $B189) / $B189, "")</f>
        <v>-3.552397868561279E-3</v>
      </c>
      <c r="F189" s="16">
        <f>IF(ISNUMBER(D189), $B199 * E189, "")</f>
        <v>-355.23978685612792</v>
      </c>
      <c r="G189" s="29">
        <v>68000</v>
      </c>
      <c r="H189" s="14">
        <f>IF(ISNUMBER(G189), (G189 - $B189) / $B189, "")</f>
        <v>-7.0911326683973222E-2</v>
      </c>
      <c r="I189" s="100">
        <f>IF(ISNUMBER(G189), $B199 * H189, "")</f>
        <v>-7091.132668397322</v>
      </c>
      <c r="J189" s="13">
        <v>68720</v>
      </c>
      <c r="K189" s="14">
        <f>IF(ISNUMBER(J189), (J189 - $B189) / $B189, "")</f>
        <v>-6.1073917201803524E-2</v>
      </c>
      <c r="L189" s="16">
        <f>IF(ISNUMBER(J189), $B199 * K189, "")</f>
        <v>-6107.3917201803524</v>
      </c>
      <c r="M189" s="29">
        <v>61700</v>
      </c>
      <c r="N189" s="14">
        <f>IF(ISNUMBER(M189), (M189 - $B189) / $B189, "")</f>
        <v>-0.15698865965295805</v>
      </c>
      <c r="O189" s="16">
        <f>IF(ISNUMBER(M189), $B199 * N189, "")</f>
        <v>-15698.865965295805</v>
      </c>
      <c r="Q189" s="239"/>
      <c r="R189" s="240"/>
      <c r="S189" s="241"/>
    </row>
    <row r="190" spans="1:19" ht="17.25" thickBot="1">
      <c r="A190" s="125" t="s">
        <v>162</v>
      </c>
      <c r="B190" s="126">
        <v>136</v>
      </c>
      <c r="C190" s="77">
        <v>-2.85714286E-2</v>
      </c>
      <c r="D190" s="15">
        <v>135</v>
      </c>
      <c r="E190" s="32">
        <f t="shared" ref="E190:E193" si="102">IF(ISNUMBER(D190), (D190 - $B190) / $B190, "")</f>
        <v>-7.3529411764705881E-3</v>
      </c>
      <c r="F190" s="18">
        <f>IF(ISNUMBER(D190), $B199 * E190, "")</f>
        <v>-735.29411764705878</v>
      </c>
      <c r="G190" s="31">
        <v>127</v>
      </c>
      <c r="H190" s="32">
        <f t="shared" ref="H190:H193" si="103">IF(ISNUMBER(G190), (G190 - $B190) / $B190, "")</f>
        <v>-6.6176470588235295E-2</v>
      </c>
      <c r="I190" s="101">
        <f>IF(ISNUMBER(G190), $B199 * H190, "")</f>
        <v>-6617.6470588235297</v>
      </c>
      <c r="J190" s="15">
        <v>129</v>
      </c>
      <c r="K190" s="32">
        <f t="shared" ref="K190:K193" si="104">IF(ISNUMBER(J190), (J190 - $B190) / $B190, "")</f>
        <v>-5.1470588235294115E-2</v>
      </c>
      <c r="L190" s="18">
        <f>IF(ISNUMBER(J190), $B199 * K190, "")</f>
        <v>-5147.0588235294117</v>
      </c>
      <c r="M190" s="31">
        <v>115</v>
      </c>
      <c r="N190" s="32">
        <f t="shared" ref="N190:N193" si="105">IF(ISNUMBER(M190), (M190 - $B190) / $B190, "")</f>
        <v>-0.15441176470588236</v>
      </c>
      <c r="O190" s="18">
        <f>IF(ISNUMBER(M190), $B199 * N190, "")</f>
        <v>-15441.176470588236</v>
      </c>
      <c r="Q190" s="242"/>
      <c r="R190" s="243"/>
      <c r="S190" s="244"/>
    </row>
    <row r="191" spans="1:19" ht="17.25" thickBot="1">
      <c r="A191" s="125" t="s">
        <v>184</v>
      </c>
      <c r="B191" s="126">
        <v>1520</v>
      </c>
      <c r="C191" s="77">
        <v>-2.87539936E-2</v>
      </c>
      <c r="D191" s="15">
        <v>1510</v>
      </c>
      <c r="E191" s="32">
        <f t="shared" si="102"/>
        <v>-6.5789473684210523E-3</v>
      </c>
      <c r="F191" s="18">
        <f>IF(ISNUMBER(D191), $B199 * E191, "")</f>
        <v>-657.8947368421052</v>
      </c>
      <c r="G191" s="31">
        <v>1440</v>
      </c>
      <c r="H191" s="32">
        <f t="shared" si="103"/>
        <v>-5.2631578947368418E-2</v>
      </c>
      <c r="I191" s="101">
        <f>IF(ISNUMBER(G191), $B199 * H191, "")</f>
        <v>-5263.1578947368416</v>
      </c>
      <c r="J191" s="15">
        <v>1450</v>
      </c>
      <c r="K191" s="32">
        <f t="shared" si="104"/>
        <v>-4.6052631578947366E-2</v>
      </c>
      <c r="L191" s="18">
        <f>IF(ISNUMBER(J191), $B199 * K191, "")</f>
        <v>-4605.2631578947367</v>
      </c>
      <c r="M191" s="31">
        <v>1330</v>
      </c>
      <c r="N191" s="32">
        <f t="shared" si="105"/>
        <v>-0.125</v>
      </c>
      <c r="O191" s="18">
        <f>IF(ISNUMBER(M191), $B199 * N191, "")</f>
        <v>-12500</v>
      </c>
      <c r="Q191" s="227"/>
      <c r="R191" s="227"/>
      <c r="S191" s="227"/>
    </row>
    <row r="192" spans="1:19" ht="17.25" thickBot="1">
      <c r="A192" s="125" t="s">
        <v>170</v>
      </c>
      <c r="B192" s="126">
        <v>37290</v>
      </c>
      <c r="C192" s="77">
        <v>-2.9411764699999999E-2</v>
      </c>
      <c r="D192" s="15">
        <v>36980</v>
      </c>
      <c r="E192" s="32">
        <f t="shared" si="102"/>
        <v>-8.3132207026012338E-3</v>
      </c>
      <c r="F192" s="18">
        <f>IF(ISNUMBER(D192), $B199 * E192, "")</f>
        <v>-831.32207026012338</v>
      </c>
      <c r="G192" s="31">
        <v>34960</v>
      </c>
      <c r="H192" s="32">
        <f t="shared" si="103"/>
        <v>-6.2483239474389919E-2</v>
      </c>
      <c r="I192" s="101">
        <f>IF(ISNUMBER(G192), $B199 * H192, "")</f>
        <v>-6248.323947438992</v>
      </c>
      <c r="J192" s="15">
        <v>34910</v>
      </c>
      <c r="K192" s="32">
        <f t="shared" si="104"/>
        <v>-6.3824081523196574E-2</v>
      </c>
      <c r="L192" s="18">
        <f>IF(ISNUMBER(J192), $B199 * K192, "")</f>
        <v>-6382.4081523196573</v>
      </c>
      <c r="M192" s="31">
        <v>31680</v>
      </c>
      <c r="N192" s="32">
        <f t="shared" si="105"/>
        <v>-0.15044247787610621</v>
      </c>
      <c r="O192" s="18">
        <f>IF(ISNUMBER(M192), $B199 * N192, "")</f>
        <v>-15044.24778761062</v>
      </c>
      <c r="Q192" s="222"/>
      <c r="R192" s="222"/>
      <c r="S192" s="222"/>
    </row>
    <row r="193" spans="1:19" ht="17.25" thickBot="1">
      <c r="A193" s="127" t="s">
        <v>150</v>
      </c>
      <c r="B193" s="128">
        <v>16</v>
      </c>
      <c r="C193" s="78">
        <v>-3.0303030299999999E-2</v>
      </c>
      <c r="D193" s="20">
        <v>15.9</v>
      </c>
      <c r="E193" s="21">
        <f t="shared" si="102"/>
        <v>-6.2499999999999778E-3</v>
      </c>
      <c r="F193" s="22">
        <f>IF(ISNUMBER(D193), $B199 * E193, "")</f>
        <v>-624.99999999999773</v>
      </c>
      <c r="G193" s="30">
        <v>15.2</v>
      </c>
      <c r="H193" s="21">
        <f t="shared" si="103"/>
        <v>-5.0000000000000044E-2</v>
      </c>
      <c r="I193" s="105">
        <f>IF(ISNUMBER(G193), $B199 * H193, "")</f>
        <v>-5000.0000000000045</v>
      </c>
      <c r="J193" s="20">
        <v>15.3</v>
      </c>
      <c r="K193" s="21">
        <f t="shared" si="104"/>
        <v>-4.3749999999999956E-2</v>
      </c>
      <c r="L193" s="22">
        <f>IF(ISNUMBER(J193), $B199 * K193, "")</f>
        <v>-4374.9999999999955</v>
      </c>
      <c r="M193" s="30">
        <v>13.8</v>
      </c>
      <c r="N193" s="21">
        <f t="shared" si="105"/>
        <v>-0.13749999999999996</v>
      </c>
      <c r="O193" s="22">
        <f>IF(ISNUMBER(M193), $B199 * N193, "")</f>
        <v>-13749.999999999996</v>
      </c>
      <c r="Q193" s="222"/>
      <c r="R193" s="222"/>
      <c r="S193" s="222"/>
    </row>
    <row r="194" spans="1:19" ht="17.25" thickBot="1">
      <c r="A194" s="125" t="s">
        <v>126</v>
      </c>
      <c r="B194" s="129">
        <v>257600</v>
      </c>
      <c r="C194" s="80">
        <v>-3.0850263400000001E-2</v>
      </c>
      <c r="D194" s="106">
        <v>253100</v>
      </c>
      <c r="E194" s="107">
        <f>IF(ISNUMBER(D194), (D194 - $B194) / $B194, "")</f>
        <v>-1.746894409937888E-2</v>
      </c>
      <c r="F194" s="108">
        <f>IF(ISNUMBER(D194), $B199 * E194, "")</f>
        <v>-1746.894409937888</v>
      </c>
      <c r="G194" s="109">
        <v>241000</v>
      </c>
      <c r="H194" s="107">
        <f>IF(ISNUMBER(G194), (G194 - $B194) / $B194, "")</f>
        <v>-6.4440993788819873E-2</v>
      </c>
      <c r="I194" s="110">
        <f>IF(ISNUMBER(G194), $B199 * H194, "")</f>
        <v>-6444.0993788819869</v>
      </c>
      <c r="J194" s="106">
        <v>242300</v>
      </c>
      <c r="K194" s="107">
        <f>IF(ISNUMBER(J194), (J194 - $B194) / $B194, "")</f>
        <v>-5.93944099378882E-2</v>
      </c>
      <c r="L194" s="108">
        <f>IF(ISNUMBER(J194), $B199 * K194, "")</f>
        <v>-5939.4409937888204</v>
      </c>
      <c r="M194" s="109">
        <v>222850</v>
      </c>
      <c r="N194" s="107">
        <f>IF(ISNUMBER(M194), (M194 - $B194) / $B194, "")</f>
        <v>-0.13489906832298137</v>
      </c>
      <c r="O194" s="108">
        <f>IF(ISNUMBER(M194), $B199 * N194, "")</f>
        <v>-13489.906832298137</v>
      </c>
      <c r="Q194" s="227"/>
      <c r="R194" s="227"/>
      <c r="S194" s="227"/>
    </row>
    <row r="195" spans="1:19" ht="17.25" thickBot="1">
      <c r="A195" s="125" t="s">
        <v>61</v>
      </c>
      <c r="B195" s="126">
        <v>1200</v>
      </c>
      <c r="C195" s="77">
        <v>-3.2258064500000003E-2</v>
      </c>
      <c r="D195" s="15">
        <v>1185</v>
      </c>
      <c r="E195" s="32">
        <f t="shared" ref="E195:E198" si="106">IF(ISNUMBER(D195), (D195 - $B195) / $B195, "")</f>
        <v>-1.2500000000000001E-2</v>
      </c>
      <c r="F195" s="18">
        <f>IF(ISNUMBER(D195), $B199 * E195, "")</f>
        <v>-1250</v>
      </c>
      <c r="G195" s="31">
        <v>1115</v>
      </c>
      <c r="H195" s="32">
        <f t="shared" ref="H195:H198" si="107">IF(ISNUMBER(G195), (G195 - $B195) / $B195, "")</f>
        <v>-7.0833333333333331E-2</v>
      </c>
      <c r="I195" s="101">
        <f>IF(ISNUMBER(G195), $B199 * H195, "")</f>
        <v>-7083.333333333333</v>
      </c>
      <c r="J195" s="15">
        <v>1125</v>
      </c>
      <c r="K195" s="32">
        <f t="shared" ref="K195:K198" si="108">IF(ISNUMBER(J195), (J195 - $B195) / $B195, "")</f>
        <v>-6.25E-2</v>
      </c>
      <c r="L195" s="18">
        <f>IF(ISNUMBER(J195), $B199 * K195, "")</f>
        <v>-6250</v>
      </c>
      <c r="M195" s="31">
        <v>1030</v>
      </c>
      <c r="N195" s="32">
        <f t="shared" ref="N195:N198" si="109">IF(ISNUMBER(M195), (M195 - $B195) / $B195, "")</f>
        <v>-0.14166666666666666</v>
      </c>
      <c r="O195" s="18">
        <f>IF(ISNUMBER(M195), $B199 * N195, "")</f>
        <v>-14166.666666666666</v>
      </c>
      <c r="Q195" s="227"/>
      <c r="R195" s="227"/>
      <c r="S195" s="227"/>
    </row>
    <row r="196" spans="1:19" ht="17.25" thickBot="1">
      <c r="A196" s="125" t="s">
        <v>142</v>
      </c>
      <c r="B196" s="126">
        <v>13750</v>
      </c>
      <c r="C196" s="77">
        <v>-4.1143654100000003E-2</v>
      </c>
      <c r="D196" s="15">
        <v>13640</v>
      </c>
      <c r="E196" s="32">
        <f t="shared" si="106"/>
        <v>-8.0000000000000002E-3</v>
      </c>
      <c r="F196" s="18">
        <f>IF(ISNUMBER(D196), $B199 * E196, "")</f>
        <v>-800</v>
      </c>
      <c r="G196" s="31">
        <v>13030</v>
      </c>
      <c r="H196" s="32">
        <f t="shared" si="107"/>
        <v>-5.2363636363636362E-2</v>
      </c>
      <c r="I196" s="101">
        <f>IF(ISNUMBER(G196), $B199 * H196, "")</f>
        <v>-5236.363636363636</v>
      </c>
      <c r="J196" s="15">
        <v>13070</v>
      </c>
      <c r="K196" s="32">
        <f t="shared" si="108"/>
        <v>-4.9454545454545452E-2</v>
      </c>
      <c r="L196" s="18">
        <f>IF(ISNUMBER(J196), $B199 * K196, "")</f>
        <v>-4945.454545454545</v>
      </c>
      <c r="M196" s="31">
        <v>11880</v>
      </c>
      <c r="N196" s="32">
        <f t="shared" si="109"/>
        <v>-0.13600000000000001</v>
      </c>
      <c r="O196" s="18">
        <f>IF(ISNUMBER(M196), $B199 * N196, "")</f>
        <v>-13600.000000000002</v>
      </c>
      <c r="Q196" s="227"/>
      <c r="R196" s="227"/>
      <c r="S196" s="227"/>
    </row>
    <row r="197" spans="1:19">
      <c r="A197" s="125" t="s">
        <v>188</v>
      </c>
      <c r="B197" s="126">
        <v>17.399999999999999</v>
      </c>
      <c r="C197" s="77">
        <v>-5.9459459499999999E-2</v>
      </c>
      <c r="D197" s="15">
        <v>17.5</v>
      </c>
      <c r="E197" s="32">
        <f t="shared" si="106"/>
        <v>5.7471264367816915E-3</v>
      </c>
      <c r="F197" s="18">
        <f>IF(ISNUMBER(D197), $B199 * E197, "")</f>
        <v>574.71264367816912</v>
      </c>
      <c r="G197" s="31">
        <v>16.899999999999999</v>
      </c>
      <c r="H197" s="32">
        <f t="shared" si="107"/>
        <v>-2.8735632183908049E-2</v>
      </c>
      <c r="I197" s="101">
        <f>IF(ISNUMBER(G197), $B199 * H197, "")</f>
        <v>-2873.5632183908051</v>
      </c>
      <c r="J197" s="15">
        <v>17</v>
      </c>
      <c r="K197" s="32">
        <f t="shared" si="108"/>
        <v>-2.2988505747126357E-2</v>
      </c>
      <c r="L197" s="18">
        <f>IF(ISNUMBER(J197), $B199 * K197, "")</f>
        <v>-2298.8505747126355</v>
      </c>
      <c r="M197" s="31">
        <v>15</v>
      </c>
      <c r="N197" s="32">
        <f t="shared" si="109"/>
        <v>-0.13793103448275856</v>
      </c>
      <c r="O197" s="18">
        <f>IF(ISNUMBER(M197), $B199 * N197, "")</f>
        <v>-13793.103448275857</v>
      </c>
      <c r="Q197" s="249"/>
      <c r="R197" s="250"/>
      <c r="S197" s="251"/>
    </row>
    <row r="198" spans="1:19" ht="17.25" thickBot="1">
      <c r="A198" s="130" t="s">
        <v>106</v>
      </c>
      <c r="B198" s="131">
        <v>338600</v>
      </c>
      <c r="C198" s="79">
        <v>-6.0097154799999997E-2</v>
      </c>
      <c r="D198" s="24">
        <v>319300</v>
      </c>
      <c r="E198" s="25">
        <f t="shared" si="106"/>
        <v>-5.6999409332545777E-2</v>
      </c>
      <c r="F198" s="104">
        <f>IF(ISNUMBER(D198), $B199 * E198, "")</f>
        <v>-5699.9409332545774</v>
      </c>
      <c r="G198" s="102">
        <v>303000</v>
      </c>
      <c r="H198" s="25">
        <f t="shared" si="107"/>
        <v>-0.10513880685174247</v>
      </c>
      <c r="I198" s="103">
        <f>IF(ISNUMBER(G198), $B199 * H198, "")</f>
        <v>-10513.880685174247</v>
      </c>
      <c r="J198" s="24">
        <v>303350</v>
      </c>
      <c r="K198" s="25">
        <f t="shared" si="108"/>
        <v>-0.10410513880685174</v>
      </c>
      <c r="L198" s="104">
        <f>IF(ISNUMBER(J198), $B199 * K198, "")</f>
        <v>-10410.513880685174</v>
      </c>
      <c r="M198" s="102">
        <v>303600</v>
      </c>
      <c r="N198" s="25">
        <f t="shared" si="109"/>
        <v>-0.10336680448907265</v>
      </c>
      <c r="O198" s="104">
        <f>IF(ISNUMBER(M198), $B199 * N198, "")</f>
        <v>-10336.680448907266</v>
      </c>
      <c r="Q198" s="252"/>
      <c r="R198" s="253"/>
      <c r="S198" s="254"/>
    </row>
    <row r="199" spans="1:19" ht="17.25" thickBot="1">
      <c r="A199" s="132" t="s">
        <v>270</v>
      </c>
      <c r="B199" s="260">
        <f>$B$37</f>
        <v>100000</v>
      </c>
      <c r="C199" s="261"/>
      <c r="D199" s="26" t="s">
        <v>271</v>
      </c>
      <c r="E199" s="27">
        <f>IF(COUNT(E179:E198), SUM(E179:E198) / COUNT(E179:E198), 0)</f>
        <v>3.7660214906428124E-3</v>
      </c>
      <c r="F199" s="28">
        <f>SUM(F179:F198)</f>
        <v>7532.0429812856246</v>
      </c>
      <c r="G199" s="26" t="s">
        <v>271</v>
      </c>
      <c r="H199" s="27">
        <f>IF(COUNT(H179:H198), SUM(H179:H198) / COUNT(H179:H198), 0)</f>
        <v>-4.5643678650446287E-2</v>
      </c>
      <c r="I199" s="28">
        <f>SUM(I179:I198)</f>
        <v>-91287.35730089256</v>
      </c>
      <c r="J199" s="26" t="s">
        <v>271</v>
      </c>
      <c r="K199" s="27">
        <f>IF(COUNT(K179:K198), SUM(K179:K198) / COUNT(K179:K198), 0)</f>
        <v>-3.9652422239411123E-2</v>
      </c>
      <c r="L199" s="28">
        <f>SUM(L179:L198)</f>
        <v>-79304.844478822255</v>
      </c>
      <c r="M199" s="26" t="s">
        <v>271</v>
      </c>
      <c r="N199" s="27">
        <f>IF(COUNT(N179:N198), SUM(N179:N198) / COUNT(N179:N198), 0)</f>
        <v>-0.12991547659353703</v>
      </c>
      <c r="O199" s="28">
        <f>SUM(O179:O198)</f>
        <v>-259830.9531870741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811B9-C415-4C68-A2C9-1AC3B364E827}">
  <sheetPr codeName="Sheet14"/>
  <dimension ref="A1:S199"/>
  <sheetViews>
    <sheetView topLeftCell="A18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44447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320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328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-53,505 KRW (-2.68%)</v>
      </c>
      <c r="H3" s="217"/>
      <c r="I3" s="218"/>
      <c r="J3" s="4" t="s">
        <v>7</v>
      </c>
      <c r="K3" s="213" t="s">
        <v>321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322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319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-84,132 KRW (-4.95%)</v>
      </c>
      <c r="H5" s="217"/>
      <c r="I5" s="218"/>
      <c r="J5" s="4" t="s">
        <v>15</v>
      </c>
      <c r="K5" s="213" t="s">
        <v>323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324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-70,149 KRW (-3.51%)</v>
      </c>
      <c r="H7" s="217"/>
      <c r="I7" s="218"/>
      <c r="J7" s="4" t="s">
        <v>21</v>
      </c>
      <c r="K7" s="213" t="s">
        <v>325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255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-113,294 KRW (-5.66%)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326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327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318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85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55149000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2.1442459999999998E-3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2021-09-08(수) 오전 00:00</v>
      </c>
      <c r="C15" s="268"/>
      <c r="D15" s="224" t="str">
        <f>TEXT($G$1, "[$-ko-KR]yyyy-mm-dd(ddd) ") &amp; "오후 14:00"</f>
        <v>2021-09-08(수) 오후 14:00</v>
      </c>
      <c r="E15" s="225"/>
      <c r="F15" s="226"/>
      <c r="G15" s="224" t="str">
        <f>TEXT($G$1, "[$-ko-KR]yyyy-mm-dd(ddd) ") &amp; "오후 19:00"</f>
        <v>2021-09-08(수) 오후 19:00</v>
      </c>
      <c r="H15" s="225"/>
      <c r="I15" s="226"/>
      <c r="J15" s="224" t="str">
        <f>TEXT($G$1, "[$-ko-KR]yyyy-mm-dd(ddd) ") &amp; "오후 21:00"</f>
        <v>2021-09-08(수) 오후 21:00</v>
      </c>
      <c r="K15" s="225"/>
      <c r="L15" s="226"/>
      <c r="M15" s="224" t="str">
        <f>TEXT($G$1+1, "[$-ko-KR]yyyy-mm-dd(ddd) ") &amp; "오전 00:00"</f>
        <v>2021-09-09(목)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85" t="s">
        <v>267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55149000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2.1442459999999998E-3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2021-09-08(수) 오전 00:00</v>
      </c>
      <c r="C42" s="265"/>
      <c r="D42" s="224" t="str">
        <f>TEXT($G$1, "[$-ko-KR]yyyy-mm-dd(ddd) ") &amp; "오후 14:00"</f>
        <v>2021-09-08(수) 오후 14:00</v>
      </c>
      <c r="E42" s="225"/>
      <c r="F42" s="226"/>
      <c r="G42" s="224" t="str">
        <f>TEXT($G$1, "[$-ko-KR]yyyy-mm-dd(ddd) ") &amp; "오후 19:00"</f>
        <v>2021-09-08(수) 오후 19:00</v>
      </c>
      <c r="H42" s="225"/>
      <c r="I42" s="226"/>
      <c r="J42" s="224" t="str">
        <f>TEXT($G$1, "[$-ko-KR]yyyy-mm-dd(ddd) ") &amp; "오후 21:00"</f>
        <v>2021-09-08(수) 오후 21:00</v>
      </c>
      <c r="K42" s="225"/>
      <c r="L42" s="226"/>
      <c r="M42" s="224" t="str">
        <f>TEXT($G$1+1, "[$-ko-KR]yyyy-mm-dd(ddd) ") &amp; "오전 00:00"</f>
        <v>2021-09-09(목)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7"/>
      <c r="R43" s="227"/>
      <c r="S43" s="227"/>
    </row>
    <row r="44" spans="1:19" ht="17.25" customHeight="1" thickBot="1">
      <c r="A44" s="123" t="s">
        <v>234</v>
      </c>
      <c r="B44" s="124">
        <v>94.2</v>
      </c>
      <c r="C44" s="76">
        <v>-7.6470588199999995E-2</v>
      </c>
      <c r="D44" s="13">
        <v>88.3</v>
      </c>
      <c r="E44" s="14">
        <f>IF(ISNUMBER(D44), (D44 - $B44) / $B44, "")</f>
        <v>-6.263269639065823E-2</v>
      </c>
      <c r="F44" s="16">
        <f>IF(ISNUMBER(D44), $B64 * E44, "")</f>
        <v>-6263.269639065823</v>
      </c>
      <c r="G44" s="29">
        <v>84</v>
      </c>
      <c r="H44" s="14">
        <f>IF(ISNUMBER(G44), (G44 - $B44) / $B44, "")</f>
        <v>-0.1082802547770701</v>
      </c>
      <c r="I44" s="100">
        <f>IF(ISNUMBER(G44), $B64 * H44, "")</f>
        <v>-10828.025477707009</v>
      </c>
      <c r="J44" s="13">
        <v>85.6</v>
      </c>
      <c r="K44" s="14">
        <f>IF(ISNUMBER(J44), (J44 - $B44) / $B44, "")</f>
        <v>-9.129511677282387E-2</v>
      </c>
      <c r="L44" s="16">
        <f>IF(ISNUMBER(J44), $B64 * K44, "")</f>
        <v>-9129.5116772823876</v>
      </c>
      <c r="M44" s="29">
        <v>84.6</v>
      </c>
      <c r="N44" s="14">
        <f>IF(ISNUMBER(M44), (M44 - $B44) / $B44, "")</f>
        <v>-0.1019108280254778</v>
      </c>
      <c r="O44" s="16">
        <f>IF(ISNUMBER(M44), $B64 * N44, "")</f>
        <v>-10191.08280254778</v>
      </c>
      <c r="Q44" s="222"/>
      <c r="R44" s="222"/>
      <c r="S44" s="222"/>
    </row>
    <row r="45" spans="1:19" ht="17.25" customHeight="1" thickBot="1">
      <c r="A45" s="125" t="s">
        <v>65</v>
      </c>
      <c r="B45" s="126">
        <v>66.8</v>
      </c>
      <c r="C45" s="77">
        <v>-0.10215053759999999</v>
      </c>
      <c r="D45" s="15">
        <v>70.7</v>
      </c>
      <c r="E45" s="32">
        <f t="shared" ref="E45:E48" si="14">IF(ISNUMBER(D45), (D45 - $B45) / $B45, "")</f>
        <v>5.8383233532934217E-2</v>
      </c>
      <c r="F45" s="18">
        <f>IF(ISNUMBER(D45), $B64 * E45, "")</f>
        <v>5838.3233532934219</v>
      </c>
      <c r="G45" s="31">
        <v>70.2</v>
      </c>
      <c r="H45" s="32">
        <f t="shared" ref="H45:H48" si="15">IF(ISNUMBER(G45), (G45 - $B45) / $B45, "")</f>
        <v>5.089820359281446E-2</v>
      </c>
      <c r="I45" s="101">
        <f>IF(ISNUMBER(G45), $B64 * H45, "")</f>
        <v>5089.8203592814461</v>
      </c>
      <c r="J45" s="15">
        <v>80.3</v>
      </c>
      <c r="K45" s="32">
        <f t="shared" ref="K45:K48" si="16">IF(ISNUMBER(J45), (J45 - $B45) / $B45, "")</f>
        <v>0.20209580838323354</v>
      </c>
      <c r="L45" s="18">
        <f>IF(ISNUMBER(J45), $B64 * K45, "")</f>
        <v>20209.580838323356</v>
      </c>
      <c r="M45" s="31">
        <v>76.900000000000006</v>
      </c>
      <c r="N45" s="32">
        <f t="shared" ref="N45:N48" si="17">IF(ISNUMBER(M45), (M45 - $B45) / $B45, "")</f>
        <v>0.1511976047904193</v>
      </c>
      <c r="O45" s="18">
        <f>IF(ISNUMBER(M45), $B64 * N45, "")</f>
        <v>15119.76047904193</v>
      </c>
      <c r="Q45" s="222"/>
      <c r="R45" s="222"/>
      <c r="S45" s="222"/>
    </row>
    <row r="46" spans="1:19" ht="17.25" customHeight="1" thickBot="1">
      <c r="A46" s="125" t="s">
        <v>240</v>
      </c>
      <c r="B46" s="126">
        <v>72.7</v>
      </c>
      <c r="C46" s="77">
        <v>-0.1209189843</v>
      </c>
      <c r="D46" s="15">
        <v>69.599999999999994</v>
      </c>
      <c r="E46" s="32">
        <f t="shared" si="14"/>
        <v>-4.2640990371389388E-2</v>
      </c>
      <c r="F46" s="18">
        <f>IF(ISNUMBER(D46), $B64 * E46, "")</f>
        <v>-4264.0990371389389</v>
      </c>
      <c r="G46" s="31">
        <v>66</v>
      </c>
      <c r="H46" s="32">
        <f t="shared" si="15"/>
        <v>-9.2159559834938135E-2</v>
      </c>
      <c r="I46" s="101">
        <f>IF(ISNUMBER(G46), $B64 * H46, "")</f>
        <v>-9215.9559834938136</v>
      </c>
      <c r="J46" s="15">
        <v>68.599999999999994</v>
      </c>
      <c r="K46" s="32">
        <f t="shared" si="16"/>
        <v>-5.6396148555708507E-2</v>
      </c>
      <c r="L46" s="18">
        <f>IF(ISNUMBER(J46), $B64 * K46, "")</f>
        <v>-5639.6148555708505</v>
      </c>
      <c r="M46" s="31">
        <v>66.5</v>
      </c>
      <c r="N46" s="32">
        <f t="shared" si="17"/>
        <v>-8.5281980742778582E-2</v>
      </c>
      <c r="O46" s="18">
        <f>IF(ISNUMBER(M46), $B64 * N46, "")</f>
        <v>-8528.1980742778578</v>
      </c>
      <c r="Q46" s="227"/>
      <c r="R46" s="227"/>
      <c r="S46" s="227"/>
    </row>
    <row r="47" spans="1:19" ht="17.25" customHeight="1" thickBot="1">
      <c r="A47" s="125" t="s">
        <v>98</v>
      </c>
      <c r="B47" s="126">
        <v>4.8099999999999996</v>
      </c>
      <c r="C47" s="77">
        <v>-0.14260249550000001</v>
      </c>
      <c r="D47" s="15">
        <v>4.83</v>
      </c>
      <c r="E47" s="32">
        <f t="shared" si="14"/>
        <v>4.1580041580042545E-3</v>
      </c>
      <c r="F47" s="18">
        <f>IF(ISNUMBER(D47), $B64 * E47, "")</f>
        <v>415.80041580042547</v>
      </c>
      <c r="G47" s="31">
        <v>4.75</v>
      </c>
      <c r="H47" s="32">
        <f t="shared" si="15"/>
        <v>-1.2474012474012393E-2</v>
      </c>
      <c r="I47" s="101">
        <f>IF(ISNUMBER(G47), $B64 * H47, "")</f>
        <v>-1247.4012474012393</v>
      </c>
      <c r="J47" s="15">
        <v>4.95</v>
      </c>
      <c r="K47" s="32">
        <f t="shared" si="16"/>
        <v>2.9106029106029226E-2</v>
      </c>
      <c r="L47" s="18">
        <f>IF(ISNUMBER(J47), $B64 * K47, "")</f>
        <v>2910.6029106029227</v>
      </c>
      <c r="M47" s="31">
        <v>4.83</v>
      </c>
      <c r="N47" s="32">
        <f t="shared" si="17"/>
        <v>4.1580041580042545E-3</v>
      </c>
      <c r="O47" s="18">
        <f>IF(ISNUMBER(M47), $B64 * N47, "")</f>
        <v>415.80041580042547</v>
      </c>
      <c r="Q47" s="227"/>
      <c r="R47" s="227"/>
      <c r="S47" s="227"/>
    </row>
    <row r="48" spans="1:19" ht="17.25" customHeight="1" thickBot="1">
      <c r="A48" s="127" t="s">
        <v>250</v>
      </c>
      <c r="B48" s="128">
        <v>91.4</v>
      </c>
      <c r="C48" s="78">
        <v>-0.14579439250000001</v>
      </c>
      <c r="D48" s="20">
        <v>91.4</v>
      </c>
      <c r="E48" s="21">
        <f t="shared" si="14"/>
        <v>0</v>
      </c>
      <c r="F48" s="22">
        <f>IF(ISNUMBER(D48), $B64 * E48, "")</f>
        <v>0</v>
      </c>
      <c r="G48" s="30">
        <v>91.8</v>
      </c>
      <c r="H48" s="21">
        <f t="shared" si="15"/>
        <v>4.3763676148795561E-3</v>
      </c>
      <c r="I48" s="105">
        <f>IF(ISNUMBER(G48), $B64 * H48, "")</f>
        <v>437.6367614879556</v>
      </c>
      <c r="J48" s="20">
        <v>98.1</v>
      </c>
      <c r="K48" s="21">
        <f t="shared" si="16"/>
        <v>7.3304157549234E-2</v>
      </c>
      <c r="L48" s="22">
        <f>IF(ISNUMBER(J48), $B64 * K48, "")</f>
        <v>7330.4157549233996</v>
      </c>
      <c r="M48" s="30">
        <v>93.6</v>
      </c>
      <c r="N48" s="21">
        <f t="shared" si="17"/>
        <v>2.4070021881837947E-2</v>
      </c>
      <c r="O48" s="22">
        <f>IF(ISNUMBER(M48), $B64 * N48, "")</f>
        <v>2407.0021881837947</v>
      </c>
      <c r="Q48" s="227"/>
      <c r="R48" s="227"/>
      <c r="S48" s="227"/>
    </row>
    <row r="49" spans="1:19" ht="17.25" customHeight="1" thickBot="1">
      <c r="A49" s="125" t="s">
        <v>190</v>
      </c>
      <c r="B49" s="129">
        <v>19.600000000000001</v>
      </c>
      <c r="C49" s="80">
        <v>-0.14782608699999999</v>
      </c>
      <c r="D49" s="106">
        <v>18.7</v>
      </c>
      <c r="E49" s="107">
        <f>IF(ISNUMBER(D49), (D49 - $B49) / $B49, "")</f>
        <v>-4.5918367346938882E-2</v>
      </c>
      <c r="F49" s="108">
        <f>IF(ISNUMBER(D49), $B64 * E49, "")</f>
        <v>-4591.8367346938885</v>
      </c>
      <c r="G49" s="109">
        <v>17.8</v>
      </c>
      <c r="H49" s="107">
        <f>IF(ISNUMBER(G49), (G49 - $B49) / $B49, "")</f>
        <v>-9.1836734693877584E-2</v>
      </c>
      <c r="I49" s="110">
        <f>IF(ISNUMBER(G49), $B64 * H49, "")</f>
        <v>-9183.6734693877588</v>
      </c>
      <c r="J49" s="106">
        <v>18.3</v>
      </c>
      <c r="K49" s="107">
        <f>IF(ISNUMBER(J49), (J49 - $B49) / $B49, "")</f>
        <v>-6.632653061224493E-2</v>
      </c>
      <c r="L49" s="108">
        <f>IF(ISNUMBER(J49), $B64 * K49, "")</f>
        <v>-6632.6530612244933</v>
      </c>
      <c r="M49" s="109">
        <v>18</v>
      </c>
      <c r="N49" s="107">
        <f>IF(ISNUMBER(M49), (M49 - $B49) / $B49, "")</f>
        <v>-8.1632653061224553E-2</v>
      </c>
      <c r="O49" s="108">
        <f>IF(ISNUMBER(M49), $B64 * N49, "")</f>
        <v>-8163.2653061224555</v>
      </c>
      <c r="Q49" s="227"/>
      <c r="R49" s="227"/>
      <c r="S49" s="227"/>
    </row>
    <row r="50" spans="1:19" ht="17.25" customHeight="1" thickBot="1">
      <c r="A50" s="125" t="s">
        <v>210</v>
      </c>
      <c r="B50" s="126">
        <v>15.8</v>
      </c>
      <c r="C50" s="77">
        <v>-0.15053763440000001</v>
      </c>
      <c r="D50" s="15">
        <v>15.3</v>
      </c>
      <c r="E50" s="32">
        <f t="shared" ref="E50:E53" si="18">IF(ISNUMBER(D50), (D50 - $B50) / $B50, "")</f>
        <v>-3.164556962025316E-2</v>
      </c>
      <c r="F50" s="18">
        <f>IF(ISNUMBER(D50), $B64 * E50, "")</f>
        <v>-3164.5569620253159</v>
      </c>
      <c r="G50" s="31">
        <v>14.9</v>
      </c>
      <c r="H50" s="32">
        <f t="shared" ref="H50:H53" si="19">IF(ISNUMBER(G50), (G50 - $B50) / $B50, "")</f>
        <v>-5.6962025316455715E-2</v>
      </c>
      <c r="I50" s="101">
        <f>IF(ISNUMBER(G50), $B64 * H50, "")</f>
        <v>-5696.202531645572</v>
      </c>
      <c r="J50" s="15">
        <v>15.1</v>
      </c>
      <c r="K50" s="32">
        <f t="shared" ref="K50:K53" si="20">IF(ISNUMBER(J50), (J50 - $B50) / $B50, "")</f>
        <v>-4.4303797468354493E-2</v>
      </c>
      <c r="L50" s="18">
        <f>IF(ISNUMBER(J50), $B64 * K50, "")</f>
        <v>-4430.3797468354496</v>
      </c>
      <c r="M50" s="31">
        <v>15</v>
      </c>
      <c r="N50" s="32">
        <f t="shared" ref="N50:N53" si="21">IF(ISNUMBER(M50), (M50 - $B50) / $B50, "")</f>
        <v>-5.0632911392405104E-2</v>
      </c>
      <c r="O50" s="18">
        <f>IF(ISNUMBER(M50), $B64 * N50, "")</f>
        <v>-5063.2911392405103</v>
      </c>
      <c r="Q50" s="227"/>
      <c r="R50" s="227"/>
      <c r="S50" s="227"/>
    </row>
    <row r="51" spans="1:19" ht="17.25" customHeight="1" thickBot="1">
      <c r="A51" s="125" t="s">
        <v>202</v>
      </c>
      <c r="B51" s="126">
        <v>93.2</v>
      </c>
      <c r="C51" s="77">
        <v>-0.1527272727</v>
      </c>
      <c r="D51" s="15">
        <v>89.1</v>
      </c>
      <c r="E51" s="32">
        <f t="shared" si="18"/>
        <v>-4.3991416309012966E-2</v>
      </c>
      <c r="F51" s="18">
        <f>IF(ISNUMBER(D51), $B64 * E51, "")</f>
        <v>-4399.1416309012966</v>
      </c>
      <c r="G51" s="31">
        <v>85.6</v>
      </c>
      <c r="H51" s="32">
        <f t="shared" si="19"/>
        <v>-8.1545064377682497E-2</v>
      </c>
      <c r="I51" s="101">
        <f>IF(ISNUMBER(G51), $B64 * H51, "")</f>
        <v>-8154.5064377682493</v>
      </c>
      <c r="J51" s="15">
        <v>87.6</v>
      </c>
      <c r="K51" s="32">
        <f t="shared" si="20"/>
        <v>-6.0085836909871335E-2</v>
      </c>
      <c r="L51" s="18">
        <f>IF(ISNUMBER(J51), $B64 * K51, "")</f>
        <v>-6008.5836909871332</v>
      </c>
      <c r="M51" s="31">
        <v>86.1</v>
      </c>
      <c r="N51" s="32">
        <f t="shared" si="21"/>
        <v>-7.618025751072971E-2</v>
      </c>
      <c r="O51" s="18">
        <f>IF(ISNUMBER(M51), $B64 * N51, "")</f>
        <v>-7618.0257510729707</v>
      </c>
      <c r="Q51" s="227"/>
      <c r="R51" s="227"/>
      <c r="S51" s="227"/>
    </row>
    <row r="52" spans="1:19" ht="17.25" customHeight="1" thickBot="1">
      <c r="A52" s="125" t="s">
        <v>148</v>
      </c>
      <c r="B52" s="126">
        <v>24</v>
      </c>
      <c r="C52" s="77">
        <v>-0.1549295775</v>
      </c>
      <c r="D52" s="15">
        <v>22.8</v>
      </c>
      <c r="E52" s="32">
        <f t="shared" si="18"/>
        <v>-4.9999999999999968E-2</v>
      </c>
      <c r="F52" s="18">
        <f>IF(ISNUMBER(D52), $B64 * E52, "")</f>
        <v>-4999.9999999999964</v>
      </c>
      <c r="G52" s="31">
        <v>22.1</v>
      </c>
      <c r="H52" s="32">
        <f t="shared" si="19"/>
        <v>-7.9166666666666607E-2</v>
      </c>
      <c r="I52" s="101">
        <f>IF(ISNUMBER(G52), $B64 * H52, "")</f>
        <v>-7916.6666666666606</v>
      </c>
      <c r="J52" s="15">
        <v>22.3</v>
      </c>
      <c r="K52" s="32">
        <f t="shared" si="20"/>
        <v>-7.0833333333333304E-2</v>
      </c>
      <c r="L52" s="18">
        <f>IF(ISNUMBER(J52), $B64 * K52, "")</f>
        <v>-7083.3333333333303</v>
      </c>
      <c r="M52" s="31">
        <v>21.9</v>
      </c>
      <c r="N52" s="32">
        <f t="shared" si="21"/>
        <v>-8.7500000000000064E-2</v>
      </c>
      <c r="O52" s="18">
        <f>IF(ISNUMBER(M52), $B64 * N52, "")</f>
        <v>-8750.0000000000073</v>
      </c>
      <c r="Q52" s="33"/>
      <c r="R52" s="33"/>
    </row>
    <row r="53" spans="1:19" ht="17.25" customHeight="1" thickBot="1">
      <c r="A53" s="130" t="s">
        <v>188</v>
      </c>
      <c r="B53" s="131">
        <v>15</v>
      </c>
      <c r="C53" s="79">
        <v>-0.15730337080000001</v>
      </c>
      <c r="D53" s="24">
        <v>14.4</v>
      </c>
      <c r="E53" s="25">
        <f t="shared" si="18"/>
        <v>-3.9999999999999973E-2</v>
      </c>
      <c r="F53" s="104">
        <f>IF(ISNUMBER(D53), $B64 * E53, "")</f>
        <v>-3999.9999999999973</v>
      </c>
      <c r="G53" s="102">
        <v>13.7</v>
      </c>
      <c r="H53" s="25">
        <f t="shared" si="19"/>
        <v>-8.6666666666666711E-2</v>
      </c>
      <c r="I53" s="103">
        <f>IF(ISNUMBER(G53), $B64 * H53, "")</f>
        <v>-8666.6666666666715</v>
      </c>
      <c r="J53" s="24">
        <v>13.9</v>
      </c>
      <c r="K53" s="25">
        <f t="shared" si="20"/>
        <v>-7.3333333333333306E-2</v>
      </c>
      <c r="L53" s="104">
        <f>IF(ISNUMBER(J53), $B64 * K53, "")</f>
        <v>-7333.3333333333303</v>
      </c>
      <c r="M53" s="102">
        <v>13.7</v>
      </c>
      <c r="N53" s="25">
        <f t="shared" si="21"/>
        <v>-8.6666666666666711E-2</v>
      </c>
      <c r="O53" s="104">
        <f>IF(ISNUMBER(M53), $B64 * N53, "")</f>
        <v>-8666.6666666666715</v>
      </c>
      <c r="Q53" s="236"/>
      <c r="R53" s="237"/>
      <c r="S53" s="238"/>
    </row>
    <row r="54" spans="1:19" ht="17.25" customHeight="1">
      <c r="A54" s="123" t="s">
        <v>150</v>
      </c>
      <c r="B54" s="124">
        <v>13.8</v>
      </c>
      <c r="C54" s="76">
        <v>-0.1636363636</v>
      </c>
      <c r="D54" s="13">
        <v>13.4</v>
      </c>
      <c r="E54" s="14">
        <f>IF(ISNUMBER(D54), (D54 - $B54) / $B54, "")</f>
        <v>-2.8985507246376836E-2</v>
      </c>
      <c r="F54" s="16">
        <f>IF(ISNUMBER(D54), $B64 * E54, "")</f>
        <v>-2898.5507246376837</v>
      </c>
      <c r="G54" s="29">
        <v>12.6</v>
      </c>
      <c r="H54" s="14">
        <f>IF(ISNUMBER(G54), (G54 - $B54) / $B54, "")</f>
        <v>-8.6956521739130502E-2</v>
      </c>
      <c r="I54" s="100">
        <f>IF(ISNUMBER(G54), $B64 * H54, "")</f>
        <v>-8695.6521739130494</v>
      </c>
      <c r="J54" s="13">
        <v>12.9</v>
      </c>
      <c r="K54" s="14">
        <f>IF(ISNUMBER(J54), (J54 - $B54) / $B54, "")</f>
        <v>-6.5217391304347852E-2</v>
      </c>
      <c r="L54" s="16">
        <f>IF(ISNUMBER(J54), $B64 * K54, "")</f>
        <v>-6521.7391304347848</v>
      </c>
      <c r="M54" s="29">
        <v>12.7</v>
      </c>
      <c r="N54" s="14">
        <f>IF(ISNUMBER(M54), (M54 - $B54) / $B54, "")</f>
        <v>-7.9710144927536336E-2</v>
      </c>
      <c r="O54" s="16">
        <f>IF(ISNUMBER(M54), $B64 * N54, "")</f>
        <v>-7971.0144927536339</v>
      </c>
      <c r="Q54" s="239"/>
      <c r="R54" s="240"/>
      <c r="S54" s="241"/>
    </row>
    <row r="55" spans="1:19" ht="17.25" customHeight="1" thickBot="1">
      <c r="A55" s="125" t="s">
        <v>178</v>
      </c>
      <c r="B55" s="126">
        <v>19.2</v>
      </c>
      <c r="C55" s="77">
        <v>-0.16521739129999999</v>
      </c>
      <c r="D55" s="15">
        <v>18.8</v>
      </c>
      <c r="E55" s="32">
        <f t="shared" ref="E55:E58" si="22">IF(ISNUMBER(D55), (D55 - $B55) / $B55, "")</f>
        <v>-2.0833333333333259E-2</v>
      </c>
      <c r="F55" s="18">
        <f>IF(ISNUMBER(D55), $B64 * E55, "")</f>
        <v>-2083.3333333333258</v>
      </c>
      <c r="G55" s="31">
        <v>18.2</v>
      </c>
      <c r="H55" s="32">
        <f t="shared" ref="H55:H58" si="23">IF(ISNUMBER(G55), (G55 - $B55) / $B55, "")</f>
        <v>-5.2083333333333336E-2</v>
      </c>
      <c r="I55" s="101">
        <f>IF(ISNUMBER(G55), $B64 * H55, "")</f>
        <v>-5208.3333333333339</v>
      </c>
      <c r="J55" s="15">
        <v>19.2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18.600000000000001</v>
      </c>
      <c r="N55" s="32">
        <f t="shared" ref="N55:N58" si="25">IF(ISNUMBER(M55), (M55 - $B55) / $B55, "")</f>
        <v>-3.1249999999999889E-2</v>
      </c>
      <c r="O55" s="18">
        <f>IF(ISNUMBER(M55), $B64 * N55, "")</f>
        <v>-3124.9999999999891</v>
      </c>
      <c r="Q55" s="242"/>
      <c r="R55" s="243"/>
      <c r="S55" s="244"/>
    </row>
    <row r="56" spans="1:19" ht="17.25" customHeight="1" thickBot="1">
      <c r="A56" s="125" t="s">
        <v>208</v>
      </c>
      <c r="B56" s="126">
        <v>14.1</v>
      </c>
      <c r="C56" s="77">
        <v>-0.1656804734</v>
      </c>
      <c r="D56" s="15">
        <v>13.3</v>
      </c>
      <c r="E56" s="32">
        <f t="shared" si="22"/>
        <v>-5.6737588652482199E-2</v>
      </c>
      <c r="F56" s="18">
        <f>IF(ISNUMBER(D56), $B64 * E56, "")</f>
        <v>-5673.75886524822</v>
      </c>
      <c r="G56" s="31">
        <v>12.7</v>
      </c>
      <c r="H56" s="32">
        <f t="shared" si="23"/>
        <v>-9.9290780141844004E-2</v>
      </c>
      <c r="I56" s="101">
        <f>IF(ISNUMBER(G56), $B64 * H56, "")</f>
        <v>-9929.0780141844007</v>
      </c>
      <c r="J56" s="15">
        <v>13.1</v>
      </c>
      <c r="K56" s="32">
        <f t="shared" si="24"/>
        <v>-7.0921985815602842E-2</v>
      </c>
      <c r="L56" s="18">
        <f>IF(ISNUMBER(J56), $B64 * K56, "")</f>
        <v>-7092.1985815602839</v>
      </c>
      <c r="M56" s="31">
        <v>12.8</v>
      </c>
      <c r="N56" s="32">
        <f t="shared" si="25"/>
        <v>-9.2198581560283613E-2</v>
      </c>
      <c r="O56" s="18">
        <f>IF(ISNUMBER(M56), $B64 * N56, "")</f>
        <v>-9219.8581560283619</v>
      </c>
      <c r="Q56" s="227"/>
      <c r="R56" s="227"/>
      <c r="S56" s="227"/>
    </row>
    <row r="57" spans="1:19" ht="17.25" customHeight="1" thickBot="1">
      <c r="A57" s="125" t="s">
        <v>204</v>
      </c>
      <c r="B57" s="126">
        <v>16.899999999999999</v>
      </c>
      <c r="C57" s="77">
        <v>-0.1674876847</v>
      </c>
      <c r="D57" s="15">
        <v>16</v>
      </c>
      <c r="E57" s="32">
        <f t="shared" si="22"/>
        <v>-5.3254437869822403E-2</v>
      </c>
      <c r="F57" s="18">
        <f>IF(ISNUMBER(D57), $B64 * E57, "")</f>
        <v>-5325.4437869822405</v>
      </c>
      <c r="G57" s="31">
        <v>15.3</v>
      </c>
      <c r="H57" s="32">
        <f t="shared" si="23"/>
        <v>-9.4674556213017638E-2</v>
      </c>
      <c r="I57" s="101">
        <f>IF(ISNUMBER(G57), $B64 * H57, "")</f>
        <v>-9467.455621301764</v>
      </c>
      <c r="J57" s="15">
        <v>15.8</v>
      </c>
      <c r="K57" s="32">
        <f t="shared" si="24"/>
        <v>-6.5088757396449579E-2</v>
      </c>
      <c r="L57" s="18">
        <f>IF(ISNUMBER(J57), $B64 * K57, "")</f>
        <v>-6508.8757396449582</v>
      </c>
      <c r="M57" s="31">
        <v>15.4</v>
      </c>
      <c r="N57" s="32">
        <f t="shared" si="25"/>
        <v>-8.875739644970404E-2</v>
      </c>
      <c r="O57" s="18">
        <f>IF(ISNUMBER(M57), $B64 * N57, "")</f>
        <v>-8875.7396449704047</v>
      </c>
      <c r="Q57" s="222"/>
      <c r="R57" s="222"/>
      <c r="S57" s="222"/>
    </row>
    <row r="58" spans="1:19" ht="17.25" customHeight="1" thickBot="1">
      <c r="A58" s="127" t="s">
        <v>72</v>
      </c>
      <c r="B58" s="128">
        <v>26.1</v>
      </c>
      <c r="C58" s="78">
        <v>-0.1687898089</v>
      </c>
      <c r="D58" s="20">
        <v>25.4</v>
      </c>
      <c r="E58" s="21">
        <f t="shared" si="22"/>
        <v>-2.6819923371647618E-2</v>
      </c>
      <c r="F58" s="22">
        <f>IF(ISNUMBER(D58), $B64 * E58, "")</f>
        <v>-2681.9923371647619</v>
      </c>
      <c r="G58" s="30">
        <v>25.1</v>
      </c>
      <c r="H58" s="21">
        <f t="shared" si="23"/>
        <v>-3.8314176245210725E-2</v>
      </c>
      <c r="I58" s="105">
        <f>IF(ISNUMBER(G58), $B64 * H58, "")</f>
        <v>-3831.4176245210724</v>
      </c>
      <c r="J58" s="20">
        <v>25.3</v>
      </c>
      <c r="K58" s="21">
        <f t="shared" si="24"/>
        <v>-3.0651340996168609E-2</v>
      </c>
      <c r="L58" s="22">
        <f>IF(ISNUMBER(J58), $B64 * K58, "")</f>
        <v>-3065.134099616861</v>
      </c>
      <c r="M58" s="30">
        <v>25.2</v>
      </c>
      <c r="N58" s="21">
        <f t="shared" si="25"/>
        <v>-3.4482758620689738E-2</v>
      </c>
      <c r="O58" s="22">
        <f>IF(ISNUMBER(M58), $B64 * N58, "")</f>
        <v>-3448.2758620689738</v>
      </c>
      <c r="Q58" s="222"/>
      <c r="R58" s="222"/>
      <c r="S58" s="222"/>
    </row>
    <row r="59" spans="1:19" ht="17.25" customHeight="1" thickBot="1">
      <c r="A59" s="125" t="s">
        <v>216</v>
      </c>
      <c r="B59" s="129">
        <v>11.6</v>
      </c>
      <c r="C59" s="80">
        <v>-0.1773049645</v>
      </c>
      <c r="D59" s="106">
        <v>11.2</v>
      </c>
      <c r="E59" s="107">
        <f>IF(ISNUMBER(D59), (D59 - $B59) / $B59, "")</f>
        <v>-3.4482758620689689E-2</v>
      </c>
      <c r="F59" s="108">
        <f>IF(ISNUMBER(D59), $B64 * E59, "")</f>
        <v>-3448.2758620689688</v>
      </c>
      <c r="G59" s="109">
        <v>10.9</v>
      </c>
      <c r="H59" s="107">
        <f>IF(ISNUMBER(G59), (G59 - $B59) / $B59, "")</f>
        <v>-6.0344827586206837E-2</v>
      </c>
      <c r="I59" s="110">
        <f>IF(ISNUMBER(G59), $B64 * H59, "")</f>
        <v>-6034.4827586206839</v>
      </c>
      <c r="J59" s="106">
        <v>11.1</v>
      </c>
      <c r="K59" s="107">
        <f>IF(ISNUMBER(J59), (J59 - $B59) / $B59, "")</f>
        <v>-4.3103448275862072E-2</v>
      </c>
      <c r="L59" s="108">
        <f>IF(ISNUMBER(J59), $B64 * K59, "")</f>
        <v>-4310.3448275862074</v>
      </c>
      <c r="M59" s="109">
        <v>11</v>
      </c>
      <c r="N59" s="107">
        <f>IF(ISNUMBER(M59), (M59 - $B59) / $B59, "")</f>
        <v>-5.1724137931034454E-2</v>
      </c>
      <c r="O59" s="108">
        <f>IF(ISNUMBER(M59), $B64 * N59, "")</f>
        <v>-5172.4137931034456</v>
      </c>
      <c r="Q59" s="227"/>
      <c r="R59" s="227"/>
      <c r="S59" s="227"/>
    </row>
    <row r="60" spans="1:19" ht="17.25" customHeight="1" thickBot="1">
      <c r="A60" s="125" t="s">
        <v>122</v>
      </c>
      <c r="B60" s="126">
        <v>41.2</v>
      </c>
      <c r="C60" s="77">
        <v>-0.17764471060000001</v>
      </c>
      <c r="D60" s="15">
        <v>39.799999999999997</v>
      </c>
      <c r="E60" s="32">
        <f t="shared" ref="E60:E63" si="26">IF(ISNUMBER(D60), (D60 - $B60) / $B60, "")</f>
        <v>-3.3980582524271982E-2</v>
      </c>
      <c r="F60" s="18">
        <f>IF(ISNUMBER(D60), $B64 * E60, "")</f>
        <v>-3398.0582524271981</v>
      </c>
      <c r="G60" s="31">
        <v>38.1</v>
      </c>
      <c r="H60" s="32">
        <f t="shared" ref="H60:H63" si="27">IF(ISNUMBER(G60), (G60 - $B60) / $B60, "")</f>
        <v>-7.5242718446601978E-2</v>
      </c>
      <c r="I60" s="101">
        <f>IF(ISNUMBER(G60), $B64 * H60, "")</f>
        <v>-7524.2718446601975</v>
      </c>
      <c r="J60" s="15">
        <v>38.700000000000003</v>
      </c>
      <c r="K60" s="32">
        <f t="shared" ref="K60:K63" si="28">IF(ISNUMBER(J60), (J60 - $B60) / $B60, "")</f>
        <v>-6.0679611650485431E-2</v>
      </c>
      <c r="L60" s="18">
        <f>IF(ISNUMBER(J60), $B64 * K60, "")</f>
        <v>-6067.9611650485431</v>
      </c>
      <c r="M60" s="31">
        <v>38.200000000000003</v>
      </c>
      <c r="N60" s="32">
        <f t="shared" ref="N60:N63" si="29">IF(ISNUMBER(M60), (M60 - $B60) / $B60, "")</f>
        <v>-7.281553398058252E-2</v>
      </c>
      <c r="O60" s="18">
        <f>IF(ISNUMBER(M60), $B64 * N60, "")</f>
        <v>-7281.5533980582522</v>
      </c>
      <c r="Q60" s="227"/>
      <c r="R60" s="227"/>
      <c r="S60" s="22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132" t="s">
        <v>270</v>
      </c>
      <c r="B64" s="260">
        <f>$B$37</f>
        <v>100000</v>
      </c>
      <c r="C64" s="261"/>
      <c r="D64" s="26" t="s">
        <v>271</v>
      </c>
      <c r="E64" s="27">
        <f>IF(COUNT(E44:E63), SUM(E44:E63) / COUNT(E44:E63), 0)</f>
        <v>-2.9963643174466943E-2</v>
      </c>
      <c r="F64" s="28">
        <f>SUM(F44:F63)</f>
        <v>-50938.193396593808</v>
      </c>
      <c r="G64" s="26" t="s">
        <v>271</v>
      </c>
      <c r="H64" s="27">
        <f>IF(COUNT(H44:H63), SUM(H44:H63) / COUNT(H44:H63), 0)</f>
        <v>-6.2395489841471807E-2</v>
      </c>
      <c r="I64" s="28">
        <f>SUM(I44:I63)</f>
        <v>-106072.33273050206</v>
      </c>
      <c r="J64" s="26" t="s">
        <v>271</v>
      </c>
      <c r="K64" s="27">
        <f>IF(COUNT(K44:K63), SUM(K44:K63) / COUNT(K44:K63), 0)</f>
        <v>-2.9042978669769962E-2</v>
      </c>
      <c r="L64" s="28">
        <f>SUM(L44:L63)</f>
        <v>-49373.063738608937</v>
      </c>
      <c r="M64" s="26" t="s">
        <v>271</v>
      </c>
      <c r="N64" s="27">
        <f>IF(COUNT(N44:N63), SUM(N44:N63) / COUNT(N44:N63), 0)</f>
        <v>-4.948930706110892E-2</v>
      </c>
      <c r="O64" s="28">
        <f>SUM(O44:O63)</f>
        <v>-84131.822003885172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85" t="s">
        <v>267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55149000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2.1442459999999998E-3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2021-09-08(수) 오전 00:00</v>
      </c>
      <c r="C69" s="265"/>
      <c r="D69" s="224" t="str">
        <f>TEXT($G$1, "[$-ko-KR]yyyy-mm-dd(ddd) ") &amp; "오후 14:00"</f>
        <v>2021-09-08(수) 오후 14:00</v>
      </c>
      <c r="E69" s="225"/>
      <c r="F69" s="226"/>
      <c r="G69" s="224" t="str">
        <f>TEXT($G$1, "[$-ko-KR]yyyy-mm-dd(ddd) ") &amp; "오후 19:00"</f>
        <v>2021-09-08(수) 오후 19:00</v>
      </c>
      <c r="H69" s="225"/>
      <c r="I69" s="226"/>
      <c r="J69" s="224" t="str">
        <f>TEXT($G$1, "[$-ko-KR]yyyy-mm-dd(ddd) ") &amp; "오후 21:00"</f>
        <v>2021-09-08(수) 오후 21:00</v>
      </c>
      <c r="K69" s="225"/>
      <c r="L69" s="226"/>
      <c r="M69" s="224" t="str">
        <f>TEXT($G$1+1, "[$-ko-KR]yyyy-mm-dd(ddd) ") &amp; "오전 00:00"</f>
        <v>2021-09-09(목)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7"/>
      <c r="R70" s="227"/>
      <c r="S70" s="227"/>
    </row>
    <row r="71" spans="1:19" ht="17.25" thickBot="1">
      <c r="A71" s="123" t="s">
        <v>232</v>
      </c>
      <c r="B71" s="124">
        <v>940</v>
      </c>
      <c r="C71" s="76">
        <v>3.07017544E-2</v>
      </c>
      <c r="D71" s="13">
        <v>983</v>
      </c>
      <c r="E71" s="14">
        <f>IF(ISNUMBER(D71), (D71 - $B71) / $B71, "")</f>
        <v>4.5744680851063826E-2</v>
      </c>
      <c r="F71" s="16">
        <f>IF(ISNUMBER(D71), $B91 * E71, "")</f>
        <v>4574.4680851063822</v>
      </c>
      <c r="G71" s="29">
        <v>945</v>
      </c>
      <c r="H71" s="14">
        <f>IF(ISNUMBER(G71), (G71 - $B71) / $B71, "")</f>
        <v>5.3191489361702126E-3</v>
      </c>
      <c r="I71" s="100">
        <f>IF(ISNUMBER(G71), $B91 * H71, "")</f>
        <v>531.91489361702122</v>
      </c>
      <c r="J71" s="13">
        <v>980</v>
      </c>
      <c r="K71" s="14">
        <f>IF(ISNUMBER(J71), (J71 - $B71) / $B71, "")</f>
        <v>4.2553191489361701E-2</v>
      </c>
      <c r="L71" s="16">
        <f>IF(ISNUMBER(J71), $B91 * K71, "")</f>
        <v>4255.3191489361698</v>
      </c>
      <c r="M71" s="29">
        <v>950</v>
      </c>
      <c r="N71" s="14">
        <f>IF(ISNUMBER(M71), (M71 - $B71) / $B71, "")</f>
        <v>1.0638297872340425E-2</v>
      </c>
      <c r="O71" s="16">
        <f>IF(ISNUMBER(M71), $B91 * N71, "")</f>
        <v>1063.8297872340424</v>
      </c>
      <c r="Q71" s="222"/>
      <c r="R71" s="222"/>
      <c r="S71" s="222"/>
    </row>
    <row r="72" spans="1:19" ht="17.25" thickBot="1">
      <c r="A72" s="125" t="s">
        <v>206</v>
      </c>
      <c r="B72" s="126">
        <v>889</v>
      </c>
      <c r="C72" s="77">
        <v>1.6E-2</v>
      </c>
      <c r="D72" s="15">
        <v>927</v>
      </c>
      <c r="E72" s="32">
        <f t="shared" ref="E72:E75" si="30">IF(ISNUMBER(D72), (D72 - $B72) / $B72, "")</f>
        <v>4.2744656917885267E-2</v>
      </c>
      <c r="F72" s="18">
        <f>IF(ISNUMBER(D72), $B91 * E72, "")</f>
        <v>4274.4656917885268</v>
      </c>
      <c r="G72" s="31">
        <v>874</v>
      </c>
      <c r="H72" s="32">
        <f t="shared" ref="H72:H75" si="31">IF(ISNUMBER(G72), (G72 - $B72) / $B72, "")</f>
        <v>-1.6872890888638921E-2</v>
      </c>
      <c r="I72" s="101">
        <f>IF(ISNUMBER(G72), $B91 * H72, "")</f>
        <v>-1687.2890888638922</v>
      </c>
      <c r="J72" s="15">
        <v>883</v>
      </c>
      <c r="K72" s="32">
        <f t="shared" ref="K72:K75" si="32">IF(ISNUMBER(J72), (J72 - $B72) / $B72, "")</f>
        <v>-6.7491563554555678E-3</v>
      </c>
      <c r="L72" s="18">
        <f>IF(ISNUMBER(J72), $B91 * K72, "")</f>
        <v>-674.91563554555682</v>
      </c>
      <c r="M72" s="31">
        <v>850</v>
      </c>
      <c r="N72" s="32">
        <f t="shared" ref="N72:N75" si="33">IF(ISNUMBER(M72), (M72 - $B72) / $B72, "")</f>
        <v>-4.3869516310461196E-2</v>
      </c>
      <c r="O72" s="18">
        <f>IF(ISNUMBER(M72), $B91 * N72, "")</f>
        <v>-4386.9516310461195</v>
      </c>
      <c r="Q72" s="222"/>
      <c r="R72" s="222"/>
      <c r="S72" s="222"/>
    </row>
    <row r="73" spans="1:19" ht="17.25" thickBot="1">
      <c r="A73" s="125" t="s">
        <v>192</v>
      </c>
      <c r="B73" s="126">
        <v>364</v>
      </c>
      <c r="C73" s="77">
        <v>-6.6666666700000002E-2</v>
      </c>
      <c r="D73" s="15">
        <v>353</v>
      </c>
      <c r="E73" s="32">
        <f t="shared" si="30"/>
        <v>-3.021978021978022E-2</v>
      </c>
      <c r="F73" s="18">
        <f>IF(ISNUMBER(D73), $B91 * E73, "")</f>
        <v>-3021.9780219780218</v>
      </c>
      <c r="G73" s="31">
        <v>335</v>
      </c>
      <c r="H73" s="32">
        <f t="shared" si="31"/>
        <v>-7.9670329670329665E-2</v>
      </c>
      <c r="I73" s="101">
        <f>IF(ISNUMBER(G73), $B91 * H73, "")</f>
        <v>-7967.0329670329666</v>
      </c>
      <c r="J73" s="15">
        <v>342</v>
      </c>
      <c r="K73" s="32">
        <f t="shared" si="32"/>
        <v>-6.043956043956044E-2</v>
      </c>
      <c r="L73" s="18">
        <f>IF(ISNUMBER(J73), $B91 * K73, "")</f>
        <v>-6043.9560439560437</v>
      </c>
      <c r="M73" s="31">
        <v>335</v>
      </c>
      <c r="N73" s="32">
        <f t="shared" si="33"/>
        <v>-7.9670329670329665E-2</v>
      </c>
      <c r="O73" s="18">
        <f>IF(ISNUMBER(M73), $B91 * N73, "")</f>
        <v>-7967.0329670329666</v>
      </c>
      <c r="Q73" s="227"/>
      <c r="R73" s="227"/>
      <c r="S73" s="227"/>
    </row>
    <row r="74" spans="1:19" ht="17.25" thickBot="1">
      <c r="A74" s="125" t="s">
        <v>164</v>
      </c>
      <c r="B74" s="126">
        <v>900</v>
      </c>
      <c r="C74" s="77">
        <v>-7.4074074099999998E-2</v>
      </c>
      <c r="D74" s="15">
        <v>1000</v>
      </c>
      <c r="E74" s="32">
        <f t="shared" si="30"/>
        <v>0.1111111111111111</v>
      </c>
      <c r="F74" s="18">
        <f>IF(ISNUMBER(D74), $B91 * E74, "")</f>
        <v>11111.111111111111</v>
      </c>
      <c r="G74" s="31">
        <v>977</v>
      </c>
      <c r="H74" s="32">
        <f t="shared" si="31"/>
        <v>8.5555555555555551E-2</v>
      </c>
      <c r="I74" s="101">
        <f>IF(ISNUMBER(G74), $B91 * H74, "")</f>
        <v>8555.5555555555547</v>
      </c>
      <c r="J74" s="15">
        <v>978</v>
      </c>
      <c r="K74" s="32">
        <f t="shared" si="32"/>
        <v>8.666666666666667E-2</v>
      </c>
      <c r="L74" s="18">
        <f>IF(ISNUMBER(J74), $B91 * K74, "")</f>
        <v>8666.6666666666661</v>
      </c>
      <c r="M74" s="31">
        <v>948</v>
      </c>
      <c r="N74" s="32">
        <f t="shared" si="33"/>
        <v>5.3333333333333337E-2</v>
      </c>
      <c r="O74" s="18">
        <f>IF(ISNUMBER(M74), $B91 * N74, "")</f>
        <v>5333.3333333333339</v>
      </c>
      <c r="Q74" s="227"/>
      <c r="R74" s="227"/>
      <c r="S74" s="227"/>
    </row>
    <row r="75" spans="1:19" ht="17.25" thickBot="1">
      <c r="A75" s="127" t="s">
        <v>54</v>
      </c>
      <c r="B75" s="128">
        <v>332</v>
      </c>
      <c r="C75" s="78">
        <v>-8.0332410000000007E-2</v>
      </c>
      <c r="D75" s="20">
        <v>329</v>
      </c>
      <c r="E75" s="21">
        <f t="shared" si="30"/>
        <v>-9.0361445783132526E-3</v>
      </c>
      <c r="F75" s="22">
        <f>IF(ISNUMBER(D75), $B91 * E75, "")</f>
        <v>-903.61445783132524</v>
      </c>
      <c r="G75" s="30">
        <v>319</v>
      </c>
      <c r="H75" s="21">
        <f t="shared" si="31"/>
        <v>-3.9156626506024098E-2</v>
      </c>
      <c r="I75" s="105">
        <f>IF(ISNUMBER(G75), $B91 * H75, "")</f>
        <v>-3915.6626506024099</v>
      </c>
      <c r="J75" s="20">
        <v>330</v>
      </c>
      <c r="K75" s="21">
        <f t="shared" si="32"/>
        <v>-6.024096385542169E-3</v>
      </c>
      <c r="L75" s="22">
        <f>IF(ISNUMBER(J75), $B91 * K75, "")</f>
        <v>-602.40963855421694</v>
      </c>
      <c r="M75" s="30">
        <v>333</v>
      </c>
      <c r="N75" s="21">
        <f t="shared" si="33"/>
        <v>3.0120481927710845E-3</v>
      </c>
      <c r="O75" s="22">
        <f>IF(ISNUMBER(M75), $B91 * N75, "")</f>
        <v>301.20481927710847</v>
      </c>
      <c r="Q75" s="227"/>
      <c r="R75" s="227"/>
      <c r="S75" s="227"/>
    </row>
    <row r="76" spans="1:19" ht="17.25" thickBot="1">
      <c r="A76" s="125" t="s">
        <v>130</v>
      </c>
      <c r="B76" s="129">
        <v>154</v>
      </c>
      <c r="C76" s="80">
        <v>-8.3333333300000006E-2</v>
      </c>
      <c r="D76" s="106">
        <v>146</v>
      </c>
      <c r="E76" s="107">
        <f>IF(ISNUMBER(D76), (D76 - $B76) / $B76, "")</f>
        <v>-5.1948051948051951E-2</v>
      </c>
      <c r="F76" s="108">
        <f>IF(ISNUMBER(D76), $B91 * E76, "")</f>
        <v>-5194.8051948051952</v>
      </c>
      <c r="G76" s="109">
        <v>140</v>
      </c>
      <c r="H76" s="107">
        <f>IF(ISNUMBER(G76), (G76 - $B76) / $B76, "")</f>
        <v>-9.0909090909090912E-2</v>
      </c>
      <c r="I76" s="110">
        <f>IF(ISNUMBER(G76), $B91 * H76, "")</f>
        <v>-9090.9090909090919</v>
      </c>
      <c r="J76" s="106">
        <v>145</v>
      </c>
      <c r="K76" s="107">
        <f>IF(ISNUMBER(J76), (J76 - $B76) / $B76, "")</f>
        <v>-5.844155844155844E-2</v>
      </c>
      <c r="L76" s="108">
        <f>IF(ISNUMBER(J76), $B91 * K76, "")</f>
        <v>-5844.1558441558436</v>
      </c>
      <c r="M76" s="109">
        <v>142</v>
      </c>
      <c r="N76" s="107">
        <f>IF(ISNUMBER(M76), (M76 - $B76) / $B76, "")</f>
        <v>-7.792207792207792E-2</v>
      </c>
      <c r="O76" s="108">
        <f>IF(ISNUMBER(M76), $B91 * N76, "")</f>
        <v>-7792.2077922077924</v>
      </c>
      <c r="Q76" s="227"/>
      <c r="R76" s="227"/>
      <c r="S76" s="227"/>
    </row>
    <row r="77" spans="1:19" ht="17.25" thickBot="1">
      <c r="A77" s="125" t="s">
        <v>236</v>
      </c>
      <c r="B77" s="126">
        <v>740</v>
      </c>
      <c r="C77" s="77">
        <v>-0.1084337349</v>
      </c>
      <c r="D77" s="15">
        <v>697</v>
      </c>
      <c r="E77" s="32">
        <f t="shared" ref="E77:E80" si="34">IF(ISNUMBER(D77), (D77 - $B77) / $B77, "")</f>
        <v>-5.8108108108108111E-2</v>
      </c>
      <c r="F77" s="18">
        <f>IF(ISNUMBER(D77), $B91 * E77, "")</f>
        <v>-5810.8108108108108</v>
      </c>
      <c r="G77" s="31">
        <v>668</v>
      </c>
      <c r="H77" s="32">
        <f t="shared" ref="H77:H80" si="35">IF(ISNUMBER(G77), (G77 - $B77) / $B77, "")</f>
        <v>-9.7297297297297303E-2</v>
      </c>
      <c r="I77" s="101">
        <f>IF(ISNUMBER(G77), $B91 * H77, "")</f>
        <v>-9729.72972972973</v>
      </c>
      <c r="J77" s="15">
        <v>679</v>
      </c>
      <c r="K77" s="32">
        <f t="shared" ref="K77:K80" si="36">IF(ISNUMBER(J77), (J77 - $B77) / $B77, "")</f>
        <v>-8.2432432432432437E-2</v>
      </c>
      <c r="L77" s="18">
        <f>IF(ISNUMBER(J77), $B91 * K77, "")</f>
        <v>-8243.2432432432433</v>
      </c>
      <c r="M77" s="31">
        <v>676</v>
      </c>
      <c r="N77" s="32">
        <f t="shared" ref="N77:N80" si="37">IF(ISNUMBER(M77), (M77 - $B77) / $B77, "")</f>
        <v>-8.6486486486486491E-2</v>
      </c>
      <c r="O77" s="18">
        <f>IF(ISNUMBER(M77), $B91 * N77, "")</f>
        <v>-8648.6486486486483</v>
      </c>
      <c r="Q77" s="227"/>
      <c r="R77" s="227"/>
      <c r="S77" s="227"/>
    </row>
    <row r="78" spans="1:19" ht="17.25" thickBot="1">
      <c r="A78" s="125" t="s">
        <v>152</v>
      </c>
      <c r="B78" s="126">
        <v>105</v>
      </c>
      <c r="C78" s="77">
        <v>-0.1176470588</v>
      </c>
      <c r="D78" s="15">
        <v>107</v>
      </c>
      <c r="E78" s="32">
        <f t="shared" si="34"/>
        <v>1.9047619047619049E-2</v>
      </c>
      <c r="F78" s="18">
        <f>IF(ISNUMBER(D78), $B91 * E78, "")</f>
        <v>1904.761904761905</v>
      </c>
      <c r="G78" s="31">
        <v>111</v>
      </c>
      <c r="H78" s="32">
        <f t="shared" si="35"/>
        <v>5.7142857142857141E-2</v>
      </c>
      <c r="I78" s="101">
        <f>IF(ISNUMBER(G78), $B91 * H78, "")</f>
        <v>5714.2857142857138</v>
      </c>
      <c r="J78" s="15">
        <v>115</v>
      </c>
      <c r="K78" s="32">
        <f t="shared" si="36"/>
        <v>9.5238095238095233E-2</v>
      </c>
      <c r="L78" s="18">
        <f>IF(ISNUMBER(J78), $B91 * K78, "")</f>
        <v>9523.8095238095229</v>
      </c>
      <c r="M78" s="31">
        <v>112</v>
      </c>
      <c r="N78" s="32">
        <f t="shared" si="37"/>
        <v>6.6666666666666666E-2</v>
      </c>
      <c r="O78" s="18">
        <f>IF(ISNUMBER(M78), $B91 * N78, "")</f>
        <v>6666.666666666667</v>
      </c>
      <c r="Q78" s="227"/>
      <c r="R78" s="227"/>
      <c r="S78" s="227"/>
    </row>
    <row r="79" spans="1:19" ht="17.25" thickBot="1">
      <c r="A79" s="125" t="s">
        <v>110</v>
      </c>
      <c r="B79" s="126">
        <v>201</v>
      </c>
      <c r="C79" s="77">
        <v>-0.13362068969999999</v>
      </c>
      <c r="D79" s="15">
        <v>188</v>
      </c>
      <c r="E79" s="32">
        <f t="shared" si="34"/>
        <v>-6.4676616915422883E-2</v>
      </c>
      <c r="F79" s="18">
        <f>IF(ISNUMBER(D79), $B91 * E79, "")</f>
        <v>-6467.6616915422883</v>
      </c>
      <c r="G79" s="31">
        <v>179</v>
      </c>
      <c r="H79" s="32">
        <f t="shared" si="35"/>
        <v>-0.10945273631840796</v>
      </c>
      <c r="I79" s="101">
        <f>IF(ISNUMBER(G79), $B91 * H79, "")</f>
        <v>-10945.273631840797</v>
      </c>
      <c r="J79" s="15">
        <v>184</v>
      </c>
      <c r="K79" s="32">
        <f t="shared" si="36"/>
        <v>-8.45771144278607E-2</v>
      </c>
      <c r="L79" s="18">
        <f>IF(ISNUMBER(J79), $B91 * K79, "")</f>
        <v>-8457.7114427860706</v>
      </c>
      <c r="M79" s="31">
        <v>179</v>
      </c>
      <c r="N79" s="32">
        <f t="shared" si="37"/>
        <v>-0.10945273631840796</v>
      </c>
      <c r="O79" s="18">
        <f>IF(ISNUMBER(M79), $B91 * N79, "")</f>
        <v>-10945.273631840797</v>
      </c>
      <c r="Q79" s="33"/>
      <c r="R79" s="33"/>
    </row>
    <row r="80" spans="1:19" ht="17.25" thickBot="1">
      <c r="A80" s="130" t="s">
        <v>174</v>
      </c>
      <c r="B80" s="131">
        <v>417</v>
      </c>
      <c r="C80" s="79">
        <v>-0.14197530859999999</v>
      </c>
      <c r="D80" s="24">
        <v>424</v>
      </c>
      <c r="E80" s="25">
        <f t="shared" si="34"/>
        <v>1.6786570743405275E-2</v>
      </c>
      <c r="F80" s="104">
        <f>IF(ISNUMBER(D80), $B91 * E80, "")</f>
        <v>1678.6570743405275</v>
      </c>
      <c r="G80" s="102">
        <v>409</v>
      </c>
      <c r="H80" s="25">
        <f t="shared" si="35"/>
        <v>-1.9184652278177457E-2</v>
      </c>
      <c r="I80" s="103">
        <f>IF(ISNUMBER(G80), $B91 * H80, "")</f>
        <v>-1918.4652278177457</v>
      </c>
      <c r="J80" s="24">
        <v>417</v>
      </c>
      <c r="K80" s="25">
        <f t="shared" si="36"/>
        <v>0</v>
      </c>
      <c r="L80" s="104">
        <f>IF(ISNUMBER(J80), $B91 * K80, "")</f>
        <v>0</v>
      </c>
      <c r="M80" s="102">
        <v>406</v>
      </c>
      <c r="N80" s="25">
        <f t="shared" si="37"/>
        <v>-2.6378896882494004E-2</v>
      </c>
      <c r="O80" s="104">
        <f>IF(ISNUMBER(M80), $B91 * N80, "")</f>
        <v>-2637.8896882494005</v>
      </c>
      <c r="Q80" s="236"/>
      <c r="R80" s="237"/>
      <c r="S80" s="238"/>
    </row>
    <row r="81" spans="1:19">
      <c r="A81" s="123" t="s">
        <v>242</v>
      </c>
      <c r="B81" s="124">
        <v>620</v>
      </c>
      <c r="C81" s="76">
        <v>-0.1448275862</v>
      </c>
      <c r="D81" s="13">
        <v>679</v>
      </c>
      <c r="E81" s="14">
        <f>IF(ISNUMBER(D81), (D81 - $B81) / $B81, "")</f>
        <v>9.5161290322580638E-2</v>
      </c>
      <c r="F81" s="16">
        <f>IF(ISNUMBER(D81), $B91 * E81, "")</f>
        <v>9516.1290322580644</v>
      </c>
      <c r="G81" s="29">
        <v>657</v>
      </c>
      <c r="H81" s="14">
        <f>IF(ISNUMBER(G81), (G81 - $B81) / $B81, "")</f>
        <v>5.9677419354838709E-2</v>
      </c>
      <c r="I81" s="100">
        <f>IF(ISNUMBER(G81), $B91 * H81, "")</f>
        <v>5967.7419354838712</v>
      </c>
      <c r="J81" s="13">
        <v>666</v>
      </c>
      <c r="K81" s="14">
        <f>IF(ISNUMBER(J81), (J81 - $B81) / $B81, "")</f>
        <v>7.4193548387096769E-2</v>
      </c>
      <c r="L81" s="16">
        <f>IF(ISNUMBER(J81), $B91 * K81, "")</f>
        <v>7419.3548387096771</v>
      </c>
      <c r="M81" s="29">
        <v>632</v>
      </c>
      <c r="N81" s="14">
        <f>IF(ISNUMBER(M81), (M81 - $B81) / $B81, "")</f>
        <v>1.935483870967742E-2</v>
      </c>
      <c r="O81" s="16">
        <f>IF(ISNUMBER(M81), $B91 * N81, "")</f>
        <v>1935.483870967742</v>
      </c>
      <c r="Q81" s="239"/>
      <c r="R81" s="240"/>
      <c r="S81" s="241"/>
    </row>
    <row r="82" spans="1:19" ht="17.25" thickBot="1">
      <c r="A82" s="125" t="s">
        <v>266</v>
      </c>
      <c r="B82" s="126">
        <v>306</v>
      </c>
      <c r="C82" s="77">
        <v>-0.1452513966</v>
      </c>
      <c r="D82" s="15">
        <v>305</v>
      </c>
      <c r="E82" s="32">
        <f t="shared" ref="E82:E85" si="38">IF(ISNUMBER(D82), (D82 - $B82) / $B82, "")</f>
        <v>-3.2679738562091504E-3</v>
      </c>
      <c r="F82" s="18">
        <f>IF(ISNUMBER(D82), $B91 * E82, "")</f>
        <v>-326.79738562091507</v>
      </c>
      <c r="G82" s="31">
        <v>294</v>
      </c>
      <c r="H82" s="32">
        <f t="shared" ref="H82:H85" si="39">IF(ISNUMBER(G82), (G82 - $B82) / $B82, "")</f>
        <v>-3.9215686274509803E-2</v>
      </c>
      <c r="I82" s="101">
        <f>IF(ISNUMBER(G82), $B91 * H82, "")</f>
        <v>-3921.5686274509803</v>
      </c>
      <c r="J82" s="15">
        <v>299</v>
      </c>
      <c r="K82" s="32">
        <f t="shared" ref="K82:K85" si="40">IF(ISNUMBER(J82), (J82 - $B82) / $B82, "")</f>
        <v>-2.2875816993464051E-2</v>
      </c>
      <c r="L82" s="18">
        <f>IF(ISNUMBER(J82), $B91 * K82, "")</f>
        <v>-2287.581699346405</v>
      </c>
      <c r="M82" s="31">
        <v>294</v>
      </c>
      <c r="N82" s="32">
        <f t="shared" ref="N82:N85" si="41">IF(ISNUMBER(M82), (M82 - $B82) / $B82, "")</f>
        <v>-3.9215686274509803E-2</v>
      </c>
      <c r="O82" s="18">
        <f>IF(ISNUMBER(M82), $B91 * N82, "")</f>
        <v>-3921.5686274509803</v>
      </c>
      <c r="Q82" s="242"/>
      <c r="R82" s="243"/>
      <c r="S82" s="244"/>
    </row>
    <row r="83" spans="1:19" ht="17.25" thickBot="1">
      <c r="A83" s="125" t="s">
        <v>254</v>
      </c>
      <c r="B83" s="126">
        <v>404</v>
      </c>
      <c r="C83" s="77">
        <v>-0.14767932489999999</v>
      </c>
      <c r="D83" s="15">
        <v>416</v>
      </c>
      <c r="E83" s="32">
        <f t="shared" si="38"/>
        <v>2.9702970297029702E-2</v>
      </c>
      <c r="F83" s="18">
        <f>IF(ISNUMBER(D83), $B91 * E83, "")</f>
        <v>2970.2970297029701</v>
      </c>
      <c r="G83" s="31">
        <v>412</v>
      </c>
      <c r="H83" s="32">
        <f t="shared" si="39"/>
        <v>1.9801980198019802E-2</v>
      </c>
      <c r="I83" s="101">
        <f>IF(ISNUMBER(G83), $B91 * H83, "")</f>
        <v>1980.1980198019803</v>
      </c>
      <c r="J83" s="15">
        <v>431</v>
      </c>
      <c r="K83" s="32">
        <f t="shared" si="40"/>
        <v>6.6831683168316836E-2</v>
      </c>
      <c r="L83" s="18">
        <f>IF(ISNUMBER(J83), $B91 * K83, "")</f>
        <v>6683.1683168316831</v>
      </c>
      <c r="M83" s="31">
        <v>409</v>
      </c>
      <c r="N83" s="32">
        <f t="shared" si="41"/>
        <v>1.2376237623762377E-2</v>
      </c>
      <c r="O83" s="18">
        <f>IF(ISNUMBER(M83), $B91 * N83, "")</f>
        <v>1237.6237623762377</v>
      </c>
      <c r="Q83" s="227"/>
      <c r="R83" s="227"/>
      <c r="S83" s="227"/>
    </row>
    <row r="84" spans="1:19" ht="17.25" thickBot="1">
      <c r="A84" s="125" t="s">
        <v>118</v>
      </c>
      <c r="B84" s="126">
        <v>201</v>
      </c>
      <c r="C84" s="77">
        <v>-0.14830508470000001</v>
      </c>
      <c r="D84" s="15">
        <v>199</v>
      </c>
      <c r="E84" s="32">
        <f t="shared" si="38"/>
        <v>-9.9502487562189053E-3</v>
      </c>
      <c r="F84" s="18">
        <f>IF(ISNUMBER(D84), $B91 * E84, "")</f>
        <v>-995.02487562189049</v>
      </c>
      <c r="G84" s="31">
        <v>197</v>
      </c>
      <c r="H84" s="32">
        <f t="shared" si="39"/>
        <v>-1.9900497512437811E-2</v>
      </c>
      <c r="I84" s="101">
        <f>IF(ISNUMBER(G84), $B91 * H84, "")</f>
        <v>-1990.049751243781</v>
      </c>
      <c r="J84" s="15">
        <v>201</v>
      </c>
      <c r="K84" s="32">
        <f t="shared" si="40"/>
        <v>0</v>
      </c>
      <c r="L84" s="18">
        <f>IF(ISNUMBER(J84), $B91 * K84, "")</f>
        <v>0</v>
      </c>
      <c r="M84" s="31">
        <v>197</v>
      </c>
      <c r="N84" s="32">
        <f t="shared" si="41"/>
        <v>-1.9900497512437811E-2</v>
      </c>
      <c r="O84" s="18">
        <f>IF(ISNUMBER(M84), $B91 * N84, "")</f>
        <v>-1990.049751243781</v>
      </c>
      <c r="Q84" s="222"/>
      <c r="R84" s="222"/>
      <c r="S84" s="222"/>
    </row>
    <row r="85" spans="1:19" ht="17.25" thickBot="1">
      <c r="A85" s="127" t="s">
        <v>238</v>
      </c>
      <c r="B85" s="128">
        <v>132</v>
      </c>
      <c r="C85" s="78">
        <v>-0.15923566880000001</v>
      </c>
      <c r="D85" s="20">
        <v>126</v>
      </c>
      <c r="E85" s="21">
        <f t="shared" si="38"/>
        <v>-4.5454545454545456E-2</v>
      </c>
      <c r="F85" s="22">
        <f>IF(ISNUMBER(D85), $B91 * E85, "")</f>
        <v>-4545.454545454546</v>
      </c>
      <c r="G85" s="30">
        <v>119</v>
      </c>
      <c r="H85" s="21">
        <f t="shared" si="39"/>
        <v>-9.8484848484848481E-2</v>
      </c>
      <c r="I85" s="105">
        <f>IF(ISNUMBER(G85), $B91 * H85, "")</f>
        <v>-9848.484848484848</v>
      </c>
      <c r="J85" s="20">
        <v>121</v>
      </c>
      <c r="K85" s="21">
        <f t="shared" si="40"/>
        <v>-8.3333333333333329E-2</v>
      </c>
      <c r="L85" s="22">
        <f>IF(ISNUMBER(J85), $B91 * K85, "")</f>
        <v>-8333.3333333333321</v>
      </c>
      <c r="M85" s="30">
        <v>119</v>
      </c>
      <c r="N85" s="21">
        <f t="shared" si="41"/>
        <v>-9.8484848484848481E-2</v>
      </c>
      <c r="O85" s="22">
        <f>IF(ISNUMBER(M85), $B91 * N85, "")</f>
        <v>-9848.484848484848</v>
      </c>
      <c r="Q85" s="222"/>
      <c r="R85" s="222"/>
      <c r="S85" s="222"/>
    </row>
    <row r="86" spans="1:19" ht="17.25" thickBot="1">
      <c r="A86" s="125" t="s">
        <v>222</v>
      </c>
      <c r="B86" s="129">
        <v>188</v>
      </c>
      <c r="C86" s="80">
        <v>-0.16071428569999999</v>
      </c>
      <c r="D86" s="106">
        <v>189</v>
      </c>
      <c r="E86" s="107">
        <f>IF(ISNUMBER(D86), (D86 - $B86) / $B86, "")</f>
        <v>5.3191489361702126E-3</v>
      </c>
      <c r="F86" s="108">
        <f>IF(ISNUMBER(D86), $B91 * E86, "")</f>
        <v>531.91489361702122</v>
      </c>
      <c r="G86" s="109">
        <v>171</v>
      </c>
      <c r="H86" s="107">
        <f>IF(ISNUMBER(G86), (G86 - $B86) / $B86, "")</f>
        <v>-9.0425531914893623E-2</v>
      </c>
      <c r="I86" s="110">
        <f>IF(ISNUMBER(G86), $B91 * H86, "")</f>
        <v>-9042.5531914893618</v>
      </c>
      <c r="J86" s="106">
        <v>178</v>
      </c>
      <c r="K86" s="107">
        <f>IF(ISNUMBER(J86), (J86 - $B86) / $B86, "")</f>
        <v>-5.3191489361702128E-2</v>
      </c>
      <c r="L86" s="108">
        <f>IF(ISNUMBER(J86), $B91 * K86, "")</f>
        <v>-5319.1489361702124</v>
      </c>
      <c r="M86" s="109">
        <v>182</v>
      </c>
      <c r="N86" s="107">
        <f>IF(ISNUMBER(M86), (M86 - $B86) / $B86, "")</f>
        <v>-3.1914893617021274E-2</v>
      </c>
      <c r="O86" s="108">
        <f>IF(ISNUMBER(M86), $B91 * N86, "")</f>
        <v>-3191.4893617021276</v>
      </c>
      <c r="Q86" s="227"/>
      <c r="R86" s="227"/>
      <c r="S86" s="227"/>
    </row>
    <row r="87" spans="1:19" ht="17.25" thickBot="1">
      <c r="A87" s="125" t="s">
        <v>220</v>
      </c>
      <c r="B87" s="126">
        <v>240</v>
      </c>
      <c r="C87" s="77">
        <v>-0.16083916079999999</v>
      </c>
      <c r="D87" s="15">
        <v>236</v>
      </c>
      <c r="E87" s="32">
        <f t="shared" ref="E87:E90" si="42">IF(ISNUMBER(D87), (D87 - $B87) / $B87, "")</f>
        <v>-1.6666666666666666E-2</v>
      </c>
      <c r="F87" s="18">
        <f>IF(ISNUMBER(D87), $B91 * E87, "")</f>
        <v>-1666.6666666666667</v>
      </c>
      <c r="G87" s="31">
        <v>225</v>
      </c>
      <c r="H87" s="32">
        <f t="shared" ref="H87:H90" si="43">IF(ISNUMBER(G87), (G87 - $B87) / $B87, "")</f>
        <v>-6.25E-2</v>
      </c>
      <c r="I87" s="101">
        <f>IF(ISNUMBER(G87), $B91 * H87, "")</f>
        <v>-6250</v>
      </c>
      <c r="J87" s="15">
        <v>230</v>
      </c>
      <c r="K87" s="32">
        <f t="shared" ref="K87:K90" si="44">IF(ISNUMBER(J87), (J87 - $B87) / $B87, "")</f>
        <v>-4.1666666666666664E-2</v>
      </c>
      <c r="L87" s="18">
        <f>IF(ISNUMBER(J87), $B91 * K87, "")</f>
        <v>-4166.6666666666661</v>
      </c>
      <c r="M87" s="31">
        <v>227</v>
      </c>
      <c r="N87" s="32">
        <f t="shared" ref="N87:N90" si="45">IF(ISNUMBER(M87), (M87 - $B87) / $B87, "")</f>
        <v>-5.4166666666666669E-2</v>
      </c>
      <c r="O87" s="18">
        <f>IF(ISNUMBER(M87), $B91 * N87, "")</f>
        <v>-5416.666666666667</v>
      </c>
      <c r="Q87" s="227"/>
      <c r="R87" s="227"/>
      <c r="S87" s="227"/>
    </row>
    <row r="88" spans="1:19" ht="17.25" thickBot="1">
      <c r="A88" s="125" t="s">
        <v>218</v>
      </c>
      <c r="B88" s="126">
        <v>145</v>
      </c>
      <c r="C88" s="77">
        <v>-0.16184971100000001</v>
      </c>
      <c r="D88" s="15">
        <v>135</v>
      </c>
      <c r="E88" s="32">
        <f t="shared" si="42"/>
        <v>-6.8965517241379309E-2</v>
      </c>
      <c r="F88" s="18">
        <f>IF(ISNUMBER(D88), $B91 * E88, "")</f>
        <v>-6896.5517241379312</v>
      </c>
      <c r="G88" s="31">
        <v>130</v>
      </c>
      <c r="H88" s="32">
        <f t="shared" si="43"/>
        <v>-0.10344827586206896</v>
      </c>
      <c r="I88" s="101">
        <f>IF(ISNUMBER(G88), $B91 * H88, "")</f>
        <v>-10344.827586206897</v>
      </c>
      <c r="J88" s="15">
        <v>132</v>
      </c>
      <c r="K88" s="32">
        <f t="shared" si="44"/>
        <v>-8.9655172413793102E-2</v>
      </c>
      <c r="L88" s="18">
        <f>IF(ISNUMBER(J88), $B91 * K88, "")</f>
        <v>-8965.5172413793098</v>
      </c>
      <c r="M88" s="31">
        <v>131</v>
      </c>
      <c r="N88" s="32">
        <f t="shared" si="45"/>
        <v>-9.6551724137931033E-2</v>
      </c>
      <c r="O88" s="18">
        <f>IF(ISNUMBER(M88), $B91 * N88, "")</f>
        <v>-9655.1724137931033</v>
      </c>
      <c r="Q88" s="227"/>
      <c r="R88" s="227"/>
      <c r="S88" s="227"/>
    </row>
    <row r="89" spans="1:19">
      <c r="A89" s="125" t="s">
        <v>57</v>
      </c>
      <c r="B89" s="126">
        <v>229</v>
      </c>
      <c r="C89" s="77">
        <v>-0.16423357659999999</v>
      </c>
      <c r="D89" s="15">
        <v>223</v>
      </c>
      <c r="E89" s="32">
        <f t="shared" si="42"/>
        <v>-2.6200873362445413E-2</v>
      </c>
      <c r="F89" s="18">
        <f>IF(ISNUMBER(D89), $B91 * E89, "")</f>
        <v>-2620.0873362445413</v>
      </c>
      <c r="G89" s="31">
        <v>216</v>
      </c>
      <c r="H89" s="32">
        <f t="shared" si="43"/>
        <v>-5.6768558951965066E-2</v>
      </c>
      <c r="I89" s="101">
        <f>IF(ISNUMBER(G89), $B91 * H89, "")</f>
        <v>-5676.8558951965069</v>
      </c>
      <c r="J89" s="15">
        <v>219</v>
      </c>
      <c r="K89" s="32">
        <f t="shared" si="44"/>
        <v>-4.3668122270742356E-2</v>
      </c>
      <c r="L89" s="18">
        <f>IF(ISNUMBER(J89), $B91 * K89, "")</f>
        <v>-4366.812227074236</v>
      </c>
      <c r="M89" s="31">
        <v>217</v>
      </c>
      <c r="N89" s="32">
        <f t="shared" si="45"/>
        <v>-5.2401746724890827E-2</v>
      </c>
      <c r="O89" s="18">
        <f>IF(ISNUMBER(M89), $B91 * N89, "")</f>
        <v>-5240.1746724890827</v>
      </c>
      <c r="Q89" s="249"/>
      <c r="R89" s="250"/>
      <c r="S89" s="251"/>
    </row>
    <row r="90" spans="1:19" ht="17.25" thickBot="1">
      <c r="A90" s="130" t="s">
        <v>200</v>
      </c>
      <c r="B90" s="131">
        <v>218</v>
      </c>
      <c r="C90" s="79">
        <v>-0.16475095789999999</v>
      </c>
      <c r="D90" s="24">
        <v>215</v>
      </c>
      <c r="E90" s="25">
        <f t="shared" si="42"/>
        <v>-1.3761467889908258E-2</v>
      </c>
      <c r="F90" s="104">
        <f>IF(ISNUMBER(D90), $B91 * E90, "")</f>
        <v>-1376.1467889908258</v>
      </c>
      <c r="G90" s="102">
        <v>207</v>
      </c>
      <c r="H90" s="25">
        <f t="shared" si="43"/>
        <v>-5.0458715596330278E-2</v>
      </c>
      <c r="I90" s="103">
        <f>IF(ISNUMBER(G90), $B91 * H90, "")</f>
        <v>-5045.8715596330276</v>
      </c>
      <c r="J90" s="24">
        <v>212</v>
      </c>
      <c r="K90" s="25">
        <f t="shared" si="44"/>
        <v>-2.7522935779816515E-2</v>
      </c>
      <c r="L90" s="104">
        <f>IF(ISNUMBER(J90), $B91 * K90, "")</f>
        <v>-2752.2935779816517</v>
      </c>
      <c r="M90" s="102">
        <v>207</v>
      </c>
      <c r="N90" s="25">
        <f t="shared" si="45"/>
        <v>-5.0458715596330278E-2</v>
      </c>
      <c r="O90" s="104">
        <f>IF(ISNUMBER(M90), $B91 * N90, "")</f>
        <v>-5045.8715596330276</v>
      </c>
      <c r="Q90" s="252"/>
      <c r="R90" s="253"/>
      <c r="S90" s="254"/>
    </row>
    <row r="91" spans="1:19" ht="17.25" thickBot="1">
      <c r="A91" s="132" t="s">
        <v>270</v>
      </c>
      <c r="B91" s="260">
        <f>$B$37</f>
        <v>100000</v>
      </c>
      <c r="C91" s="261"/>
      <c r="D91" s="26" t="s">
        <v>271</v>
      </c>
      <c r="E91" s="27">
        <f>IF(COUNT(E71:E90), SUM(E71:E90) / COUNT(E71:E90), 0)</f>
        <v>-1.6318973385092261E-3</v>
      </c>
      <c r="F91" s="28">
        <f>SUM(F71:F90)</f>
        <v>-3263.794677018449</v>
      </c>
      <c r="G91" s="26" t="s">
        <v>271</v>
      </c>
      <c r="H91" s="27">
        <f>IF(COUNT(H71:H90), SUM(H71:H90) / COUNT(H71:H90), 0)</f>
        <v>-3.7312438863878951E-2</v>
      </c>
      <c r="I91" s="28">
        <f>SUM(I71:I90)</f>
        <v>-74624.877727757892</v>
      </c>
      <c r="J91" s="26" t="s">
        <v>271</v>
      </c>
      <c r="K91" s="27">
        <f>IF(COUNT(K71:K90), SUM(K71:K90) / COUNT(K71:K90), 0)</f>
        <v>-1.4754713517619533E-2</v>
      </c>
      <c r="L91" s="28">
        <f>SUM(L71:L90)</f>
        <v>-29509.427035239067</v>
      </c>
      <c r="M91" s="26" t="s">
        <v>271</v>
      </c>
      <c r="N91" s="27">
        <f>IF(COUNT(N71:N90), SUM(N71:N90) / COUNT(N71:N90), 0)</f>
        <v>-3.5074670010317111E-2</v>
      </c>
      <c r="O91" s="28">
        <f>SUM(O71:O90)</f>
        <v>-70149.340020634205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85" t="s">
        <v>267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55149000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2.1442459999999998E-3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2021-09-08(수) 오전 00:00</v>
      </c>
      <c r="C96" s="265"/>
      <c r="D96" s="224" t="str">
        <f>TEXT($G$1, "[$-ko-KR]yyyy-mm-dd(ddd) ") &amp; "오후 14:00"</f>
        <v>2021-09-08(수) 오후 14:00</v>
      </c>
      <c r="E96" s="225"/>
      <c r="F96" s="226"/>
      <c r="G96" s="224" t="str">
        <f>TEXT($G$1, "[$-ko-KR]yyyy-mm-dd(ddd) ") &amp; "오후 19:00"</f>
        <v>2021-09-08(수) 오후 19:00</v>
      </c>
      <c r="H96" s="225"/>
      <c r="I96" s="226"/>
      <c r="J96" s="224" t="str">
        <f>TEXT($G$1, "[$-ko-KR]yyyy-mm-dd(ddd) ") &amp; "오후 21:00"</f>
        <v>2021-09-08(수) 오후 21:00</v>
      </c>
      <c r="K96" s="225"/>
      <c r="L96" s="226"/>
      <c r="M96" s="224" t="str">
        <f>TEXT($G$1+1, "[$-ko-KR]yyyy-mm-dd(ddd) ") &amp; "오전 00:00"</f>
        <v>2021-09-09(목)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7"/>
      <c r="R97" s="227"/>
      <c r="S97" s="227"/>
    </row>
    <row r="98" spans="1:19" ht="17.25" thickBot="1">
      <c r="A98" s="123" t="s">
        <v>228</v>
      </c>
      <c r="B98" s="124">
        <v>1120</v>
      </c>
      <c r="C98" s="76">
        <v>0.2253829322</v>
      </c>
      <c r="D98" s="13">
        <v>1080</v>
      </c>
      <c r="E98" s="14">
        <f>IF(ISNUMBER(D98), (D98 - $B98) / $B98, "")</f>
        <v>-3.5714285714285712E-2</v>
      </c>
      <c r="F98" s="16">
        <f>IF(ISNUMBER(D98), $B118 * E98, "")</f>
        <v>-3571.4285714285711</v>
      </c>
      <c r="G98" s="29">
        <v>1000</v>
      </c>
      <c r="H98" s="14">
        <f>IF(ISNUMBER(G98), (G98 - $B98) / $B98, "")</f>
        <v>-0.10714285714285714</v>
      </c>
      <c r="I98" s="100">
        <f>IF(ISNUMBER(G98), $B118 * H98, "")</f>
        <v>-10714.285714285714</v>
      </c>
      <c r="J98" s="13">
        <v>1000</v>
      </c>
      <c r="K98" s="14">
        <f>IF(ISNUMBER(J98), (J98 - $B98) / $B98, "")</f>
        <v>-0.10714285714285714</v>
      </c>
      <c r="L98" s="16">
        <f>IF(ISNUMBER(J98), $B118 * K98, "")</f>
        <v>-10714.285714285714</v>
      </c>
      <c r="M98" s="29">
        <v>995</v>
      </c>
      <c r="N98" s="14">
        <f>IF(ISNUMBER(M98), (M98 - $B98) / $B98, "")</f>
        <v>-0.11160714285714286</v>
      </c>
      <c r="O98" s="16">
        <f>IF(ISNUMBER(M98), $B118 * N98, "")</f>
        <v>-11160.714285714286</v>
      </c>
      <c r="Q98" s="222"/>
      <c r="R98" s="222"/>
      <c r="S98" s="222"/>
    </row>
    <row r="99" spans="1:19" ht="17.25" thickBot="1">
      <c r="A99" s="125" t="s">
        <v>232</v>
      </c>
      <c r="B99" s="126">
        <v>940</v>
      </c>
      <c r="C99" s="77">
        <v>3.07017544E-2</v>
      </c>
      <c r="D99" s="15">
        <v>983</v>
      </c>
      <c r="E99" s="32">
        <f t="shared" ref="E99:E102" si="46">IF(ISNUMBER(D99), (D99 - $B99) / $B99, "")</f>
        <v>4.5744680851063826E-2</v>
      </c>
      <c r="F99" s="18">
        <f>IF(ISNUMBER(D99), $B118 * E99, "")</f>
        <v>4574.4680851063822</v>
      </c>
      <c r="G99" s="31">
        <v>945</v>
      </c>
      <c r="H99" s="32">
        <f t="shared" ref="H99:H102" si="47">IF(ISNUMBER(G99), (G99 - $B99) / $B99, "")</f>
        <v>5.3191489361702126E-3</v>
      </c>
      <c r="I99" s="101">
        <f>IF(ISNUMBER(G99), $B118 * H99, "")</f>
        <v>531.91489361702122</v>
      </c>
      <c r="J99" s="15">
        <v>980</v>
      </c>
      <c r="K99" s="32">
        <f t="shared" ref="K99:K102" si="48">IF(ISNUMBER(J99), (J99 - $B99) / $B99, "")</f>
        <v>4.2553191489361701E-2</v>
      </c>
      <c r="L99" s="18">
        <f>IF(ISNUMBER(J99), $B118 * K99, "")</f>
        <v>4255.3191489361698</v>
      </c>
      <c r="M99" s="31">
        <v>950</v>
      </c>
      <c r="N99" s="32">
        <f t="shared" ref="N99:N102" si="49">IF(ISNUMBER(M99), (M99 - $B99) / $B99, "")</f>
        <v>1.0638297872340425E-2</v>
      </c>
      <c r="O99" s="18">
        <f>IF(ISNUMBER(M99), $B118 * N99, "")</f>
        <v>1063.8297872340424</v>
      </c>
      <c r="Q99" s="222"/>
      <c r="R99" s="222"/>
      <c r="S99" s="222"/>
    </row>
    <row r="100" spans="1:19" ht="17.25" thickBot="1">
      <c r="A100" s="125" t="s">
        <v>206</v>
      </c>
      <c r="B100" s="126">
        <v>889</v>
      </c>
      <c r="C100" s="77">
        <v>1.6E-2</v>
      </c>
      <c r="D100" s="15">
        <v>927</v>
      </c>
      <c r="E100" s="32">
        <f t="shared" si="46"/>
        <v>4.2744656917885267E-2</v>
      </c>
      <c r="F100" s="18">
        <f>IF(ISNUMBER(D100), $B118 * E100, "")</f>
        <v>4274.4656917885268</v>
      </c>
      <c r="G100" s="31">
        <v>874</v>
      </c>
      <c r="H100" s="32">
        <f t="shared" si="47"/>
        <v>-1.6872890888638921E-2</v>
      </c>
      <c r="I100" s="101">
        <f>IF(ISNUMBER(G100), $B118 * H100, "")</f>
        <v>-1687.2890888638922</v>
      </c>
      <c r="J100" s="15">
        <v>883</v>
      </c>
      <c r="K100" s="32">
        <f t="shared" si="48"/>
        <v>-6.7491563554555678E-3</v>
      </c>
      <c r="L100" s="18">
        <f>IF(ISNUMBER(J100), $B118 * K100, "")</f>
        <v>-674.91563554555682</v>
      </c>
      <c r="M100" s="31">
        <v>850</v>
      </c>
      <c r="N100" s="32">
        <f t="shared" si="49"/>
        <v>-4.3869516310461196E-2</v>
      </c>
      <c r="O100" s="18">
        <f>IF(ISNUMBER(M100), $B118 * N100, "")</f>
        <v>-4386.9516310461195</v>
      </c>
      <c r="Q100" s="227"/>
      <c r="R100" s="227"/>
      <c r="S100" s="227"/>
    </row>
    <row r="101" spans="1:19" ht="17.25" thickBot="1">
      <c r="A101" s="125" t="s">
        <v>69</v>
      </c>
      <c r="B101" s="126">
        <v>10030</v>
      </c>
      <c r="C101" s="77">
        <v>-4.1108986600000001E-2</v>
      </c>
      <c r="D101" s="15">
        <v>9975</v>
      </c>
      <c r="E101" s="32">
        <f t="shared" si="46"/>
        <v>-5.4835493519441673E-3</v>
      </c>
      <c r="F101" s="18">
        <f>IF(ISNUMBER(D101), $B118 * E101, "")</f>
        <v>-548.35493519441673</v>
      </c>
      <c r="G101" s="31">
        <v>9295</v>
      </c>
      <c r="H101" s="32">
        <f t="shared" si="47"/>
        <v>-7.3280159521435698E-2</v>
      </c>
      <c r="I101" s="101">
        <f>IF(ISNUMBER(G101), $B118 * H101, "")</f>
        <v>-7328.0159521435698</v>
      </c>
      <c r="J101" s="15">
        <v>9425</v>
      </c>
      <c r="K101" s="32">
        <f t="shared" si="48"/>
        <v>-6.0319042871385842E-2</v>
      </c>
      <c r="L101" s="18">
        <f>IF(ISNUMBER(J101), $B118 * K101, "")</f>
        <v>-6031.9042871385846</v>
      </c>
      <c r="M101" s="31">
        <v>9180</v>
      </c>
      <c r="N101" s="32">
        <f t="shared" si="49"/>
        <v>-8.4745762711864403E-2</v>
      </c>
      <c r="O101" s="18">
        <f>IF(ISNUMBER(M101), $B118 * N101, "")</f>
        <v>-8474.5762711864409</v>
      </c>
      <c r="Q101" s="227"/>
      <c r="R101" s="227"/>
      <c r="S101" s="227"/>
    </row>
    <row r="102" spans="1:19" ht="17.25" thickBot="1">
      <c r="A102" s="127" t="s">
        <v>49</v>
      </c>
      <c r="B102" s="128">
        <v>57036000</v>
      </c>
      <c r="C102" s="78">
        <v>-6.2509245699999993E-2</v>
      </c>
      <c r="D102" s="20">
        <v>55434000</v>
      </c>
      <c r="E102" s="21">
        <f t="shared" si="46"/>
        <v>-2.8087523669261517E-2</v>
      </c>
      <c r="F102" s="22">
        <f>IF(ISNUMBER(D102), $B118 * E102, "")</f>
        <v>-2808.7523669261518</v>
      </c>
      <c r="G102" s="30">
        <v>55321000</v>
      </c>
      <c r="H102" s="21">
        <f t="shared" si="47"/>
        <v>-3.006872852233677E-2</v>
      </c>
      <c r="I102" s="105">
        <f>IF(ISNUMBER(G102), $B118 * H102, "")</f>
        <v>-3006.8728522336769</v>
      </c>
      <c r="J102" s="20">
        <v>55902000</v>
      </c>
      <c r="K102" s="21">
        <f t="shared" si="48"/>
        <v>-1.9882179675994108E-2</v>
      </c>
      <c r="L102" s="22">
        <f>IF(ISNUMBER(J102), $B118 * K102, "")</f>
        <v>-1988.2179675994107</v>
      </c>
      <c r="M102" s="30">
        <v>54913000</v>
      </c>
      <c r="N102" s="21">
        <f t="shared" si="49"/>
        <v>-3.7222105336980151E-2</v>
      </c>
      <c r="O102" s="22">
        <f>IF(ISNUMBER(M102), $B118 * N102, "")</f>
        <v>-3722.2105336980148</v>
      </c>
      <c r="Q102" s="227"/>
      <c r="R102" s="227"/>
      <c r="S102" s="227"/>
    </row>
    <row r="103" spans="1:19" ht="17.25" thickBot="1">
      <c r="A103" s="125" t="s">
        <v>192</v>
      </c>
      <c r="B103" s="129">
        <v>364</v>
      </c>
      <c r="C103" s="80">
        <v>-6.6666666700000002E-2</v>
      </c>
      <c r="D103" s="106">
        <v>353</v>
      </c>
      <c r="E103" s="107">
        <f>IF(ISNUMBER(D103), (D103 - $B103) / $B103, "")</f>
        <v>-3.021978021978022E-2</v>
      </c>
      <c r="F103" s="108">
        <f>IF(ISNUMBER(D103), $B118 * E103, "")</f>
        <v>-3021.9780219780218</v>
      </c>
      <c r="G103" s="109">
        <v>335</v>
      </c>
      <c r="H103" s="107">
        <f>IF(ISNUMBER(G103), (G103 - $B103) / $B103, "")</f>
        <v>-7.9670329670329665E-2</v>
      </c>
      <c r="I103" s="110">
        <f>IF(ISNUMBER(G103), $B118 * H103, "")</f>
        <v>-7967.0329670329666</v>
      </c>
      <c r="J103" s="106">
        <v>342</v>
      </c>
      <c r="K103" s="107">
        <f>IF(ISNUMBER(J103), (J103 - $B103) / $B103, "")</f>
        <v>-6.043956043956044E-2</v>
      </c>
      <c r="L103" s="108">
        <f>IF(ISNUMBER(J103), $B118 * K103, "")</f>
        <v>-6043.9560439560437</v>
      </c>
      <c r="M103" s="109">
        <v>335</v>
      </c>
      <c r="N103" s="107">
        <f>IF(ISNUMBER(M103), (M103 - $B103) / $B103, "")</f>
        <v>-7.9670329670329665E-2</v>
      </c>
      <c r="O103" s="108">
        <f>IF(ISNUMBER(M103), $B118 * N103, "")</f>
        <v>-7967.0329670329666</v>
      </c>
      <c r="Q103" s="227"/>
      <c r="R103" s="227"/>
      <c r="S103" s="227"/>
    </row>
    <row r="104" spans="1:19" ht="17.25" thickBot="1">
      <c r="A104" s="125" t="s">
        <v>164</v>
      </c>
      <c r="B104" s="126">
        <v>900</v>
      </c>
      <c r="C104" s="77">
        <v>-7.4074074099999998E-2</v>
      </c>
      <c r="D104" s="15">
        <v>1000</v>
      </c>
      <c r="E104" s="32">
        <f t="shared" ref="E104:E107" si="50">IF(ISNUMBER(D104), (D104 - $B104) / $B104, "")</f>
        <v>0.1111111111111111</v>
      </c>
      <c r="F104" s="18">
        <f>IF(ISNUMBER(D104), $B118 * E104, "")</f>
        <v>11111.111111111111</v>
      </c>
      <c r="G104" s="31">
        <v>977</v>
      </c>
      <c r="H104" s="32">
        <f t="shared" ref="H104:H107" si="51">IF(ISNUMBER(G104), (G104 - $B104) / $B104, "")</f>
        <v>8.5555555555555551E-2</v>
      </c>
      <c r="I104" s="101">
        <f>IF(ISNUMBER(G104), $B118 * H104, "")</f>
        <v>8555.5555555555547</v>
      </c>
      <c r="J104" s="15">
        <v>978</v>
      </c>
      <c r="K104" s="32">
        <f t="shared" ref="K104:K107" si="52">IF(ISNUMBER(J104), (J104 - $B104) / $B104, "")</f>
        <v>8.666666666666667E-2</v>
      </c>
      <c r="L104" s="18">
        <f>IF(ISNUMBER(J104), $B118 * K104, "")</f>
        <v>8666.6666666666661</v>
      </c>
      <c r="M104" s="31">
        <v>948</v>
      </c>
      <c r="N104" s="32">
        <f t="shared" ref="N104:N107" si="53">IF(ISNUMBER(M104), (M104 - $B104) / $B104, "")</f>
        <v>5.3333333333333337E-2</v>
      </c>
      <c r="O104" s="18">
        <f>IF(ISNUMBER(M104), $B118 * N104, "")</f>
        <v>5333.3333333333339</v>
      </c>
      <c r="Q104" s="227"/>
      <c r="R104" s="227"/>
      <c r="S104" s="227"/>
    </row>
    <row r="105" spans="1:19" ht="17.25" thickBot="1">
      <c r="A105" s="125" t="s">
        <v>234</v>
      </c>
      <c r="B105" s="126">
        <v>94.2</v>
      </c>
      <c r="C105" s="77">
        <v>-7.6470588199999995E-2</v>
      </c>
      <c r="D105" s="15">
        <v>88.3</v>
      </c>
      <c r="E105" s="32">
        <f t="shared" si="50"/>
        <v>-6.263269639065823E-2</v>
      </c>
      <c r="F105" s="18">
        <f>IF(ISNUMBER(D105), $B118 * E105, "")</f>
        <v>-6263.269639065823</v>
      </c>
      <c r="G105" s="31">
        <v>84</v>
      </c>
      <c r="H105" s="32">
        <f t="shared" si="51"/>
        <v>-0.1082802547770701</v>
      </c>
      <c r="I105" s="101">
        <f>IF(ISNUMBER(G105), $B118 * H105, "")</f>
        <v>-10828.025477707009</v>
      </c>
      <c r="J105" s="15">
        <v>85.6</v>
      </c>
      <c r="K105" s="32">
        <f t="shared" si="52"/>
        <v>-9.129511677282387E-2</v>
      </c>
      <c r="L105" s="18">
        <f>IF(ISNUMBER(J105), $B118 * K105, "")</f>
        <v>-9129.5116772823876</v>
      </c>
      <c r="M105" s="31">
        <v>84.6</v>
      </c>
      <c r="N105" s="32">
        <f t="shared" si="53"/>
        <v>-0.1019108280254778</v>
      </c>
      <c r="O105" s="18">
        <f>IF(ISNUMBER(M105), $B118 * N105, "")</f>
        <v>-10191.08280254778</v>
      </c>
      <c r="Q105" s="227"/>
      <c r="R105" s="227"/>
      <c r="S105" s="227"/>
    </row>
    <row r="106" spans="1:19" ht="17.25" thickBot="1">
      <c r="A106" s="125" t="s">
        <v>54</v>
      </c>
      <c r="B106" s="126">
        <v>332</v>
      </c>
      <c r="C106" s="77">
        <v>-8.0332410000000007E-2</v>
      </c>
      <c r="D106" s="15">
        <v>329</v>
      </c>
      <c r="E106" s="32">
        <f t="shared" si="50"/>
        <v>-9.0361445783132526E-3</v>
      </c>
      <c r="F106" s="18">
        <f>IF(ISNUMBER(D106), $B118 * E106, "")</f>
        <v>-903.61445783132524</v>
      </c>
      <c r="G106" s="31">
        <v>319</v>
      </c>
      <c r="H106" s="32">
        <f t="shared" si="51"/>
        <v>-3.9156626506024098E-2</v>
      </c>
      <c r="I106" s="101">
        <f>IF(ISNUMBER(G106), $B118 * H106, "")</f>
        <v>-3915.6626506024099</v>
      </c>
      <c r="J106" s="15">
        <v>330</v>
      </c>
      <c r="K106" s="32">
        <f t="shared" si="52"/>
        <v>-6.024096385542169E-3</v>
      </c>
      <c r="L106" s="18">
        <f>IF(ISNUMBER(J106), $B118 * K106, "")</f>
        <v>-602.40963855421694</v>
      </c>
      <c r="M106" s="31">
        <v>333</v>
      </c>
      <c r="N106" s="32">
        <f t="shared" si="53"/>
        <v>3.0120481927710845E-3</v>
      </c>
      <c r="O106" s="18">
        <f>IF(ISNUMBER(M106), $B118 * N106, "")</f>
        <v>301.20481927710847</v>
      </c>
      <c r="Q106" s="33"/>
      <c r="R106" s="33"/>
    </row>
    <row r="107" spans="1:19" ht="17.25" thickBot="1">
      <c r="A107" s="130" t="s">
        <v>94</v>
      </c>
      <c r="B107" s="131">
        <v>4159000</v>
      </c>
      <c r="C107" s="79">
        <v>-8.3314965800000002E-2</v>
      </c>
      <c r="D107" s="24">
        <v>4128000</v>
      </c>
      <c r="E107" s="25">
        <f t="shared" si="50"/>
        <v>-7.4537148352969464E-3</v>
      </c>
      <c r="F107" s="104">
        <f>IF(ISNUMBER(D107), $B118 * E107, "")</f>
        <v>-745.37148352969461</v>
      </c>
      <c r="G107" s="102">
        <v>4021000</v>
      </c>
      <c r="H107" s="25">
        <f t="shared" si="51"/>
        <v>-3.3181053137773503E-2</v>
      </c>
      <c r="I107" s="103">
        <f>IF(ISNUMBER(G107), $B118 * H107, "")</f>
        <v>-3318.1053137773501</v>
      </c>
      <c r="J107" s="24">
        <v>4125000</v>
      </c>
      <c r="K107" s="25">
        <f t="shared" si="52"/>
        <v>-8.1750420774224578E-3</v>
      </c>
      <c r="L107" s="104">
        <f>IF(ISNUMBER(J107), $B118 * K107, "")</f>
        <v>-817.50420774224574</v>
      </c>
      <c r="M107" s="102">
        <v>4045000</v>
      </c>
      <c r="N107" s="25">
        <f t="shared" si="53"/>
        <v>-2.7410435200769415E-2</v>
      </c>
      <c r="O107" s="104">
        <f>IF(ISNUMBER(M107), $B118 * N107, "")</f>
        <v>-2741.0435200769416</v>
      </c>
      <c r="Q107" s="236"/>
      <c r="R107" s="237"/>
      <c r="S107" s="238"/>
    </row>
    <row r="108" spans="1:19">
      <c r="A108" s="123" t="s">
        <v>130</v>
      </c>
      <c r="B108" s="124">
        <v>154</v>
      </c>
      <c r="C108" s="76">
        <v>-8.3333333300000006E-2</v>
      </c>
      <c r="D108" s="13">
        <v>146</v>
      </c>
      <c r="E108" s="14">
        <f>IF(ISNUMBER(D108), (D108 - $B108) / $B108, "")</f>
        <v>-5.1948051948051951E-2</v>
      </c>
      <c r="F108" s="16">
        <f>IF(ISNUMBER(D108), $B118 * E108, "")</f>
        <v>-5194.8051948051952</v>
      </c>
      <c r="G108" s="29">
        <v>140</v>
      </c>
      <c r="H108" s="14">
        <f>IF(ISNUMBER(G108), (G108 - $B108) / $B108, "")</f>
        <v>-9.0909090909090912E-2</v>
      </c>
      <c r="I108" s="100">
        <f>IF(ISNUMBER(G108), $B118 * H108, "")</f>
        <v>-9090.9090909090919</v>
      </c>
      <c r="J108" s="13">
        <v>145</v>
      </c>
      <c r="K108" s="14">
        <f>IF(ISNUMBER(J108), (J108 - $B108) / $B108, "")</f>
        <v>-5.844155844155844E-2</v>
      </c>
      <c r="L108" s="16">
        <f>IF(ISNUMBER(J108), $B118 * K108, "")</f>
        <v>-5844.1558441558436</v>
      </c>
      <c r="M108" s="29">
        <v>142</v>
      </c>
      <c r="N108" s="14">
        <f>IF(ISNUMBER(M108), (M108 - $B108) / $B108, "")</f>
        <v>-7.792207792207792E-2</v>
      </c>
      <c r="O108" s="16">
        <f>IF(ISNUMBER(M108), $B118 * N108, "")</f>
        <v>-7792.2077922077924</v>
      </c>
      <c r="Q108" s="239"/>
      <c r="R108" s="240"/>
      <c r="S108" s="241"/>
    </row>
    <row r="109" spans="1:19" ht="17.25" thickBot="1">
      <c r="A109" s="125" t="s">
        <v>65</v>
      </c>
      <c r="B109" s="126">
        <v>66.8</v>
      </c>
      <c r="C109" s="77">
        <v>-0.10215053759999999</v>
      </c>
      <c r="D109" s="15">
        <v>70.7</v>
      </c>
      <c r="E109" s="32">
        <f t="shared" ref="E109:E112" si="54">IF(ISNUMBER(D109), (D109 - $B109) / $B109, "")</f>
        <v>5.8383233532934217E-2</v>
      </c>
      <c r="F109" s="18">
        <f>IF(ISNUMBER(D109), $B118 * E109, "")</f>
        <v>5838.3233532934219</v>
      </c>
      <c r="G109" s="31">
        <v>70.2</v>
      </c>
      <c r="H109" s="32">
        <f t="shared" ref="H109:H112" si="55">IF(ISNUMBER(G109), (G109 - $B109) / $B109, "")</f>
        <v>5.089820359281446E-2</v>
      </c>
      <c r="I109" s="101">
        <f>IF(ISNUMBER(G109), $B118 * H109, "")</f>
        <v>5089.8203592814461</v>
      </c>
      <c r="J109" s="15">
        <v>80.3</v>
      </c>
      <c r="K109" s="32">
        <f t="shared" ref="K109:K112" si="56">IF(ISNUMBER(J109), (J109 - $B109) / $B109, "")</f>
        <v>0.20209580838323354</v>
      </c>
      <c r="L109" s="18">
        <f>IF(ISNUMBER(J109), $B118 * K109, "")</f>
        <v>20209.580838323356</v>
      </c>
      <c r="M109" s="31">
        <v>76.900000000000006</v>
      </c>
      <c r="N109" s="32">
        <f t="shared" ref="N109:N112" si="57">IF(ISNUMBER(M109), (M109 - $B109) / $B109, "")</f>
        <v>0.1511976047904193</v>
      </c>
      <c r="O109" s="18">
        <f>IF(ISNUMBER(M109), $B118 * N109, "")</f>
        <v>15119.76047904193</v>
      </c>
      <c r="Q109" s="242"/>
      <c r="R109" s="243"/>
      <c r="S109" s="244"/>
    </row>
    <row r="110" spans="1:19" ht="17.25" thickBot="1">
      <c r="A110" s="125" t="s">
        <v>236</v>
      </c>
      <c r="B110" s="126">
        <v>740</v>
      </c>
      <c r="C110" s="77">
        <v>-0.1084337349</v>
      </c>
      <c r="D110" s="15">
        <v>697</v>
      </c>
      <c r="E110" s="32">
        <f t="shared" si="54"/>
        <v>-5.8108108108108111E-2</v>
      </c>
      <c r="F110" s="18">
        <f>IF(ISNUMBER(D110), $B118 * E110, "")</f>
        <v>-5810.8108108108108</v>
      </c>
      <c r="G110" s="31">
        <v>668</v>
      </c>
      <c r="H110" s="32">
        <f t="shared" si="55"/>
        <v>-9.7297297297297303E-2</v>
      </c>
      <c r="I110" s="101">
        <f>IF(ISNUMBER(G110), $B118 * H110, "")</f>
        <v>-9729.72972972973</v>
      </c>
      <c r="J110" s="15">
        <v>679</v>
      </c>
      <c r="K110" s="32">
        <f t="shared" si="56"/>
        <v>-8.2432432432432437E-2</v>
      </c>
      <c r="L110" s="18">
        <f>IF(ISNUMBER(J110), $B118 * K110, "")</f>
        <v>-8243.2432432432433</v>
      </c>
      <c r="M110" s="31">
        <v>676</v>
      </c>
      <c r="N110" s="32">
        <f t="shared" si="57"/>
        <v>-8.6486486486486491E-2</v>
      </c>
      <c r="O110" s="18">
        <f>IF(ISNUMBER(M110), $B118 * N110, "")</f>
        <v>-8648.6486486486483</v>
      </c>
      <c r="Q110" s="227"/>
      <c r="R110" s="227"/>
      <c r="S110" s="227"/>
    </row>
    <row r="111" spans="1:19" ht="17.25" thickBot="1">
      <c r="A111" s="125" t="s">
        <v>146</v>
      </c>
      <c r="B111" s="126">
        <v>3975</v>
      </c>
      <c r="C111" s="77">
        <v>-0.1127232143</v>
      </c>
      <c r="D111" s="15">
        <v>3195</v>
      </c>
      <c r="E111" s="32">
        <f t="shared" si="54"/>
        <v>-0.19622641509433963</v>
      </c>
      <c r="F111" s="18">
        <f>IF(ISNUMBER(D111), $B118 * E111, "")</f>
        <v>-19622.641509433965</v>
      </c>
      <c r="G111" s="31">
        <v>3165</v>
      </c>
      <c r="H111" s="32">
        <f t="shared" si="55"/>
        <v>-0.20377358490566039</v>
      </c>
      <c r="I111" s="101">
        <f>IF(ISNUMBER(G111), $B118 * H111, "")</f>
        <v>-20377.358490566039</v>
      </c>
      <c r="J111" s="15">
        <v>3200</v>
      </c>
      <c r="K111" s="32">
        <f t="shared" si="56"/>
        <v>-0.19496855345911951</v>
      </c>
      <c r="L111" s="18">
        <f>IF(ISNUMBER(J111), $B118 * K111, "")</f>
        <v>-19496.85534591195</v>
      </c>
      <c r="M111" s="31">
        <v>3175</v>
      </c>
      <c r="N111" s="32">
        <f t="shared" si="57"/>
        <v>-0.20125786163522014</v>
      </c>
      <c r="O111" s="18">
        <f>IF(ISNUMBER(M111), $B118 * N111, "")</f>
        <v>-20125.786163522014</v>
      </c>
      <c r="Q111" s="222"/>
      <c r="R111" s="222"/>
      <c r="S111" s="222"/>
    </row>
    <row r="112" spans="1:19" ht="17.25" thickBot="1">
      <c r="A112" s="127" t="s">
        <v>82</v>
      </c>
      <c r="B112" s="128">
        <v>2895</v>
      </c>
      <c r="C112" s="78">
        <v>-0.1173780488</v>
      </c>
      <c r="D112" s="20">
        <v>2950</v>
      </c>
      <c r="E112" s="21">
        <f t="shared" si="54"/>
        <v>1.8998272884283247E-2</v>
      </c>
      <c r="F112" s="22">
        <f>IF(ISNUMBER(D112), $B118 * E112, "")</f>
        <v>1899.8272884283247</v>
      </c>
      <c r="G112" s="30">
        <v>2820</v>
      </c>
      <c r="H112" s="21">
        <f t="shared" si="55"/>
        <v>-2.5906735751295335E-2</v>
      </c>
      <c r="I112" s="105">
        <f>IF(ISNUMBER(G112), $B118 * H112, "")</f>
        <v>-2590.6735751295337</v>
      </c>
      <c r="J112" s="20">
        <v>2895</v>
      </c>
      <c r="K112" s="21">
        <f t="shared" si="56"/>
        <v>0</v>
      </c>
      <c r="L112" s="22">
        <f>IF(ISNUMBER(J112), $B118 * K112, "")</f>
        <v>0</v>
      </c>
      <c r="M112" s="30">
        <v>2845</v>
      </c>
      <c r="N112" s="21">
        <f t="shared" si="57"/>
        <v>-1.7271157167530225E-2</v>
      </c>
      <c r="O112" s="22">
        <f>IF(ISNUMBER(M112), $B118 * N112, "")</f>
        <v>-1727.1157167530225</v>
      </c>
      <c r="Q112" s="222"/>
      <c r="R112" s="222"/>
      <c r="S112" s="222"/>
    </row>
    <row r="113" spans="1:19" ht="17.25" thickBot="1">
      <c r="A113" s="125" t="s">
        <v>152</v>
      </c>
      <c r="B113" s="129">
        <v>105</v>
      </c>
      <c r="C113" s="80">
        <v>-0.1176470588</v>
      </c>
      <c r="D113" s="106">
        <v>107</v>
      </c>
      <c r="E113" s="107">
        <f>IF(ISNUMBER(D113), (D113 - $B113) / $B113, "")</f>
        <v>1.9047619047619049E-2</v>
      </c>
      <c r="F113" s="108">
        <f>IF(ISNUMBER(D113), $B118 * E113, "")</f>
        <v>1904.761904761905</v>
      </c>
      <c r="G113" s="109">
        <v>111</v>
      </c>
      <c r="H113" s="107">
        <f>IF(ISNUMBER(G113), (G113 - $B113) / $B113, "")</f>
        <v>5.7142857142857141E-2</v>
      </c>
      <c r="I113" s="110">
        <f>IF(ISNUMBER(G113), $B118 * H113, "")</f>
        <v>5714.2857142857138</v>
      </c>
      <c r="J113" s="106">
        <v>115</v>
      </c>
      <c r="K113" s="107">
        <f>IF(ISNUMBER(J113), (J113 - $B113) / $B113, "")</f>
        <v>9.5238095238095233E-2</v>
      </c>
      <c r="L113" s="108">
        <f>IF(ISNUMBER(J113), $B118 * K113, "")</f>
        <v>9523.8095238095229</v>
      </c>
      <c r="M113" s="109">
        <v>112</v>
      </c>
      <c r="N113" s="107">
        <f>IF(ISNUMBER(M113), (M113 - $B113) / $B113, "")</f>
        <v>6.6666666666666666E-2</v>
      </c>
      <c r="O113" s="108">
        <f>IF(ISNUMBER(M113), $B118 * N113, "")</f>
        <v>6666.666666666667</v>
      </c>
      <c r="Q113" s="227"/>
      <c r="R113" s="227"/>
      <c r="S113" s="227"/>
    </row>
    <row r="114" spans="1:19" ht="17.25" thickBot="1">
      <c r="A114" s="125" t="s">
        <v>240</v>
      </c>
      <c r="B114" s="126">
        <v>72.7</v>
      </c>
      <c r="C114" s="77">
        <v>-0.1209189843</v>
      </c>
      <c r="D114" s="15">
        <v>69.599999999999994</v>
      </c>
      <c r="E114" s="32">
        <f t="shared" ref="E114:E117" si="58">IF(ISNUMBER(D114), (D114 - $B114) / $B114, "")</f>
        <v>-4.2640990371389388E-2</v>
      </c>
      <c r="F114" s="18">
        <f>IF(ISNUMBER(D114), $B118 * E114, "")</f>
        <v>-4264.0990371389389</v>
      </c>
      <c r="G114" s="31">
        <v>66</v>
      </c>
      <c r="H114" s="32">
        <f t="shared" ref="H114:H117" si="59">IF(ISNUMBER(G114), (G114 - $B114) / $B114, "")</f>
        <v>-9.2159559834938135E-2</v>
      </c>
      <c r="I114" s="101">
        <f>IF(ISNUMBER(G114), $B118 * H114, "")</f>
        <v>-9215.9559834938136</v>
      </c>
      <c r="J114" s="15">
        <v>68.599999999999994</v>
      </c>
      <c r="K114" s="32">
        <f t="shared" ref="K114:K117" si="60">IF(ISNUMBER(J114), (J114 - $B114) / $B114, "")</f>
        <v>-5.6396148555708507E-2</v>
      </c>
      <c r="L114" s="18">
        <f>IF(ISNUMBER(J114), $B118 * K114, "")</f>
        <v>-5639.6148555708505</v>
      </c>
      <c r="M114" s="31">
        <v>66.5</v>
      </c>
      <c r="N114" s="32">
        <f t="shared" ref="N114:N117" si="61">IF(ISNUMBER(M114), (M114 - $B114) / $B114, "")</f>
        <v>-8.5281980742778582E-2</v>
      </c>
      <c r="O114" s="18">
        <f>IF(ISNUMBER(M114), $B118 * N114, "")</f>
        <v>-8528.1980742778578</v>
      </c>
      <c r="Q114" s="227"/>
      <c r="R114" s="227"/>
      <c r="S114" s="227"/>
    </row>
    <row r="115" spans="1:19" ht="17.25" thickBot="1">
      <c r="A115" s="125" t="s">
        <v>158</v>
      </c>
      <c r="B115" s="126">
        <v>29650</v>
      </c>
      <c r="C115" s="77">
        <v>-0.1214814815</v>
      </c>
      <c r="D115" s="15">
        <v>32200</v>
      </c>
      <c r="E115" s="32">
        <f t="shared" si="58"/>
        <v>8.6003372681281623E-2</v>
      </c>
      <c r="F115" s="18">
        <f>IF(ISNUMBER(D115), $B118 * E115, "")</f>
        <v>8600.3372681281617</v>
      </c>
      <c r="G115" s="31">
        <v>30280</v>
      </c>
      <c r="H115" s="32">
        <f t="shared" si="59"/>
        <v>2.1247892074198988E-2</v>
      </c>
      <c r="I115" s="101">
        <f>IF(ISNUMBER(G115), $B118 * H115, "")</f>
        <v>2124.789207419899</v>
      </c>
      <c r="J115" s="15">
        <v>31680</v>
      </c>
      <c r="K115" s="32">
        <f t="shared" si="60"/>
        <v>6.8465430016863407E-2</v>
      </c>
      <c r="L115" s="18">
        <f>IF(ISNUMBER(J115), $B118 * K115, "")</f>
        <v>6846.5430016863411</v>
      </c>
      <c r="M115" s="31">
        <v>33660</v>
      </c>
      <c r="N115" s="32">
        <f t="shared" si="61"/>
        <v>0.13524451939291737</v>
      </c>
      <c r="O115" s="18">
        <f>IF(ISNUMBER(M115), $B118 * N115, "")</f>
        <v>13524.451939291737</v>
      </c>
      <c r="Q115" s="227"/>
      <c r="R115" s="227"/>
      <c r="S115" s="227"/>
    </row>
    <row r="116" spans="1:19">
      <c r="A116" s="125" t="s">
        <v>126</v>
      </c>
      <c r="B116" s="126">
        <v>222850</v>
      </c>
      <c r="C116" s="77">
        <v>-0.12315561680000001</v>
      </c>
      <c r="D116" s="15">
        <v>216650</v>
      </c>
      <c r="E116" s="32">
        <f t="shared" si="58"/>
        <v>-2.7821404532196545E-2</v>
      </c>
      <c r="F116" s="18">
        <f>IF(ISNUMBER(D116), $B118 * E116, "")</f>
        <v>-2782.1404532196543</v>
      </c>
      <c r="G116" s="31">
        <v>218250</v>
      </c>
      <c r="H116" s="32">
        <f t="shared" si="59"/>
        <v>-2.064168723356518E-2</v>
      </c>
      <c r="I116" s="101">
        <f>IF(ISNUMBER(G116), $B118 * H116, "")</f>
        <v>-2064.1687233565181</v>
      </c>
      <c r="J116" s="15">
        <v>221900</v>
      </c>
      <c r="K116" s="32">
        <f t="shared" si="60"/>
        <v>-4.2629571460623735E-3</v>
      </c>
      <c r="L116" s="18">
        <f>IF(ISNUMBER(J116), $B118 * K116, "")</f>
        <v>-426.29571460623737</v>
      </c>
      <c r="M116" s="31">
        <v>215050</v>
      </c>
      <c r="N116" s="32">
        <f t="shared" si="61"/>
        <v>-3.500112183082791E-2</v>
      </c>
      <c r="O116" s="18">
        <f>IF(ISNUMBER(M116), $B118 * N116, "")</f>
        <v>-3500.112183082791</v>
      </c>
      <c r="Q116" s="249"/>
      <c r="R116" s="250"/>
      <c r="S116" s="251"/>
    </row>
    <row r="117" spans="1:19" ht="17.25" thickBot="1">
      <c r="A117" s="130" t="s">
        <v>88</v>
      </c>
      <c r="B117" s="131">
        <v>240450</v>
      </c>
      <c r="C117" s="79">
        <v>-0.123405031</v>
      </c>
      <c r="D117" s="24">
        <v>243300</v>
      </c>
      <c r="E117" s="25">
        <f t="shared" si="58"/>
        <v>1.1852776044915784E-2</v>
      </c>
      <c r="F117" s="104">
        <f>IF(ISNUMBER(D117), $B118 * E117, "")</f>
        <v>1185.2776044915784</v>
      </c>
      <c r="G117" s="102">
        <v>258500</v>
      </c>
      <c r="H117" s="25">
        <f t="shared" si="59"/>
        <v>7.5067581617799958E-2</v>
      </c>
      <c r="I117" s="103">
        <f>IF(ISNUMBER(G117), $B118 * H117, "")</f>
        <v>7506.758161779996</v>
      </c>
      <c r="J117" s="24">
        <v>254200</v>
      </c>
      <c r="K117" s="25">
        <f t="shared" si="60"/>
        <v>5.7184445830734038E-2</v>
      </c>
      <c r="L117" s="104">
        <f>IF(ISNUMBER(J117), $B118 * K117, "")</f>
        <v>5718.4445830734039</v>
      </c>
      <c r="M117" s="102">
        <v>248750</v>
      </c>
      <c r="N117" s="25">
        <f t="shared" si="61"/>
        <v>3.4518610937824913E-2</v>
      </c>
      <c r="O117" s="104">
        <f>IF(ISNUMBER(M117), $B118 * N117, "")</f>
        <v>3451.8610937824915</v>
      </c>
      <c r="Q117" s="252"/>
      <c r="R117" s="253"/>
      <c r="S117" s="254"/>
    </row>
    <row r="118" spans="1:19" ht="17.25" thickBot="1">
      <c r="A118" s="132" t="s">
        <v>270</v>
      </c>
      <c r="B118" s="260">
        <f>$B$37</f>
        <v>100000</v>
      </c>
      <c r="C118" s="261"/>
      <c r="D118" s="26" t="s">
        <v>271</v>
      </c>
      <c r="E118" s="27">
        <f>IF(COUNT(E98:E117), SUM(E98:E117) / COUNT(E98:E117), 0)</f>
        <v>-8.0743470871265776E-3</v>
      </c>
      <c r="F118" s="28">
        <f>SUM(F98:F117)</f>
        <v>-16148.694174253154</v>
      </c>
      <c r="G118" s="26" t="s">
        <v>271</v>
      </c>
      <c r="H118" s="27">
        <f>IF(COUNT(H98:H117), SUM(H98:H117) / COUNT(H98:H117), 0)</f>
        <v>-3.6155480858945849E-2</v>
      </c>
      <c r="I118" s="28">
        <f>SUM(I98:I117)</f>
        <v>-72310.961717891667</v>
      </c>
      <c r="J118" s="26" t="s">
        <v>271</v>
      </c>
      <c r="K118" s="27">
        <f>IF(COUNT(K98:K117), SUM(K98:K117) / COUNT(K98:K117), 0)</f>
        <v>-1.0216253206548415E-2</v>
      </c>
      <c r="L118" s="28">
        <f>SUM(L98:L117)</f>
        <v>-20432.50641309682</v>
      </c>
      <c r="M118" s="26" t="s">
        <v>271</v>
      </c>
      <c r="N118" s="27">
        <f>IF(COUNT(N98:N117), SUM(N98:N117) / COUNT(N98:N117), 0)</f>
        <v>-2.6752286235583688E-2</v>
      </c>
      <c r="O118" s="28">
        <f>SUM(O98:O117)</f>
        <v>-53504.572471167368</v>
      </c>
      <c r="Q118" s="255"/>
      <c r="R118" s="256"/>
      <c r="S118" s="257"/>
    </row>
    <row r="120" spans="1:19" ht="17.25" thickBot="1"/>
    <row r="121" spans="1:19" ht="17.25" thickBot="1">
      <c r="A121" s="201" t="s">
        <v>258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85" t="s">
        <v>267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55149000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2.1442459999999998E-3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2021-09-08(수) 오전 00:00</v>
      </c>
      <c r="C123" s="265"/>
      <c r="D123" s="224" t="str">
        <f>TEXT($G$1, "[$-ko-KR]yyyy-mm-dd(ddd) ") &amp; "오후 14:00"</f>
        <v>2021-09-08(수) 오후 14:00</v>
      </c>
      <c r="E123" s="225"/>
      <c r="F123" s="226"/>
      <c r="G123" s="224" t="str">
        <f>TEXT($G$1, "[$-ko-KR]yyyy-mm-dd(ddd) ") &amp; "오후 19:00"</f>
        <v>2021-09-08(수) 오후 19:00</v>
      </c>
      <c r="H123" s="225"/>
      <c r="I123" s="226"/>
      <c r="J123" s="224" t="str">
        <f>TEXT($G$1, "[$-ko-KR]yyyy-mm-dd(ddd) ") &amp; "오후 21:00"</f>
        <v>2021-09-08(수) 오후 21:00</v>
      </c>
      <c r="K123" s="225"/>
      <c r="L123" s="226"/>
      <c r="M123" s="224" t="str">
        <f>TEXT($G$1+1, "[$-ko-KR]yyyy-mm-dd(ddd) ") &amp; "오전 00:00"</f>
        <v>2021-09-09(목)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7"/>
      <c r="R124" s="227"/>
      <c r="S124" s="227"/>
    </row>
    <row r="125" spans="1:19" ht="17.25" thickBot="1">
      <c r="A125" s="123" t="s">
        <v>234</v>
      </c>
      <c r="B125" s="124">
        <v>94.2</v>
      </c>
      <c r="C125" s="76">
        <v>-7.6470588199999995E-2</v>
      </c>
      <c r="D125" s="13">
        <v>88.3</v>
      </c>
      <c r="E125" s="14">
        <f>IF(ISNUMBER(D125), (D125 - $B125) / $B125, "")</f>
        <v>-6.263269639065823E-2</v>
      </c>
      <c r="F125" s="16">
        <f>IF(ISNUMBER(D125), $B145 * E125, "")</f>
        <v>-6263.269639065823</v>
      </c>
      <c r="G125" s="29">
        <v>84</v>
      </c>
      <c r="H125" s="14">
        <f>IF(ISNUMBER(G125), (G125 - $B125) / $B125, "")</f>
        <v>-0.1082802547770701</v>
      </c>
      <c r="I125" s="100">
        <f>IF(ISNUMBER(G125), $B145 * H125, "")</f>
        <v>-10828.025477707009</v>
      </c>
      <c r="J125" s="13">
        <v>85.6</v>
      </c>
      <c r="K125" s="14">
        <f>IF(ISNUMBER(J125), (J125 - $B125) / $B125, "")</f>
        <v>-9.129511677282387E-2</v>
      </c>
      <c r="L125" s="16">
        <f>IF(ISNUMBER(J125), $B145 * K125, "")</f>
        <v>-9129.5116772823876</v>
      </c>
      <c r="M125" s="29">
        <v>84.6</v>
      </c>
      <c r="N125" s="14">
        <f>IF(ISNUMBER(M125), (M125 - $B125) / $B125, "")</f>
        <v>-0.1019108280254778</v>
      </c>
      <c r="O125" s="16">
        <f>IF(ISNUMBER(M125), $B145 * N125, "")</f>
        <v>-10191.08280254778</v>
      </c>
      <c r="Q125" s="222"/>
      <c r="R125" s="222"/>
      <c r="S125" s="222"/>
    </row>
    <row r="126" spans="1:19" ht="17.25" thickBot="1">
      <c r="A126" s="125" t="s">
        <v>65</v>
      </c>
      <c r="B126" s="126">
        <v>66.8</v>
      </c>
      <c r="C126" s="77">
        <v>-0.10215053759999999</v>
      </c>
      <c r="D126" s="15">
        <v>70.7</v>
      </c>
      <c r="E126" s="32">
        <f t="shared" ref="E126:E129" si="62">IF(ISNUMBER(D126), (D126 - $B126) / $B126, "")</f>
        <v>5.8383233532934217E-2</v>
      </c>
      <c r="F126" s="18">
        <f>IF(ISNUMBER(D126), $B145 * E126, "")</f>
        <v>5838.3233532934219</v>
      </c>
      <c r="G126" s="31">
        <v>70.2</v>
      </c>
      <c r="H126" s="32">
        <f t="shared" ref="H126:H129" si="63">IF(ISNUMBER(G126), (G126 - $B126) / $B126, "")</f>
        <v>5.089820359281446E-2</v>
      </c>
      <c r="I126" s="101">
        <f>IF(ISNUMBER(G126), $B145 * H126, "")</f>
        <v>5089.8203592814461</v>
      </c>
      <c r="J126" s="15">
        <v>80.3</v>
      </c>
      <c r="K126" s="32">
        <f t="shared" ref="K126:K129" si="64">IF(ISNUMBER(J126), (J126 - $B126) / $B126, "")</f>
        <v>0.20209580838323354</v>
      </c>
      <c r="L126" s="18">
        <f>IF(ISNUMBER(J126), $B145 * K126, "")</f>
        <v>20209.580838323356</v>
      </c>
      <c r="M126" s="31">
        <v>76.900000000000006</v>
      </c>
      <c r="N126" s="32">
        <f t="shared" ref="N126:N129" si="65">IF(ISNUMBER(M126), (M126 - $B126) / $B126, "")</f>
        <v>0.1511976047904193</v>
      </c>
      <c r="O126" s="18">
        <f>IF(ISNUMBER(M126), $B145 * N126, "")</f>
        <v>15119.76047904193</v>
      </c>
      <c r="Q126" s="222"/>
      <c r="R126" s="222"/>
      <c r="S126" s="222"/>
    </row>
    <row r="127" spans="1:19" ht="17.25" thickBot="1">
      <c r="A127" s="125" t="s">
        <v>240</v>
      </c>
      <c r="B127" s="126">
        <v>72.7</v>
      </c>
      <c r="C127" s="77">
        <v>-0.1209189843</v>
      </c>
      <c r="D127" s="15">
        <v>69.599999999999994</v>
      </c>
      <c r="E127" s="32">
        <f t="shared" si="62"/>
        <v>-4.2640990371389388E-2</v>
      </c>
      <c r="F127" s="18">
        <f>IF(ISNUMBER(D127), $B145 * E127, "")</f>
        <v>-4264.0990371389389</v>
      </c>
      <c r="G127" s="31">
        <v>66</v>
      </c>
      <c r="H127" s="32">
        <f t="shared" si="63"/>
        <v>-9.2159559834938135E-2</v>
      </c>
      <c r="I127" s="101">
        <f>IF(ISNUMBER(G127), $B145 * H127, "")</f>
        <v>-9215.9559834938136</v>
      </c>
      <c r="J127" s="15">
        <v>68.599999999999994</v>
      </c>
      <c r="K127" s="32">
        <f t="shared" si="64"/>
        <v>-5.6396148555708507E-2</v>
      </c>
      <c r="L127" s="18">
        <f>IF(ISNUMBER(J127), $B145 * K127, "")</f>
        <v>-5639.6148555708505</v>
      </c>
      <c r="M127" s="31">
        <v>66.5</v>
      </c>
      <c r="N127" s="32">
        <f t="shared" si="65"/>
        <v>-8.5281980742778582E-2</v>
      </c>
      <c r="O127" s="18">
        <f>IF(ISNUMBER(M127), $B145 * N127, "")</f>
        <v>-8528.1980742778578</v>
      </c>
      <c r="Q127" s="227"/>
      <c r="R127" s="227"/>
      <c r="S127" s="227"/>
    </row>
    <row r="128" spans="1:19" ht="17.25" thickBot="1">
      <c r="A128" s="125" t="s">
        <v>98</v>
      </c>
      <c r="B128" s="126">
        <v>4.8099999999999996</v>
      </c>
      <c r="C128" s="77">
        <v>-0.14260249550000001</v>
      </c>
      <c r="D128" s="15">
        <v>4.83</v>
      </c>
      <c r="E128" s="32">
        <f t="shared" si="62"/>
        <v>4.1580041580042545E-3</v>
      </c>
      <c r="F128" s="18">
        <f>IF(ISNUMBER(D128), $B145 * E128, "")</f>
        <v>415.80041580042547</v>
      </c>
      <c r="G128" s="31">
        <v>4.75</v>
      </c>
      <c r="H128" s="32">
        <f t="shared" si="63"/>
        <v>-1.2474012474012393E-2</v>
      </c>
      <c r="I128" s="101">
        <f>IF(ISNUMBER(G128), $B145 * H128, "")</f>
        <v>-1247.4012474012393</v>
      </c>
      <c r="J128" s="15">
        <v>4.95</v>
      </c>
      <c r="K128" s="32">
        <f t="shared" si="64"/>
        <v>2.9106029106029226E-2</v>
      </c>
      <c r="L128" s="18">
        <f>IF(ISNUMBER(J128), $B145 * K128, "")</f>
        <v>2910.6029106029227</v>
      </c>
      <c r="M128" s="31">
        <v>4.83</v>
      </c>
      <c r="N128" s="32">
        <f t="shared" si="65"/>
        <v>4.1580041580042545E-3</v>
      </c>
      <c r="O128" s="18">
        <f>IF(ISNUMBER(M128), $B145 * N128, "")</f>
        <v>415.80041580042547</v>
      </c>
      <c r="Q128" s="227"/>
      <c r="R128" s="227"/>
      <c r="S128" s="227"/>
    </row>
    <row r="129" spans="1:19" ht="17.25" thickBot="1">
      <c r="A129" s="127" t="s">
        <v>250</v>
      </c>
      <c r="B129" s="128">
        <v>91.4</v>
      </c>
      <c r="C129" s="78">
        <v>-0.14579439250000001</v>
      </c>
      <c r="D129" s="20">
        <v>91.4</v>
      </c>
      <c r="E129" s="21">
        <f t="shared" si="62"/>
        <v>0</v>
      </c>
      <c r="F129" s="22">
        <f>IF(ISNUMBER(D129), $B145 * E129, "")</f>
        <v>0</v>
      </c>
      <c r="G129" s="30">
        <v>91.8</v>
      </c>
      <c r="H129" s="21">
        <f t="shared" si="63"/>
        <v>4.3763676148795561E-3</v>
      </c>
      <c r="I129" s="105">
        <f>IF(ISNUMBER(G129), $B145 * H129, "")</f>
        <v>437.6367614879556</v>
      </c>
      <c r="J129" s="20">
        <v>98.1</v>
      </c>
      <c r="K129" s="21">
        <f t="shared" si="64"/>
        <v>7.3304157549234E-2</v>
      </c>
      <c r="L129" s="22">
        <f>IF(ISNUMBER(J129), $B145 * K129, "")</f>
        <v>7330.4157549233996</v>
      </c>
      <c r="M129" s="30">
        <v>93.6</v>
      </c>
      <c r="N129" s="21">
        <f t="shared" si="65"/>
        <v>2.4070021881837947E-2</v>
      </c>
      <c r="O129" s="22">
        <f>IF(ISNUMBER(M129), $B145 * N129, "")</f>
        <v>2407.0021881837947</v>
      </c>
      <c r="Q129" s="227"/>
      <c r="R129" s="227"/>
      <c r="S129" s="227"/>
    </row>
    <row r="130" spans="1:19" ht="17.25" thickBot="1">
      <c r="A130" s="125" t="s">
        <v>190</v>
      </c>
      <c r="B130" s="129">
        <v>19.600000000000001</v>
      </c>
      <c r="C130" s="80">
        <v>-0.14782608699999999</v>
      </c>
      <c r="D130" s="106">
        <v>18.7</v>
      </c>
      <c r="E130" s="107">
        <f>IF(ISNUMBER(D130), (D130 - $B130) / $B130, "")</f>
        <v>-4.5918367346938882E-2</v>
      </c>
      <c r="F130" s="108">
        <f>IF(ISNUMBER(D130), $B145 * E130, "")</f>
        <v>-4591.8367346938885</v>
      </c>
      <c r="G130" s="109">
        <v>17.8</v>
      </c>
      <c r="H130" s="107">
        <f>IF(ISNUMBER(G130), (G130 - $B130) / $B130, "")</f>
        <v>-9.1836734693877584E-2</v>
      </c>
      <c r="I130" s="110">
        <f>IF(ISNUMBER(G130), $B145 * H130, "")</f>
        <v>-9183.6734693877588</v>
      </c>
      <c r="J130" s="106">
        <v>18.3</v>
      </c>
      <c r="K130" s="107">
        <f>IF(ISNUMBER(J130), (J130 - $B130) / $B130, "")</f>
        <v>-6.632653061224493E-2</v>
      </c>
      <c r="L130" s="108">
        <f>IF(ISNUMBER(J130), $B145 * K130, "")</f>
        <v>-6632.6530612244933</v>
      </c>
      <c r="M130" s="109">
        <v>18</v>
      </c>
      <c r="N130" s="107">
        <f>IF(ISNUMBER(M130), (M130 - $B130) / $B130, "")</f>
        <v>-8.1632653061224553E-2</v>
      </c>
      <c r="O130" s="108">
        <f>IF(ISNUMBER(M130), $B145 * N130, "")</f>
        <v>-8163.2653061224555</v>
      </c>
      <c r="Q130" s="227"/>
      <c r="R130" s="227"/>
      <c r="S130" s="227"/>
    </row>
    <row r="131" spans="1:19" ht="17.25" thickBot="1">
      <c r="A131" s="125" t="s">
        <v>210</v>
      </c>
      <c r="B131" s="126">
        <v>15.8</v>
      </c>
      <c r="C131" s="77">
        <v>-0.15053763440000001</v>
      </c>
      <c r="D131" s="15">
        <v>15.3</v>
      </c>
      <c r="E131" s="32">
        <f t="shared" ref="E131:E134" si="66">IF(ISNUMBER(D131), (D131 - $B131) / $B131, "")</f>
        <v>-3.164556962025316E-2</v>
      </c>
      <c r="F131" s="18">
        <f>IF(ISNUMBER(D131), $B145 * E131, "")</f>
        <v>-3164.5569620253159</v>
      </c>
      <c r="G131" s="31">
        <v>14.9</v>
      </c>
      <c r="H131" s="32">
        <f t="shared" ref="H131:H134" si="67">IF(ISNUMBER(G131), (G131 - $B131) / $B131, "")</f>
        <v>-5.6962025316455715E-2</v>
      </c>
      <c r="I131" s="101">
        <f>IF(ISNUMBER(G131), $B145 * H131, "")</f>
        <v>-5696.202531645572</v>
      </c>
      <c r="J131" s="15">
        <v>15.1</v>
      </c>
      <c r="K131" s="32">
        <f t="shared" ref="K131:K134" si="68">IF(ISNUMBER(J131), (J131 - $B131) / $B131, "")</f>
        <v>-4.4303797468354493E-2</v>
      </c>
      <c r="L131" s="18">
        <f>IF(ISNUMBER(J131), $B145 * K131, "")</f>
        <v>-4430.3797468354496</v>
      </c>
      <c r="M131" s="31">
        <v>15</v>
      </c>
      <c r="N131" s="32">
        <f t="shared" ref="N131:N134" si="69">IF(ISNUMBER(M131), (M131 - $B131) / $B131, "")</f>
        <v>-5.0632911392405104E-2</v>
      </c>
      <c r="O131" s="18">
        <f>IF(ISNUMBER(M131), $B145 * N131, "")</f>
        <v>-5063.2911392405103</v>
      </c>
      <c r="Q131" s="227"/>
      <c r="R131" s="227"/>
      <c r="S131" s="227"/>
    </row>
    <row r="132" spans="1:19" ht="17.25" thickBot="1">
      <c r="A132" s="125" t="s">
        <v>202</v>
      </c>
      <c r="B132" s="126">
        <v>93.2</v>
      </c>
      <c r="C132" s="77">
        <v>-0.1527272727</v>
      </c>
      <c r="D132" s="15">
        <v>89.1</v>
      </c>
      <c r="E132" s="32">
        <f t="shared" si="66"/>
        <v>-4.3991416309012966E-2</v>
      </c>
      <c r="F132" s="18">
        <f>IF(ISNUMBER(D132), $B145 * E132, "")</f>
        <v>-4399.1416309012966</v>
      </c>
      <c r="G132" s="31">
        <v>85.6</v>
      </c>
      <c r="H132" s="32">
        <f t="shared" si="67"/>
        <v>-8.1545064377682497E-2</v>
      </c>
      <c r="I132" s="101">
        <f>IF(ISNUMBER(G132), $B145 * H132, "")</f>
        <v>-8154.5064377682493</v>
      </c>
      <c r="J132" s="15">
        <v>87.6</v>
      </c>
      <c r="K132" s="32">
        <f t="shared" si="68"/>
        <v>-6.0085836909871335E-2</v>
      </c>
      <c r="L132" s="18">
        <f>IF(ISNUMBER(J132), $B145 * K132, "")</f>
        <v>-6008.5836909871332</v>
      </c>
      <c r="M132" s="31">
        <v>86.1</v>
      </c>
      <c r="N132" s="32">
        <f t="shared" si="69"/>
        <v>-7.618025751072971E-2</v>
      </c>
      <c r="O132" s="18">
        <f>IF(ISNUMBER(M132), $B145 * N132, "")</f>
        <v>-7618.0257510729707</v>
      </c>
      <c r="Q132" s="227"/>
      <c r="R132" s="227"/>
      <c r="S132" s="227"/>
    </row>
    <row r="133" spans="1:19" ht="17.25" thickBot="1">
      <c r="A133" s="125" t="s">
        <v>148</v>
      </c>
      <c r="B133" s="126">
        <v>24</v>
      </c>
      <c r="C133" s="77">
        <v>-0.1549295775</v>
      </c>
      <c r="D133" s="15">
        <v>22.8</v>
      </c>
      <c r="E133" s="32">
        <f t="shared" si="66"/>
        <v>-4.9999999999999968E-2</v>
      </c>
      <c r="F133" s="18">
        <f>IF(ISNUMBER(D133), $B145 * E133, "")</f>
        <v>-4999.9999999999964</v>
      </c>
      <c r="G133" s="31">
        <v>22.1</v>
      </c>
      <c r="H133" s="32">
        <f t="shared" si="67"/>
        <v>-7.9166666666666607E-2</v>
      </c>
      <c r="I133" s="101">
        <f>IF(ISNUMBER(G133), $B145 * H133, "")</f>
        <v>-7916.6666666666606</v>
      </c>
      <c r="J133" s="15">
        <v>22.3</v>
      </c>
      <c r="K133" s="32">
        <f t="shared" si="68"/>
        <v>-7.0833333333333304E-2</v>
      </c>
      <c r="L133" s="18">
        <f>IF(ISNUMBER(J133), $B145 * K133, "")</f>
        <v>-7083.3333333333303</v>
      </c>
      <c r="M133" s="31">
        <v>21.9</v>
      </c>
      <c r="N133" s="32">
        <f t="shared" si="69"/>
        <v>-8.7500000000000064E-2</v>
      </c>
      <c r="O133" s="18">
        <f>IF(ISNUMBER(M133), $B145 * N133, "")</f>
        <v>-8750.0000000000073</v>
      </c>
      <c r="Q133" s="33"/>
      <c r="R133" s="33"/>
    </row>
    <row r="134" spans="1:19" ht="17.25" thickBot="1">
      <c r="A134" s="130" t="s">
        <v>188</v>
      </c>
      <c r="B134" s="131">
        <v>15</v>
      </c>
      <c r="C134" s="79">
        <v>-0.15730337080000001</v>
      </c>
      <c r="D134" s="24">
        <v>14.4</v>
      </c>
      <c r="E134" s="25">
        <f t="shared" si="66"/>
        <v>-3.9999999999999973E-2</v>
      </c>
      <c r="F134" s="104">
        <f>IF(ISNUMBER(D134), $B145 * E134, "")</f>
        <v>-3999.9999999999973</v>
      </c>
      <c r="G134" s="102">
        <v>13.7</v>
      </c>
      <c r="H134" s="25">
        <f t="shared" si="67"/>
        <v>-8.6666666666666711E-2</v>
      </c>
      <c r="I134" s="103">
        <f>IF(ISNUMBER(G134), $B145 * H134, "")</f>
        <v>-8666.6666666666715</v>
      </c>
      <c r="J134" s="24">
        <v>13.9</v>
      </c>
      <c r="K134" s="25">
        <f t="shared" si="68"/>
        <v>-7.3333333333333306E-2</v>
      </c>
      <c r="L134" s="104">
        <f>IF(ISNUMBER(J134), $B145 * K134, "")</f>
        <v>-7333.3333333333303</v>
      </c>
      <c r="M134" s="102">
        <v>13.7</v>
      </c>
      <c r="N134" s="25">
        <f t="shared" si="69"/>
        <v>-8.6666666666666711E-2</v>
      </c>
      <c r="O134" s="104">
        <f>IF(ISNUMBER(M134), $B145 * N134, "")</f>
        <v>-8666.6666666666715</v>
      </c>
      <c r="Q134" s="236"/>
      <c r="R134" s="237"/>
      <c r="S134" s="238"/>
    </row>
    <row r="135" spans="1:19">
      <c r="A135" s="123" t="s">
        <v>150</v>
      </c>
      <c r="B135" s="124">
        <v>13.8</v>
      </c>
      <c r="C135" s="76">
        <v>-0.1636363636</v>
      </c>
      <c r="D135" s="13">
        <v>13.4</v>
      </c>
      <c r="E135" s="14">
        <f>IF(ISNUMBER(D135), (D135 - $B135) / $B135, "")</f>
        <v>-2.8985507246376836E-2</v>
      </c>
      <c r="F135" s="16">
        <f>IF(ISNUMBER(D135), $B145 * E135, "")</f>
        <v>-2898.5507246376837</v>
      </c>
      <c r="G135" s="29">
        <v>12.6</v>
      </c>
      <c r="H135" s="14">
        <f>IF(ISNUMBER(G135), (G135 - $B135) / $B135, "")</f>
        <v>-8.6956521739130502E-2</v>
      </c>
      <c r="I135" s="100">
        <f>IF(ISNUMBER(G135), $B145 * H135, "")</f>
        <v>-8695.6521739130494</v>
      </c>
      <c r="J135" s="13">
        <v>12.9</v>
      </c>
      <c r="K135" s="14">
        <f>IF(ISNUMBER(J135), (J135 - $B135) / $B135, "")</f>
        <v>-6.5217391304347852E-2</v>
      </c>
      <c r="L135" s="16">
        <f>IF(ISNUMBER(J135), $B145 * K135, "")</f>
        <v>-6521.7391304347848</v>
      </c>
      <c r="M135" s="29">
        <v>12.7</v>
      </c>
      <c r="N135" s="14">
        <f>IF(ISNUMBER(M135), (M135 - $B135) / $B135, "")</f>
        <v>-7.9710144927536336E-2</v>
      </c>
      <c r="O135" s="16">
        <f>IF(ISNUMBER(M135), $B145 * N135, "")</f>
        <v>-7971.0144927536339</v>
      </c>
      <c r="Q135" s="239"/>
      <c r="R135" s="240"/>
      <c r="S135" s="241"/>
    </row>
    <row r="136" spans="1:19" ht="17.25" thickBot="1">
      <c r="A136" s="125" t="s">
        <v>178</v>
      </c>
      <c r="B136" s="126">
        <v>19.2</v>
      </c>
      <c r="C136" s="77">
        <v>-0.16521739129999999</v>
      </c>
      <c r="D136" s="15">
        <v>18.8</v>
      </c>
      <c r="E136" s="32">
        <f t="shared" ref="E136:E139" si="70">IF(ISNUMBER(D136), (D136 - $B136) / $B136, "")</f>
        <v>-2.0833333333333259E-2</v>
      </c>
      <c r="F136" s="18">
        <f>IF(ISNUMBER(D136), $B145 * E136, "")</f>
        <v>-2083.3333333333258</v>
      </c>
      <c r="G136" s="31">
        <v>18.2</v>
      </c>
      <c r="H136" s="32">
        <f t="shared" ref="H136:H139" si="71">IF(ISNUMBER(G136), (G136 - $B136) / $B136, "")</f>
        <v>-5.2083333333333336E-2</v>
      </c>
      <c r="I136" s="101">
        <f>IF(ISNUMBER(G136), $B145 * H136, "")</f>
        <v>-5208.3333333333339</v>
      </c>
      <c r="J136" s="15">
        <v>19.2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18.600000000000001</v>
      </c>
      <c r="N136" s="32">
        <f t="shared" ref="N136:N139" si="73">IF(ISNUMBER(M136), (M136 - $B136) / $B136, "")</f>
        <v>-3.1249999999999889E-2</v>
      </c>
      <c r="O136" s="18">
        <f>IF(ISNUMBER(M136), $B145 * N136, "")</f>
        <v>-3124.9999999999891</v>
      </c>
      <c r="Q136" s="242"/>
      <c r="R136" s="243"/>
      <c r="S136" s="244"/>
    </row>
    <row r="137" spans="1:19" ht="17.25" thickBot="1">
      <c r="A137" s="125" t="s">
        <v>208</v>
      </c>
      <c r="B137" s="126">
        <v>14.1</v>
      </c>
      <c r="C137" s="77">
        <v>-0.1656804734</v>
      </c>
      <c r="D137" s="15">
        <v>13.3</v>
      </c>
      <c r="E137" s="32">
        <f t="shared" si="70"/>
        <v>-5.6737588652482199E-2</v>
      </c>
      <c r="F137" s="18">
        <f>IF(ISNUMBER(D137), $B145 * E137, "")</f>
        <v>-5673.75886524822</v>
      </c>
      <c r="G137" s="31">
        <v>12.7</v>
      </c>
      <c r="H137" s="32">
        <f t="shared" si="71"/>
        <v>-9.9290780141844004E-2</v>
      </c>
      <c r="I137" s="101">
        <f>IF(ISNUMBER(G137), $B145 * H137, "")</f>
        <v>-9929.0780141844007</v>
      </c>
      <c r="J137" s="15">
        <v>13.1</v>
      </c>
      <c r="K137" s="32">
        <f t="shared" si="72"/>
        <v>-7.0921985815602842E-2</v>
      </c>
      <c r="L137" s="18">
        <f>IF(ISNUMBER(J137), $B145 * K137, "")</f>
        <v>-7092.1985815602839</v>
      </c>
      <c r="M137" s="31">
        <v>12.8</v>
      </c>
      <c r="N137" s="32">
        <f t="shared" si="73"/>
        <v>-9.2198581560283613E-2</v>
      </c>
      <c r="O137" s="18">
        <f>IF(ISNUMBER(M137), $B145 * N137, "")</f>
        <v>-9219.8581560283619</v>
      </c>
      <c r="Q137" s="227"/>
      <c r="R137" s="227"/>
      <c r="S137" s="227"/>
    </row>
    <row r="138" spans="1:19" ht="17.25" thickBot="1">
      <c r="A138" s="125" t="s">
        <v>204</v>
      </c>
      <c r="B138" s="126">
        <v>16.899999999999999</v>
      </c>
      <c r="C138" s="77">
        <v>-0.1674876847</v>
      </c>
      <c r="D138" s="15">
        <v>16</v>
      </c>
      <c r="E138" s="32">
        <f t="shared" si="70"/>
        <v>-5.3254437869822403E-2</v>
      </c>
      <c r="F138" s="18">
        <f>IF(ISNUMBER(D138), $B145 * E138, "")</f>
        <v>-5325.4437869822405</v>
      </c>
      <c r="G138" s="31">
        <v>15.3</v>
      </c>
      <c r="H138" s="32">
        <f t="shared" si="71"/>
        <v>-9.4674556213017638E-2</v>
      </c>
      <c r="I138" s="101">
        <f>IF(ISNUMBER(G138), $B145 * H138, "")</f>
        <v>-9467.455621301764</v>
      </c>
      <c r="J138" s="15">
        <v>15.8</v>
      </c>
      <c r="K138" s="32">
        <f t="shared" si="72"/>
        <v>-6.5088757396449579E-2</v>
      </c>
      <c r="L138" s="18">
        <f>IF(ISNUMBER(J138), $B145 * K138, "")</f>
        <v>-6508.8757396449582</v>
      </c>
      <c r="M138" s="31">
        <v>15.4</v>
      </c>
      <c r="N138" s="32">
        <f t="shared" si="73"/>
        <v>-8.875739644970404E-2</v>
      </c>
      <c r="O138" s="18">
        <f>IF(ISNUMBER(M138), $B145 * N138, "")</f>
        <v>-8875.7396449704047</v>
      </c>
      <c r="Q138" s="222"/>
      <c r="R138" s="222"/>
      <c r="S138" s="222"/>
    </row>
    <row r="139" spans="1:19" ht="17.25" thickBot="1">
      <c r="A139" s="127" t="s">
        <v>72</v>
      </c>
      <c r="B139" s="128">
        <v>26.1</v>
      </c>
      <c r="C139" s="78">
        <v>-0.1687898089</v>
      </c>
      <c r="D139" s="20">
        <v>25.4</v>
      </c>
      <c r="E139" s="21">
        <f t="shared" si="70"/>
        <v>-2.6819923371647618E-2</v>
      </c>
      <c r="F139" s="22">
        <f>IF(ISNUMBER(D139), $B145 * E139, "")</f>
        <v>-2681.9923371647619</v>
      </c>
      <c r="G139" s="30">
        <v>25.1</v>
      </c>
      <c r="H139" s="21">
        <f t="shared" si="71"/>
        <v>-3.8314176245210725E-2</v>
      </c>
      <c r="I139" s="105">
        <f>IF(ISNUMBER(G139), $B145 * H139, "")</f>
        <v>-3831.4176245210724</v>
      </c>
      <c r="J139" s="20">
        <v>25.3</v>
      </c>
      <c r="K139" s="21">
        <f t="shared" si="72"/>
        <v>-3.0651340996168609E-2</v>
      </c>
      <c r="L139" s="22">
        <f>IF(ISNUMBER(J139), $B145 * K139, "")</f>
        <v>-3065.134099616861</v>
      </c>
      <c r="M139" s="30">
        <v>25.2</v>
      </c>
      <c r="N139" s="21">
        <f t="shared" si="73"/>
        <v>-3.4482758620689738E-2</v>
      </c>
      <c r="O139" s="22">
        <f>IF(ISNUMBER(M139), $B145 * N139, "")</f>
        <v>-3448.2758620689738</v>
      </c>
      <c r="Q139" s="222"/>
      <c r="R139" s="222"/>
      <c r="S139" s="222"/>
    </row>
    <row r="140" spans="1:19" ht="17.25" thickBot="1">
      <c r="A140" s="125" t="s">
        <v>216</v>
      </c>
      <c r="B140" s="129">
        <v>11.6</v>
      </c>
      <c r="C140" s="80">
        <v>-0.1773049645</v>
      </c>
      <c r="D140" s="106">
        <v>11.2</v>
      </c>
      <c r="E140" s="107">
        <f>IF(ISNUMBER(D140), (D140 - $B140) / $B140, "")</f>
        <v>-3.4482758620689689E-2</v>
      </c>
      <c r="F140" s="108">
        <f>IF(ISNUMBER(D140), $B145 * E140, "")</f>
        <v>-3448.2758620689688</v>
      </c>
      <c r="G140" s="109">
        <v>10.9</v>
      </c>
      <c r="H140" s="107">
        <f>IF(ISNUMBER(G140), (G140 - $B140) / $B140, "")</f>
        <v>-6.0344827586206837E-2</v>
      </c>
      <c r="I140" s="110">
        <f>IF(ISNUMBER(G140), $B145 * H140, "")</f>
        <v>-6034.4827586206839</v>
      </c>
      <c r="J140" s="106">
        <v>11.1</v>
      </c>
      <c r="K140" s="107">
        <f>IF(ISNUMBER(J140), (J140 - $B140) / $B140, "")</f>
        <v>-4.3103448275862072E-2</v>
      </c>
      <c r="L140" s="108">
        <f>IF(ISNUMBER(J140), $B145 * K140, "")</f>
        <v>-4310.3448275862074</v>
      </c>
      <c r="M140" s="109">
        <v>11</v>
      </c>
      <c r="N140" s="107">
        <f>IF(ISNUMBER(M140), (M140 - $B140) / $B140, "")</f>
        <v>-5.1724137931034454E-2</v>
      </c>
      <c r="O140" s="108">
        <f>IF(ISNUMBER(M140), $B145 * N140, "")</f>
        <v>-5172.4137931034456</v>
      </c>
      <c r="Q140" s="227"/>
      <c r="R140" s="227"/>
      <c r="S140" s="227"/>
    </row>
    <row r="141" spans="1:19" ht="17.25" thickBot="1">
      <c r="A141" s="125" t="s">
        <v>122</v>
      </c>
      <c r="B141" s="126">
        <v>41.2</v>
      </c>
      <c r="C141" s="77">
        <v>-0.17764471060000001</v>
      </c>
      <c r="D141" s="15">
        <v>39.799999999999997</v>
      </c>
      <c r="E141" s="32">
        <f t="shared" ref="E141:E144" si="74">IF(ISNUMBER(D141), (D141 - $B141) / $B141, "")</f>
        <v>-3.3980582524271982E-2</v>
      </c>
      <c r="F141" s="18">
        <f>IF(ISNUMBER(D141), $B145 * E141, "")</f>
        <v>-3398.0582524271981</v>
      </c>
      <c r="G141" s="31">
        <v>38.1</v>
      </c>
      <c r="H141" s="32">
        <f t="shared" ref="H141:H144" si="75">IF(ISNUMBER(G141), (G141 - $B141) / $B141, "")</f>
        <v>-7.5242718446601978E-2</v>
      </c>
      <c r="I141" s="101">
        <f>IF(ISNUMBER(G141), $B145 * H141, "")</f>
        <v>-7524.2718446601975</v>
      </c>
      <c r="J141" s="15">
        <v>38.700000000000003</v>
      </c>
      <c r="K141" s="32">
        <f t="shared" ref="K141:K144" si="76">IF(ISNUMBER(J141), (J141 - $B141) / $B141, "")</f>
        <v>-6.0679611650485431E-2</v>
      </c>
      <c r="L141" s="18">
        <f>IF(ISNUMBER(J141), $B145 * K141, "")</f>
        <v>-6067.9611650485431</v>
      </c>
      <c r="M141" s="31">
        <v>38.200000000000003</v>
      </c>
      <c r="N141" s="32">
        <f t="shared" ref="N141:N144" si="77">IF(ISNUMBER(M141), (M141 - $B141) / $B141, "")</f>
        <v>-7.281553398058252E-2</v>
      </c>
      <c r="O141" s="18">
        <f>IF(ISNUMBER(M141), $B145 * N141, "")</f>
        <v>-7281.5533980582522</v>
      </c>
      <c r="Q141" s="227"/>
      <c r="R141" s="227"/>
      <c r="S141" s="22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132" t="s">
        <v>270</v>
      </c>
      <c r="B145" s="260">
        <f>$B$37</f>
        <v>100000</v>
      </c>
      <c r="C145" s="261"/>
      <c r="D145" s="26" t="s">
        <v>271</v>
      </c>
      <c r="E145" s="27">
        <f>IF(COUNT(E125:E144), SUM(E125:E144) / COUNT(E125:E144), 0)</f>
        <v>-2.9963643174466943E-2</v>
      </c>
      <c r="F145" s="28">
        <f>SUM(F125:F144)</f>
        <v>-50938.193396593808</v>
      </c>
      <c r="G145" s="26" t="s">
        <v>271</v>
      </c>
      <c r="H145" s="27">
        <f>IF(COUNT(H125:H144), SUM(H125:H144) / COUNT(H125:H144), 0)</f>
        <v>-6.2395489841471807E-2</v>
      </c>
      <c r="I145" s="28">
        <f>SUM(I125:I144)</f>
        <v>-106072.33273050206</v>
      </c>
      <c r="J145" s="26" t="s">
        <v>271</v>
      </c>
      <c r="K145" s="27">
        <f>IF(COUNT(K125:K144), SUM(K125:K144) / COUNT(K125:K144), 0)</f>
        <v>-2.9042978669769962E-2</v>
      </c>
      <c r="L145" s="28">
        <f>SUM(L125:L144)</f>
        <v>-49373.063738608937</v>
      </c>
      <c r="M145" s="26" t="s">
        <v>271</v>
      </c>
      <c r="N145" s="27">
        <f>IF(COUNT(N125:N144), SUM(N125:N144) / COUNT(N125:N144), 0)</f>
        <v>-4.948930706110892E-2</v>
      </c>
      <c r="O145" s="28">
        <f>SUM(O125:O144)</f>
        <v>-84131.822003885172</v>
      </c>
      <c r="Q145" s="255"/>
      <c r="R145" s="256"/>
      <c r="S145" s="257"/>
    </row>
    <row r="147" spans="1:19" ht="17.25" thickBot="1"/>
    <row r="148" spans="1:19" ht="17.25" thickBot="1">
      <c r="A148" s="201" t="s">
        <v>259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85" t="s">
        <v>267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55149000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2.1442459999999998E-3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2021-09-08(수) 오전 00:00</v>
      </c>
      <c r="C150" s="265"/>
      <c r="D150" s="224" t="str">
        <f>TEXT($G$1, "[$-ko-KR]yyyy-mm-dd(ddd) ") &amp; "오후 14:00"</f>
        <v>2021-09-08(수) 오후 14:00</v>
      </c>
      <c r="E150" s="225"/>
      <c r="F150" s="226"/>
      <c r="G150" s="224" t="str">
        <f>TEXT($G$1, "[$-ko-KR]yyyy-mm-dd(ddd) ") &amp; "오후 19:00"</f>
        <v>2021-09-08(수) 오후 19:00</v>
      </c>
      <c r="H150" s="225"/>
      <c r="I150" s="226"/>
      <c r="J150" s="224" t="str">
        <f>TEXT($G$1, "[$-ko-KR]yyyy-mm-dd(ddd) ") &amp; "오후 21:00"</f>
        <v>2021-09-08(수) 오후 21:00</v>
      </c>
      <c r="K150" s="225"/>
      <c r="L150" s="226"/>
      <c r="M150" s="224" t="str">
        <f>TEXT($G$1+1, "[$-ko-KR]yyyy-mm-dd(ddd) ") &amp; "오전 00:00"</f>
        <v>2021-09-09(목)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7"/>
      <c r="R151" s="227"/>
      <c r="S151" s="227"/>
    </row>
    <row r="152" spans="1:19" ht="17.25" thickBot="1">
      <c r="A152" s="123" t="s">
        <v>118</v>
      </c>
      <c r="B152" s="124">
        <v>201</v>
      </c>
      <c r="C152" s="76">
        <v>-0.14830508470000001</v>
      </c>
      <c r="D152" s="13">
        <v>199</v>
      </c>
      <c r="E152" s="14">
        <f>IF(ISNUMBER(D152), (D152 - $B152) / $B152, "")</f>
        <v>-9.9502487562189053E-3</v>
      </c>
      <c r="F152" s="16">
        <f>IF(ISNUMBER(D152), $B172 * E152, "")</f>
        <v>-995.02487562189049</v>
      </c>
      <c r="G152" s="29">
        <v>197</v>
      </c>
      <c r="H152" s="14">
        <f>IF(ISNUMBER(G152), (G152 - $B152) / $B152, "")</f>
        <v>-1.9900497512437811E-2</v>
      </c>
      <c r="I152" s="100">
        <f>IF(ISNUMBER(G152), $B172 * H152, "")</f>
        <v>-1990.049751243781</v>
      </c>
      <c r="J152" s="13">
        <v>201</v>
      </c>
      <c r="K152" s="14">
        <f>IF(ISNUMBER(J152), (J152 - $B152) / $B152, "")</f>
        <v>0</v>
      </c>
      <c r="L152" s="16">
        <f>IF(ISNUMBER(J152), $B172 * K152, "")</f>
        <v>0</v>
      </c>
      <c r="M152" s="29">
        <v>197</v>
      </c>
      <c r="N152" s="14">
        <f>IF(ISNUMBER(M152), (M152 - $B152) / $B152, "")</f>
        <v>-1.9900497512437811E-2</v>
      </c>
      <c r="O152" s="16">
        <f>IF(ISNUMBER(M152), $B172 * N152, "")</f>
        <v>-1990.049751243781</v>
      </c>
      <c r="Q152" s="222"/>
      <c r="R152" s="222"/>
      <c r="S152" s="222"/>
    </row>
    <row r="153" spans="1:19" ht="17.25" thickBot="1">
      <c r="A153" s="125" t="s">
        <v>238</v>
      </c>
      <c r="B153" s="126">
        <v>132</v>
      </c>
      <c r="C153" s="77">
        <v>-0.15923566880000001</v>
      </c>
      <c r="D153" s="15">
        <v>126</v>
      </c>
      <c r="E153" s="32">
        <f t="shared" ref="E153:E156" si="78">IF(ISNUMBER(D153), (D153 - $B153) / $B153, "")</f>
        <v>-4.5454545454545456E-2</v>
      </c>
      <c r="F153" s="18">
        <f>IF(ISNUMBER(D153), $B172 * E153, "")</f>
        <v>-4545.454545454546</v>
      </c>
      <c r="G153" s="31">
        <v>119</v>
      </c>
      <c r="H153" s="32">
        <f t="shared" ref="H153:H156" si="79">IF(ISNUMBER(G153), (G153 - $B153) / $B153, "")</f>
        <v>-9.8484848484848481E-2</v>
      </c>
      <c r="I153" s="101">
        <f>IF(ISNUMBER(G153), $B172 * H153, "")</f>
        <v>-9848.484848484848</v>
      </c>
      <c r="J153" s="15">
        <v>121</v>
      </c>
      <c r="K153" s="32">
        <f t="shared" ref="K153:K156" si="80">IF(ISNUMBER(J153), (J153 - $B153) / $B153, "")</f>
        <v>-8.3333333333333329E-2</v>
      </c>
      <c r="L153" s="18">
        <f>IF(ISNUMBER(J153), $B172 * K153, "")</f>
        <v>-8333.3333333333321</v>
      </c>
      <c r="M153" s="31">
        <v>119</v>
      </c>
      <c r="N153" s="32">
        <f t="shared" ref="N153:N156" si="81">IF(ISNUMBER(M153), (M153 - $B153) / $B153, "")</f>
        <v>-9.8484848484848481E-2</v>
      </c>
      <c r="O153" s="18">
        <f>IF(ISNUMBER(M153), $B172 * N153, "")</f>
        <v>-9848.484848484848</v>
      </c>
      <c r="Q153" s="222"/>
      <c r="R153" s="222"/>
      <c r="S153" s="222"/>
    </row>
    <row r="154" spans="1:19" ht="17.25" thickBot="1">
      <c r="A154" s="125" t="s">
        <v>222</v>
      </c>
      <c r="B154" s="126">
        <v>188</v>
      </c>
      <c r="C154" s="77">
        <v>-0.16071428569999999</v>
      </c>
      <c r="D154" s="15">
        <v>189</v>
      </c>
      <c r="E154" s="32">
        <f t="shared" si="78"/>
        <v>5.3191489361702126E-3</v>
      </c>
      <c r="F154" s="18">
        <f>IF(ISNUMBER(D154), $B172 * E154, "")</f>
        <v>531.91489361702122</v>
      </c>
      <c r="G154" s="31">
        <v>171</v>
      </c>
      <c r="H154" s="32">
        <f t="shared" si="79"/>
        <v>-9.0425531914893623E-2</v>
      </c>
      <c r="I154" s="101">
        <f>IF(ISNUMBER(G154), $B172 * H154, "")</f>
        <v>-9042.5531914893618</v>
      </c>
      <c r="J154" s="15">
        <v>178</v>
      </c>
      <c r="K154" s="32">
        <f t="shared" si="80"/>
        <v>-5.3191489361702128E-2</v>
      </c>
      <c r="L154" s="18">
        <f>IF(ISNUMBER(J154), $B172 * K154, "")</f>
        <v>-5319.1489361702124</v>
      </c>
      <c r="M154" s="31">
        <v>182</v>
      </c>
      <c r="N154" s="32">
        <f t="shared" si="81"/>
        <v>-3.1914893617021274E-2</v>
      </c>
      <c r="O154" s="18">
        <f>IF(ISNUMBER(M154), $B172 * N154, "")</f>
        <v>-3191.4893617021276</v>
      </c>
      <c r="Q154" s="227"/>
      <c r="R154" s="227"/>
      <c r="S154" s="227"/>
    </row>
    <row r="155" spans="1:19" ht="17.25" thickBot="1">
      <c r="A155" s="125" t="s">
        <v>220</v>
      </c>
      <c r="B155" s="126">
        <v>240</v>
      </c>
      <c r="C155" s="77">
        <v>-0.16083916079999999</v>
      </c>
      <c r="D155" s="15">
        <v>236</v>
      </c>
      <c r="E155" s="32">
        <f t="shared" si="78"/>
        <v>-1.6666666666666666E-2</v>
      </c>
      <c r="F155" s="18">
        <f>IF(ISNUMBER(D155), $B172 * E155, "")</f>
        <v>-1666.6666666666667</v>
      </c>
      <c r="G155" s="31">
        <v>225</v>
      </c>
      <c r="H155" s="32">
        <f t="shared" si="79"/>
        <v>-6.25E-2</v>
      </c>
      <c r="I155" s="101">
        <f>IF(ISNUMBER(G155), $B172 * H155, "")</f>
        <v>-6250</v>
      </c>
      <c r="J155" s="15">
        <v>230</v>
      </c>
      <c r="K155" s="32">
        <f t="shared" si="80"/>
        <v>-4.1666666666666664E-2</v>
      </c>
      <c r="L155" s="18">
        <f>IF(ISNUMBER(J155), $B172 * K155, "")</f>
        <v>-4166.6666666666661</v>
      </c>
      <c r="M155" s="31">
        <v>227</v>
      </c>
      <c r="N155" s="32">
        <f t="shared" si="81"/>
        <v>-5.4166666666666669E-2</v>
      </c>
      <c r="O155" s="18">
        <f>IF(ISNUMBER(M155), $B172 * N155, "")</f>
        <v>-5416.666666666667</v>
      </c>
      <c r="Q155" s="227"/>
      <c r="R155" s="227"/>
      <c r="S155" s="227"/>
    </row>
    <row r="156" spans="1:19" ht="17.25" thickBot="1">
      <c r="A156" s="127" t="s">
        <v>218</v>
      </c>
      <c r="B156" s="128">
        <v>145</v>
      </c>
      <c r="C156" s="78">
        <v>-0.16184971100000001</v>
      </c>
      <c r="D156" s="20">
        <v>135</v>
      </c>
      <c r="E156" s="21">
        <f t="shared" si="78"/>
        <v>-6.8965517241379309E-2</v>
      </c>
      <c r="F156" s="22">
        <f>IF(ISNUMBER(D156), $B172 * E156, "")</f>
        <v>-6896.5517241379312</v>
      </c>
      <c r="G156" s="30">
        <v>130</v>
      </c>
      <c r="H156" s="21">
        <f t="shared" si="79"/>
        <v>-0.10344827586206896</v>
      </c>
      <c r="I156" s="105">
        <f>IF(ISNUMBER(G156), $B172 * H156, "")</f>
        <v>-10344.827586206897</v>
      </c>
      <c r="J156" s="20">
        <v>132</v>
      </c>
      <c r="K156" s="21">
        <f t="shared" si="80"/>
        <v>-8.9655172413793102E-2</v>
      </c>
      <c r="L156" s="22">
        <f>IF(ISNUMBER(J156), $B172 * K156, "")</f>
        <v>-8965.5172413793098</v>
      </c>
      <c r="M156" s="30">
        <v>131</v>
      </c>
      <c r="N156" s="21">
        <f t="shared" si="81"/>
        <v>-9.6551724137931033E-2</v>
      </c>
      <c r="O156" s="22">
        <f>IF(ISNUMBER(M156), $B172 * N156, "")</f>
        <v>-9655.1724137931033</v>
      </c>
      <c r="Q156" s="227"/>
      <c r="R156" s="227"/>
      <c r="S156" s="227"/>
    </row>
    <row r="157" spans="1:19" ht="17.25" thickBot="1">
      <c r="A157" s="125" t="s">
        <v>57</v>
      </c>
      <c r="B157" s="129">
        <v>229</v>
      </c>
      <c r="C157" s="80">
        <v>-0.16423357659999999</v>
      </c>
      <c r="D157" s="106">
        <v>223</v>
      </c>
      <c r="E157" s="107">
        <f>IF(ISNUMBER(D157), (D157 - $B157) / $B157, "")</f>
        <v>-2.6200873362445413E-2</v>
      </c>
      <c r="F157" s="108">
        <f>IF(ISNUMBER(D157), $B172 * E157, "")</f>
        <v>-2620.0873362445413</v>
      </c>
      <c r="G157" s="109">
        <v>216</v>
      </c>
      <c r="H157" s="107">
        <f>IF(ISNUMBER(G157), (G157 - $B157) / $B157, "")</f>
        <v>-5.6768558951965066E-2</v>
      </c>
      <c r="I157" s="110">
        <f>IF(ISNUMBER(G157), $B172 * H157, "")</f>
        <v>-5676.8558951965069</v>
      </c>
      <c r="J157" s="106">
        <v>219</v>
      </c>
      <c r="K157" s="107">
        <f>IF(ISNUMBER(J157), (J157 - $B157) / $B157, "")</f>
        <v>-4.3668122270742356E-2</v>
      </c>
      <c r="L157" s="108">
        <f>IF(ISNUMBER(J157), $B172 * K157, "")</f>
        <v>-4366.812227074236</v>
      </c>
      <c r="M157" s="109">
        <v>217</v>
      </c>
      <c r="N157" s="107">
        <f>IF(ISNUMBER(M157), (M157 - $B157) / $B157, "")</f>
        <v>-5.2401746724890827E-2</v>
      </c>
      <c r="O157" s="108">
        <f>IF(ISNUMBER(M157), $B172 * N157, "")</f>
        <v>-5240.1746724890827</v>
      </c>
      <c r="Q157" s="227"/>
      <c r="R157" s="227"/>
      <c r="S157" s="227"/>
    </row>
    <row r="158" spans="1:19" ht="17.25" thickBot="1">
      <c r="A158" s="125" t="s">
        <v>200</v>
      </c>
      <c r="B158" s="126">
        <v>218</v>
      </c>
      <c r="C158" s="77">
        <v>-0.16475095789999999</v>
      </c>
      <c r="D158" s="15">
        <v>215</v>
      </c>
      <c r="E158" s="32">
        <f t="shared" ref="E158:E161" si="82">IF(ISNUMBER(D158), (D158 - $B158) / $B158, "")</f>
        <v>-1.3761467889908258E-2</v>
      </c>
      <c r="F158" s="18">
        <f>IF(ISNUMBER(D158), $B172 * E158, "")</f>
        <v>-1376.1467889908258</v>
      </c>
      <c r="G158" s="31">
        <v>207</v>
      </c>
      <c r="H158" s="32">
        <f t="shared" ref="H158:H161" si="83">IF(ISNUMBER(G158), (G158 - $B158) / $B158, "")</f>
        <v>-5.0458715596330278E-2</v>
      </c>
      <c r="I158" s="101">
        <f>IF(ISNUMBER(G158), $B172 * H158, "")</f>
        <v>-5045.8715596330276</v>
      </c>
      <c r="J158" s="15">
        <v>212</v>
      </c>
      <c r="K158" s="32">
        <f t="shared" ref="K158:K161" si="84">IF(ISNUMBER(J158), (J158 - $B158) / $B158, "")</f>
        <v>-2.7522935779816515E-2</v>
      </c>
      <c r="L158" s="18">
        <f>IF(ISNUMBER(J158), $B172 * K158, "")</f>
        <v>-2752.2935779816517</v>
      </c>
      <c r="M158" s="31">
        <v>207</v>
      </c>
      <c r="N158" s="32">
        <f t="shared" ref="N158:N161" si="85">IF(ISNUMBER(M158), (M158 - $B158) / $B158, "")</f>
        <v>-5.0458715596330278E-2</v>
      </c>
      <c r="O158" s="18">
        <f>IF(ISNUMBER(M158), $B172 * N158, "")</f>
        <v>-5045.8715596330276</v>
      </c>
      <c r="Q158" s="227"/>
      <c r="R158" s="227"/>
      <c r="S158" s="227"/>
    </row>
    <row r="159" spans="1:19" ht="17.25" thickBot="1">
      <c r="A159" s="125" t="s">
        <v>132</v>
      </c>
      <c r="B159" s="126">
        <v>126</v>
      </c>
      <c r="C159" s="77">
        <v>-0.1655629139</v>
      </c>
      <c r="D159" s="15">
        <v>121</v>
      </c>
      <c r="E159" s="32">
        <f t="shared" si="82"/>
        <v>-3.968253968253968E-2</v>
      </c>
      <c r="F159" s="18">
        <f>IF(ISNUMBER(D159), $B172 * E159, "")</f>
        <v>-3968.2539682539682</v>
      </c>
      <c r="G159" s="31">
        <v>119</v>
      </c>
      <c r="H159" s="32">
        <f t="shared" si="83"/>
        <v>-5.5555555555555552E-2</v>
      </c>
      <c r="I159" s="101">
        <f>IF(ISNUMBER(G159), $B172 * H159, "")</f>
        <v>-5555.5555555555557</v>
      </c>
      <c r="J159" s="15">
        <v>123</v>
      </c>
      <c r="K159" s="32">
        <f t="shared" si="84"/>
        <v>-2.3809523809523808E-2</v>
      </c>
      <c r="L159" s="18">
        <f>IF(ISNUMBER(J159), $B172 * K159, "")</f>
        <v>-2380.9523809523807</v>
      </c>
      <c r="M159" s="31">
        <v>121</v>
      </c>
      <c r="N159" s="32">
        <f t="shared" si="85"/>
        <v>-3.968253968253968E-2</v>
      </c>
      <c r="O159" s="18">
        <f>IF(ISNUMBER(M159), $B172 * N159, "")</f>
        <v>-3968.2539682539682</v>
      </c>
      <c r="Q159" s="227"/>
      <c r="R159" s="227"/>
      <c r="S159" s="227"/>
    </row>
    <row r="160" spans="1:19" ht="17.25" thickBot="1">
      <c r="A160" s="125" t="s">
        <v>194</v>
      </c>
      <c r="B160" s="126">
        <v>141</v>
      </c>
      <c r="C160" s="77">
        <v>-0.1656804734</v>
      </c>
      <c r="D160" s="15">
        <v>135</v>
      </c>
      <c r="E160" s="32">
        <f t="shared" si="82"/>
        <v>-4.2553191489361701E-2</v>
      </c>
      <c r="F160" s="18">
        <f>IF(ISNUMBER(D160), $B172 * E160, "")</f>
        <v>-4255.3191489361698</v>
      </c>
      <c r="G160" s="31">
        <v>127</v>
      </c>
      <c r="H160" s="32">
        <f t="shared" si="83"/>
        <v>-9.9290780141843976E-2</v>
      </c>
      <c r="I160" s="101">
        <f>IF(ISNUMBER(G160), $B172 * H160, "")</f>
        <v>-9929.078014184397</v>
      </c>
      <c r="J160" s="15">
        <v>129</v>
      </c>
      <c r="K160" s="32">
        <f t="shared" si="84"/>
        <v>-8.5106382978723402E-2</v>
      </c>
      <c r="L160" s="18">
        <f>IF(ISNUMBER(J160), $B172 * K160, "")</f>
        <v>-8510.6382978723395</v>
      </c>
      <c r="M160" s="31">
        <v>127</v>
      </c>
      <c r="N160" s="32">
        <f t="shared" si="85"/>
        <v>-9.9290780141843976E-2</v>
      </c>
      <c r="O160" s="18">
        <f>IF(ISNUMBER(M160), $B172 * N160, "")</f>
        <v>-9929.078014184397</v>
      </c>
      <c r="Q160" s="33"/>
      <c r="R160" s="33"/>
    </row>
    <row r="161" spans="1:19" ht="17.25" thickBot="1">
      <c r="A161" s="130" t="s">
        <v>128</v>
      </c>
      <c r="B161" s="131">
        <v>145</v>
      </c>
      <c r="C161" s="79">
        <v>-0.16666666669999999</v>
      </c>
      <c r="D161" s="24">
        <v>146</v>
      </c>
      <c r="E161" s="25">
        <f t="shared" si="82"/>
        <v>6.8965517241379309E-3</v>
      </c>
      <c r="F161" s="104">
        <f>IF(ISNUMBER(D161), $B172 * E161, "")</f>
        <v>689.65517241379314</v>
      </c>
      <c r="G161" s="102">
        <v>140</v>
      </c>
      <c r="H161" s="25">
        <f t="shared" si="83"/>
        <v>-3.4482758620689655E-2</v>
      </c>
      <c r="I161" s="103">
        <f>IF(ISNUMBER(G161), $B172 * H161, "")</f>
        <v>-3448.2758620689656</v>
      </c>
      <c r="J161" s="24">
        <v>142</v>
      </c>
      <c r="K161" s="25">
        <f t="shared" si="84"/>
        <v>-2.0689655172413793E-2</v>
      </c>
      <c r="L161" s="104">
        <f>IF(ISNUMBER(J161), $B172 * K161, "")</f>
        <v>-2068.9655172413791</v>
      </c>
      <c r="M161" s="102">
        <v>138</v>
      </c>
      <c r="N161" s="25">
        <f t="shared" si="85"/>
        <v>-4.8275862068965517E-2</v>
      </c>
      <c r="O161" s="104">
        <f>IF(ISNUMBER(M161), $B172 * N161, "")</f>
        <v>-4827.5862068965516</v>
      </c>
      <c r="Q161" s="236"/>
      <c r="R161" s="237"/>
      <c r="S161" s="238"/>
    </row>
    <row r="162" spans="1:19">
      <c r="A162" s="123" t="s">
        <v>80</v>
      </c>
      <c r="B162" s="124">
        <v>919</v>
      </c>
      <c r="C162" s="76">
        <v>-0.16832579189999999</v>
      </c>
      <c r="D162" s="13">
        <v>935</v>
      </c>
      <c r="E162" s="14">
        <f>IF(ISNUMBER(D162), (D162 - $B162) / $B162, "")</f>
        <v>1.7410228509249184E-2</v>
      </c>
      <c r="F162" s="16">
        <f>IF(ISNUMBER(D162), $B172 * E162, "")</f>
        <v>1741.0228509249184</v>
      </c>
      <c r="G162" s="29">
        <v>890</v>
      </c>
      <c r="H162" s="14">
        <f>IF(ISNUMBER(G162), (G162 - $B162) / $B162, "")</f>
        <v>-3.1556039173014146E-2</v>
      </c>
      <c r="I162" s="100">
        <f>IF(ISNUMBER(G162), $B172 * H162, "")</f>
        <v>-3155.6039173014146</v>
      </c>
      <c r="J162" s="13">
        <v>903</v>
      </c>
      <c r="K162" s="14">
        <f>IF(ISNUMBER(J162), (J162 - $B162) / $B162, "")</f>
        <v>-1.7410228509249184E-2</v>
      </c>
      <c r="L162" s="16">
        <f>IF(ISNUMBER(J162), $B172 * K162, "")</f>
        <v>-1741.0228509249184</v>
      </c>
      <c r="M162" s="29">
        <v>890</v>
      </c>
      <c r="N162" s="14">
        <f>IF(ISNUMBER(M162), (M162 - $B162) / $B162, "")</f>
        <v>-3.1556039173014146E-2</v>
      </c>
      <c r="O162" s="16">
        <f>IF(ISNUMBER(M162), $B172 * N162, "")</f>
        <v>-3155.6039173014146</v>
      </c>
      <c r="Q162" s="239"/>
      <c r="R162" s="240"/>
      <c r="S162" s="241"/>
    </row>
    <row r="163" spans="1:19" ht="17.25" thickBot="1">
      <c r="A163" s="125" t="s">
        <v>51</v>
      </c>
      <c r="B163" s="126">
        <v>407</v>
      </c>
      <c r="C163" s="77">
        <v>-0.16938775510000001</v>
      </c>
      <c r="D163" s="15">
        <v>399</v>
      </c>
      <c r="E163" s="32">
        <f t="shared" ref="E163:E166" si="86">IF(ISNUMBER(D163), (D163 - $B163) / $B163, "")</f>
        <v>-1.9656019656019656E-2</v>
      </c>
      <c r="F163" s="18">
        <f>IF(ISNUMBER(D163), $B172 * E163, "")</f>
        <v>-1965.6019656019655</v>
      </c>
      <c r="G163" s="31">
        <v>386</v>
      </c>
      <c r="H163" s="32">
        <f t="shared" ref="H163:H166" si="87">IF(ISNUMBER(G163), (G163 - $B163) / $B163, "")</f>
        <v>-5.1597051597051594E-2</v>
      </c>
      <c r="I163" s="101">
        <f>IF(ISNUMBER(G163), $B172 * H163, "")</f>
        <v>-5159.7051597051595</v>
      </c>
      <c r="J163" s="15">
        <v>392</v>
      </c>
      <c r="K163" s="32">
        <f t="shared" ref="K163:K166" si="88">IF(ISNUMBER(J163), (J163 - $B163) / $B163, "")</f>
        <v>-3.6855036855036855E-2</v>
      </c>
      <c r="L163" s="18">
        <f>IF(ISNUMBER(J163), $B172 * K163, "")</f>
        <v>-3685.5036855036856</v>
      </c>
      <c r="M163" s="31">
        <v>389</v>
      </c>
      <c r="N163" s="32">
        <f t="shared" ref="N163:N166" si="89">IF(ISNUMBER(M163), (M163 - $B163) / $B163, "")</f>
        <v>-4.4226044226044224E-2</v>
      </c>
      <c r="O163" s="18">
        <f>IF(ISNUMBER(M163), $B172 * N163, "")</f>
        <v>-4422.6044226044223</v>
      </c>
      <c r="Q163" s="242"/>
      <c r="R163" s="243"/>
      <c r="S163" s="244"/>
    </row>
    <row r="164" spans="1:19" ht="17.25" thickBot="1">
      <c r="A164" s="125" t="s">
        <v>114</v>
      </c>
      <c r="B164" s="126">
        <v>919</v>
      </c>
      <c r="C164" s="77">
        <v>-0.1720720721</v>
      </c>
      <c r="D164" s="15">
        <v>939</v>
      </c>
      <c r="E164" s="32">
        <f t="shared" si="86"/>
        <v>2.176278563656148E-2</v>
      </c>
      <c r="F164" s="18">
        <f>IF(ISNUMBER(D164), $B172 * E164, "")</f>
        <v>2176.278563656148</v>
      </c>
      <c r="G164" s="31">
        <v>914</v>
      </c>
      <c r="H164" s="32">
        <f t="shared" si="87"/>
        <v>-5.4406964091403701E-3</v>
      </c>
      <c r="I164" s="101">
        <f>IF(ISNUMBER(G164), $B172 * H164, "")</f>
        <v>-544.069640914037</v>
      </c>
      <c r="J164" s="15">
        <v>945</v>
      </c>
      <c r="K164" s="32">
        <f t="shared" si="88"/>
        <v>2.8291621327529923E-2</v>
      </c>
      <c r="L164" s="18">
        <f>IF(ISNUMBER(J164), $B172 * K164, "")</f>
        <v>2829.1621327529924</v>
      </c>
      <c r="M164" s="31">
        <v>911</v>
      </c>
      <c r="N164" s="32">
        <f t="shared" si="89"/>
        <v>-8.7051142546245922E-3</v>
      </c>
      <c r="O164" s="18">
        <f>IF(ISNUMBER(M164), $B172 * N164, "")</f>
        <v>-870.51142546245921</v>
      </c>
      <c r="Q164" s="227"/>
      <c r="R164" s="227"/>
      <c r="S164" s="227"/>
    </row>
    <row r="165" spans="1:19" ht="17.25" thickBot="1">
      <c r="A165" s="125" t="s">
        <v>162</v>
      </c>
      <c r="B165" s="126">
        <v>115</v>
      </c>
      <c r="C165" s="77">
        <v>-0.17266187050000001</v>
      </c>
      <c r="D165" s="15">
        <v>111</v>
      </c>
      <c r="E165" s="32">
        <f t="shared" si="86"/>
        <v>-3.4782608695652174E-2</v>
      </c>
      <c r="F165" s="18">
        <f>IF(ISNUMBER(D165), $B172 * E165, "")</f>
        <v>-3478.2608695652175</v>
      </c>
      <c r="G165" s="31">
        <v>106</v>
      </c>
      <c r="H165" s="32">
        <f t="shared" si="87"/>
        <v>-7.8260869565217397E-2</v>
      </c>
      <c r="I165" s="101">
        <f>IF(ISNUMBER(G165), $B172 * H165, "")</f>
        <v>-7826.0869565217399</v>
      </c>
      <c r="J165" s="15">
        <v>109</v>
      </c>
      <c r="K165" s="32">
        <f t="shared" si="88"/>
        <v>-5.2173913043478258E-2</v>
      </c>
      <c r="L165" s="18">
        <f>IF(ISNUMBER(J165), $B172 * K165, "")</f>
        <v>-5217.391304347826</v>
      </c>
      <c r="M165" s="31">
        <v>108</v>
      </c>
      <c r="N165" s="32">
        <f t="shared" si="89"/>
        <v>-6.0869565217391307E-2</v>
      </c>
      <c r="O165" s="18">
        <f>IF(ISNUMBER(M165), $B172 * N165, "")</f>
        <v>-6086.9565217391309</v>
      </c>
      <c r="Q165" s="222"/>
      <c r="R165" s="222"/>
      <c r="S165" s="222"/>
    </row>
    <row r="166" spans="1:19" ht="17.25" thickBot="1">
      <c r="A166" s="127" t="s">
        <v>230</v>
      </c>
      <c r="B166" s="128">
        <v>339</v>
      </c>
      <c r="C166" s="78">
        <v>-0.17518248180000001</v>
      </c>
      <c r="D166" s="20">
        <v>332</v>
      </c>
      <c r="E166" s="21">
        <f t="shared" si="86"/>
        <v>-2.0648967551622419E-2</v>
      </c>
      <c r="F166" s="22">
        <f>IF(ISNUMBER(D166), $B172 * E166, "")</f>
        <v>-2064.8967551622418</v>
      </c>
      <c r="G166" s="30">
        <v>315</v>
      </c>
      <c r="H166" s="21">
        <f t="shared" si="87"/>
        <v>-7.0796460176991149E-2</v>
      </c>
      <c r="I166" s="105">
        <f>IF(ISNUMBER(G166), $B172 * H166, "")</f>
        <v>-7079.646017699115</v>
      </c>
      <c r="J166" s="20">
        <v>328</v>
      </c>
      <c r="K166" s="21">
        <f t="shared" si="88"/>
        <v>-3.2448377581120944E-2</v>
      </c>
      <c r="L166" s="22">
        <f>IF(ISNUMBER(J166), $B172 * K166, "")</f>
        <v>-3244.8377581120944</v>
      </c>
      <c r="M166" s="30">
        <v>319</v>
      </c>
      <c r="N166" s="21">
        <f t="shared" si="89"/>
        <v>-5.8997050147492625E-2</v>
      </c>
      <c r="O166" s="22">
        <f>IF(ISNUMBER(M166), $B172 * N166, "")</f>
        <v>-5899.7050147492628</v>
      </c>
      <c r="Q166" s="222"/>
      <c r="R166" s="222"/>
      <c r="S166" s="222"/>
    </row>
    <row r="167" spans="1:19" ht="17.25" thickBot="1">
      <c r="A167" s="125" t="s">
        <v>166</v>
      </c>
      <c r="B167" s="129">
        <v>239</v>
      </c>
      <c r="C167" s="80">
        <v>-0.1786941581</v>
      </c>
      <c r="D167" s="106">
        <v>233</v>
      </c>
      <c r="E167" s="107">
        <f>IF(ISNUMBER(D167), (D167 - $B167) / $B167, "")</f>
        <v>-2.5104602510460251E-2</v>
      </c>
      <c r="F167" s="108">
        <f>IF(ISNUMBER(D167), $B172 * E167, "")</f>
        <v>-2510.460251046025</v>
      </c>
      <c r="G167" s="109">
        <v>222</v>
      </c>
      <c r="H167" s="107">
        <f>IF(ISNUMBER(G167), (G167 - $B167) / $B167, "")</f>
        <v>-7.1129707112970716E-2</v>
      </c>
      <c r="I167" s="110">
        <f>IF(ISNUMBER(G167), $B172 * H167, "")</f>
        <v>-7112.9707112970718</v>
      </c>
      <c r="J167" s="106">
        <v>226</v>
      </c>
      <c r="K167" s="107">
        <f>IF(ISNUMBER(J167), (J167 - $B167) / $B167, "")</f>
        <v>-5.4393305439330547E-2</v>
      </c>
      <c r="L167" s="108">
        <f>IF(ISNUMBER(J167), $B172 * K167, "")</f>
        <v>-5439.3305439330543</v>
      </c>
      <c r="M167" s="109">
        <v>224</v>
      </c>
      <c r="N167" s="107">
        <f>IF(ISNUMBER(M167), (M167 - $B167) / $B167, "")</f>
        <v>-6.2761506276150625E-2</v>
      </c>
      <c r="O167" s="108">
        <f>IF(ISNUMBER(M167), $B172 * N167, "")</f>
        <v>-6276.1506276150621</v>
      </c>
      <c r="Q167" s="227"/>
      <c r="R167" s="227"/>
      <c r="S167" s="227"/>
    </row>
    <row r="168" spans="1:19" ht="17.25" thickBot="1">
      <c r="A168" s="125" t="s">
        <v>144</v>
      </c>
      <c r="B168" s="126">
        <v>118</v>
      </c>
      <c r="C168" s="77">
        <v>-0.1805555556</v>
      </c>
      <c r="D168" s="15">
        <v>116</v>
      </c>
      <c r="E168" s="32">
        <f t="shared" ref="E168:E171" si="90">IF(ISNUMBER(D168), (D168 - $B168) / $B168, "")</f>
        <v>-1.6949152542372881E-2</v>
      </c>
      <c r="F168" s="18">
        <f>IF(ISNUMBER(D168), $B172 * E168, "")</f>
        <v>-1694.9152542372881</v>
      </c>
      <c r="G168" s="31">
        <v>112</v>
      </c>
      <c r="H168" s="32">
        <f t="shared" ref="H168:H171" si="91">IF(ISNUMBER(G168), (G168 - $B168) / $B168, "")</f>
        <v>-5.0847457627118647E-2</v>
      </c>
      <c r="I168" s="101">
        <f>IF(ISNUMBER(G168), $B172 * H168, "")</f>
        <v>-5084.7457627118647</v>
      </c>
      <c r="J168" s="15">
        <v>114</v>
      </c>
      <c r="K168" s="32">
        <f t="shared" ref="K168:K171" si="92">IF(ISNUMBER(J168), (J168 - $B168) / $B168, "")</f>
        <v>-3.3898305084745763E-2</v>
      </c>
      <c r="L168" s="18">
        <f>IF(ISNUMBER(J168), $B172 * K168, "")</f>
        <v>-3389.8305084745762</v>
      </c>
      <c r="M168" s="31">
        <v>113</v>
      </c>
      <c r="N168" s="32">
        <f t="shared" ref="N168:N171" si="93">IF(ISNUMBER(M168), (M168 - $B168) / $B168, "")</f>
        <v>-4.2372881355932202E-2</v>
      </c>
      <c r="O168" s="18">
        <f>IF(ISNUMBER(M168), $B172 * N168, "")</f>
        <v>-4237.2881355932204</v>
      </c>
      <c r="Q168" s="227"/>
      <c r="R168" s="227"/>
      <c r="S168" s="227"/>
    </row>
    <row r="169" spans="1:19" ht="17.25" thickBot="1">
      <c r="A169" s="125" t="s">
        <v>138</v>
      </c>
      <c r="B169" s="126">
        <v>419</v>
      </c>
      <c r="C169" s="77">
        <v>-0.181640625</v>
      </c>
      <c r="D169" s="15">
        <v>394</v>
      </c>
      <c r="E169" s="32">
        <f t="shared" si="90"/>
        <v>-5.9665871121718374E-2</v>
      </c>
      <c r="F169" s="18">
        <f>IF(ISNUMBER(D169), $B172 * E169, "")</f>
        <v>-5966.5871121718374</v>
      </c>
      <c r="G169" s="31">
        <v>382</v>
      </c>
      <c r="H169" s="32">
        <f t="shared" si="91"/>
        <v>-8.83054892601432E-2</v>
      </c>
      <c r="I169" s="101">
        <f>IF(ISNUMBER(G169), $B172 * H169, "")</f>
        <v>-8830.5489260143204</v>
      </c>
      <c r="J169" s="15">
        <v>389</v>
      </c>
      <c r="K169" s="32">
        <f t="shared" si="92"/>
        <v>-7.1599045346062054E-2</v>
      </c>
      <c r="L169" s="18">
        <f>IF(ISNUMBER(J169), $B172 * K169, "")</f>
        <v>-7159.9045346062057</v>
      </c>
      <c r="M169" s="31">
        <v>383</v>
      </c>
      <c r="N169" s="32">
        <f t="shared" si="93"/>
        <v>-8.5918854415274457E-2</v>
      </c>
      <c r="O169" s="18">
        <f>IF(ISNUMBER(M169), $B172 * N169, "")</f>
        <v>-8591.8854415274454</v>
      </c>
      <c r="Q169" s="227"/>
      <c r="R169" s="227"/>
      <c r="S169" s="227"/>
    </row>
    <row r="170" spans="1:19">
      <c r="A170" s="125" t="s">
        <v>124</v>
      </c>
      <c r="B170" s="126">
        <v>603</v>
      </c>
      <c r="C170" s="77">
        <v>-0.18292682930000001</v>
      </c>
      <c r="D170" s="15">
        <v>615</v>
      </c>
      <c r="E170" s="32">
        <f t="shared" si="90"/>
        <v>1.9900497512437811E-2</v>
      </c>
      <c r="F170" s="18">
        <f>IF(ISNUMBER(D170), $B172 * E170, "")</f>
        <v>1990.049751243781</v>
      </c>
      <c r="G170" s="31">
        <v>618</v>
      </c>
      <c r="H170" s="32">
        <f t="shared" si="91"/>
        <v>2.4875621890547265E-2</v>
      </c>
      <c r="I170" s="101">
        <f>IF(ISNUMBER(G170), $B172 * H170, "")</f>
        <v>2487.5621890547263</v>
      </c>
      <c r="J170" s="15">
        <v>634</v>
      </c>
      <c r="K170" s="32">
        <f t="shared" si="92"/>
        <v>5.140961857379768E-2</v>
      </c>
      <c r="L170" s="18">
        <f>IF(ISNUMBER(J170), $B172 * K170, "")</f>
        <v>5140.9618573797679</v>
      </c>
      <c r="M170" s="31">
        <v>608</v>
      </c>
      <c r="N170" s="32">
        <f t="shared" si="93"/>
        <v>8.291873963515755E-3</v>
      </c>
      <c r="O170" s="18">
        <f>IF(ISNUMBER(M170), $B172 * N170, "")</f>
        <v>829.18739635157544</v>
      </c>
      <c r="Q170" s="249"/>
      <c r="R170" s="250"/>
      <c r="S170" s="251"/>
    </row>
    <row r="171" spans="1:19" ht="17.25" thickBot="1">
      <c r="A171" s="130" t="s">
        <v>86</v>
      </c>
      <c r="B171" s="131">
        <v>421</v>
      </c>
      <c r="C171" s="79">
        <v>-0.18568665379999999</v>
      </c>
      <c r="D171" s="24">
        <v>407</v>
      </c>
      <c r="E171" s="25">
        <f t="shared" si="90"/>
        <v>-3.3254156769596199E-2</v>
      </c>
      <c r="F171" s="104">
        <f>IF(ISNUMBER(D171), $B172 * E171, "")</f>
        <v>-3325.4156769596198</v>
      </c>
      <c r="G171" s="102">
        <v>399</v>
      </c>
      <c r="H171" s="25">
        <f t="shared" si="91"/>
        <v>-5.2256532066508314E-2</v>
      </c>
      <c r="I171" s="103">
        <f>IF(ISNUMBER(G171), $B172 * H171, "")</f>
        <v>-5225.6532066508316</v>
      </c>
      <c r="J171" s="24">
        <v>403</v>
      </c>
      <c r="K171" s="25">
        <f t="shared" si="92"/>
        <v>-4.2755344418052253E-2</v>
      </c>
      <c r="L171" s="104">
        <f>IF(ISNUMBER(J171), $B172 * K171, "")</f>
        <v>-4275.5344418052255</v>
      </c>
      <c r="M171" s="102">
        <v>398</v>
      </c>
      <c r="N171" s="25">
        <f t="shared" si="93"/>
        <v>-5.4631828978622329E-2</v>
      </c>
      <c r="O171" s="104">
        <f>IF(ISNUMBER(M171), $B172 * N171, "")</f>
        <v>-5463.1828978622325</v>
      </c>
      <c r="Q171" s="252"/>
      <c r="R171" s="253"/>
      <c r="S171" s="254"/>
    </row>
    <row r="172" spans="1:19" ht="17.25" thickBot="1">
      <c r="A172" s="132" t="s">
        <v>270</v>
      </c>
      <c r="B172" s="260">
        <f>$B$37</f>
        <v>100000</v>
      </c>
      <c r="C172" s="261"/>
      <c r="D172" s="26" t="s">
        <v>271</v>
      </c>
      <c r="E172" s="27">
        <f>IF(COUNT(E152:E171), SUM(E152:E171) / COUNT(E152:E171), 0)</f>
        <v>-2.0100360853597541E-2</v>
      </c>
      <c r="F172" s="28">
        <f>SUM(F152:F171)</f>
        <v>-40200.72170719508</v>
      </c>
      <c r="G172" s="26" t="s">
        <v>271</v>
      </c>
      <c r="H172" s="27">
        <f>IF(COUNT(H152:H171), SUM(H152:H171) / COUNT(H152:H171), 0)</f>
        <v>-5.7331510186912085E-2</v>
      </c>
      <c r="I172" s="28">
        <f>SUM(I152:I171)</f>
        <v>-114663.0203738242</v>
      </c>
      <c r="J172" s="26" t="s">
        <v>271</v>
      </c>
      <c r="K172" s="27">
        <f>IF(COUNT(K152:K171), SUM(K152:K171) / COUNT(K152:K171), 0)</f>
        <v>-3.6523779908123173E-2</v>
      </c>
      <c r="L172" s="28">
        <f>SUM(L152:L171)</f>
        <v>-73047.559816246343</v>
      </c>
      <c r="M172" s="26" t="s">
        <v>271</v>
      </c>
      <c r="N172" s="27">
        <f>IF(COUNT(N152:N171), SUM(N152:N171) / COUNT(N152:N171), 0)</f>
        <v>-5.1643764235725323E-2</v>
      </c>
      <c r="O172" s="28">
        <f>SUM(O152:O171)</f>
        <v>-103287.52847145066</v>
      </c>
      <c r="Q172" s="255"/>
      <c r="R172" s="256"/>
      <c r="S172" s="257"/>
    </row>
    <row r="174" spans="1:19" ht="17.25" thickBot="1"/>
    <row r="175" spans="1:19" ht="17.25" thickBot="1">
      <c r="A175" s="201" t="s">
        <v>255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85" t="s">
        <v>267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55149000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2.1442459999999998E-3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2021-09-08(수) 오전 00:00</v>
      </c>
      <c r="C177" s="265"/>
      <c r="D177" s="224" t="str">
        <f>TEXT($G$1, "[$-ko-KR]yyyy-mm-dd(ddd) ") &amp; "오후 14:00"</f>
        <v>2021-09-08(수) 오후 14:00</v>
      </c>
      <c r="E177" s="225"/>
      <c r="F177" s="226"/>
      <c r="G177" s="224" t="str">
        <f>TEXT($G$1, "[$-ko-KR]yyyy-mm-dd(ddd) ") &amp; "오후 19:00"</f>
        <v>2021-09-08(수) 오후 19:00</v>
      </c>
      <c r="H177" s="225"/>
      <c r="I177" s="226"/>
      <c r="J177" s="224" t="str">
        <f>TEXT($G$1, "[$-ko-KR]yyyy-mm-dd(ddd) ") &amp; "오후 21:00"</f>
        <v>2021-09-08(수) 오후 21:00</v>
      </c>
      <c r="K177" s="225"/>
      <c r="L177" s="226"/>
      <c r="M177" s="224" t="str">
        <f>TEXT($G$1+1, "[$-ko-KR]yyyy-mm-dd(ddd) ") &amp; "오전 00:00"</f>
        <v>2021-09-09(목)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7"/>
      <c r="R178" s="227"/>
      <c r="S178" s="227"/>
    </row>
    <row r="179" spans="1:19" ht="17.25" thickBot="1">
      <c r="A179" s="123" t="s">
        <v>116</v>
      </c>
      <c r="B179" s="124">
        <v>7495</v>
      </c>
      <c r="C179" s="76">
        <v>-0.17182320440000001</v>
      </c>
      <c r="D179" s="13">
        <v>7300</v>
      </c>
      <c r="E179" s="14">
        <f>IF(ISNUMBER(D179), (D179 - $B179) / $B179, "")</f>
        <v>-2.6017344896597731E-2</v>
      </c>
      <c r="F179" s="16">
        <f>IF(ISNUMBER(D179), $B199 * E179, "")</f>
        <v>-2601.7344896597733</v>
      </c>
      <c r="G179" s="29">
        <v>6935</v>
      </c>
      <c r="H179" s="14">
        <f>IF(ISNUMBER(G179), (G179 - $B179) / $B179, "")</f>
        <v>-7.4716477651767851E-2</v>
      </c>
      <c r="I179" s="100">
        <f>IF(ISNUMBER(G179), $B199 * H179, "")</f>
        <v>-7471.6477651767855</v>
      </c>
      <c r="J179" s="13">
        <v>7030</v>
      </c>
      <c r="K179" s="14">
        <f>IF(ISNUMBER(J179), (J179 - $B179) / $B179, "")</f>
        <v>-6.2041360907271512E-2</v>
      </c>
      <c r="L179" s="16">
        <f>IF(ISNUMBER(J179), $B199 * K179, "")</f>
        <v>-6204.136090727151</v>
      </c>
      <c r="M179" s="29">
        <v>7015</v>
      </c>
      <c r="N179" s="14">
        <f>IF(ISNUMBER(M179), (M179 - $B179) / $B179, "")</f>
        <v>-6.404269513008673E-2</v>
      </c>
      <c r="O179" s="16">
        <f>IF(ISNUMBER(M179), $B199 * N179, "")</f>
        <v>-6404.2695130086731</v>
      </c>
      <c r="Q179" s="222"/>
      <c r="R179" s="222"/>
      <c r="S179" s="222"/>
    </row>
    <row r="180" spans="1:19" ht="17.25" thickBot="1">
      <c r="A180" s="125" t="s">
        <v>114</v>
      </c>
      <c r="B180" s="126">
        <v>919</v>
      </c>
      <c r="C180" s="77">
        <v>-0.1720720721</v>
      </c>
      <c r="D180" s="15">
        <v>939</v>
      </c>
      <c r="E180" s="32">
        <f t="shared" ref="E180:E183" si="94">IF(ISNUMBER(D180), (D180 - $B180) / $B180, "")</f>
        <v>2.176278563656148E-2</v>
      </c>
      <c r="F180" s="18">
        <f>IF(ISNUMBER(D180), $B199 * E180, "")</f>
        <v>2176.278563656148</v>
      </c>
      <c r="G180" s="31">
        <v>914</v>
      </c>
      <c r="H180" s="32">
        <f t="shared" ref="H180:H183" si="95">IF(ISNUMBER(G180), (G180 - $B180) / $B180, "")</f>
        <v>-5.4406964091403701E-3</v>
      </c>
      <c r="I180" s="101">
        <f>IF(ISNUMBER(G180), $B199 * H180, "")</f>
        <v>-544.069640914037</v>
      </c>
      <c r="J180" s="15">
        <v>945</v>
      </c>
      <c r="K180" s="32">
        <f t="shared" ref="K180:K183" si="96">IF(ISNUMBER(J180), (J180 - $B180) / $B180, "")</f>
        <v>2.8291621327529923E-2</v>
      </c>
      <c r="L180" s="18">
        <f>IF(ISNUMBER(J180), $B199 * K180, "")</f>
        <v>2829.1621327529924</v>
      </c>
      <c r="M180" s="31">
        <v>911</v>
      </c>
      <c r="N180" s="32">
        <f t="shared" ref="N180:N183" si="97">IF(ISNUMBER(M180), (M180 - $B180) / $B180, "")</f>
        <v>-8.7051142546245922E-3</v>
      </c>
      <c r="O180" s="18">
        <f>IF(ISNUMBER(M180), $B199 * N180, "")</f>
        <v>-870.51142546245921</v>
      </c>
      <c r="Q180" s="222"/>
      <c r="R180" s="222"/>
      <c r="S180" s="222"/>
    </row>
    <row r="181" spans="1:19" ht="17.25" thickBot="1">
      <c r="A181" s="125" t="s">
        <v>156</v>
      </c>
      <c r="B181" s="126">
        <v>2090</v>
      </c>
      <c r="C181" s="77">
        <v>-0.17227722770000001</v>
      </c>
      <c r="D181" s="15">
        <v>2085</v>
      </c>
      <c r="E181" s="32">
        <f t="shared" si="94"/>
        <v>-2.3923444976076554E-3</v>
      </c>
      <c r="F181" s="18">
        <f>IF(ISNUMBER(D181), $B199 * E181, "")</f>
        <v>-239.23444976076553</v>
      </c>
      <c r="G181" s="31">
        <v>1985</v>
      </c>
      <c r="H181" s="32">
        <f t="shared" si="95"/>
        <v>-5.0239234449760764E-2</v>
      </c>
      <c r="I181" s="101">
        <f>IF(ISNUMBER(G181), $B199 * H181, "")</f>
        <v>-5023.9234449760761</v>
      </c>
      <c r="J181" s="15">
        <v>2020</v>
      </c>
      <c r="K181" s="32">
        <f t="shared" si="96"/>
        <v>-3.3492822966507178E-2</v>
      </c>
      <c r="L181" s="18">
        <f>IF(ISNUMBER(J181), $B199 * K181, "")</f>
        <v>-3349.2822966507179</v>
      </c>
      <c r="M181" s="31">
        <v>1985</v>
      </c>
      <c r="N181" s="32">
        <f t="shared" si="97"/>
        <v>-5.0239234449760764E-2</v>
      </c>
      <c r="O181" s="18">
        <f>IF(ISNUMBER(M181), $B199 * N181, "")</f>
        <v>-5023.9234449760761</v>
      </c>
      <c r="Q181" s="227"/>
      <c r="R181" s="227"/>
      <c r="S181" s="227"/>
    </row>
    <row r="182" spans="1:19" ht="17.25" thickBot="1">
      <c r="A182" s="125" t="s">
        <v>162</v>
      </c>
      <c r="B182" s="126">
        <v>115</v>
      </c>
      <c r="C182" s="77">
        <v>-0.17266187050000001</v>
      </c>
      <c r="D182" s="15">
        <v>111</v>
      </c>
      <c r="E182" s="32">
        <f t="shared" si="94"/>
        <v>-3.4782608695652174E-2</v>
      </c>
      <c r="F182" s="18">
        <f>IF(ISNUMBER(D182), $B199 * E182, "")</f>
        <v>-3478.2608695652175</v>
      </c>
      <c r="G182" s="31">
        <v>106</v>
      </c>
      <c r="H182" s="32">
        <f t="shared" si="95"/>
        <v>-7.8260869565217397E-2</v>
      </c>
      <c r="I182" s="101">
        <f>IF(ISNUMBER(G182), $B199 * H182, "")</f>
        <v>-7826.0869565217399</v>
      </c>
      <c r="J182" s="15">
        <v>109</v>
      </c>
      <c r="K182" s="32">
        <f t="shared" si="96"/>
        <v>-5.2173913043478258E-2</v>
      </c>
      <c r="L182" s="18">
        <f>IF(ISNUMBER(J182), $B199 * K182, "")</f>
        <v>-5217.391304347826</v>
      </c>
      <c r="M182" s="31">
        <v>108</v>
      </c>
      <c r="N182" s="32">
        <f t="shared" si="97"/>
        <v>-6.0869565217391307E-2</v>
      </c>
      <c r="O182" s="18">
        <f>IF(ISNUMBER(M182), $B199 * N182, "")</f>
        <v>-6086.9565217391309</v>
      </c>
      <c r="Q182" s="227"/>
      <c r="R182" s="227"/>
      <c r="S182" s="227"/>
    </row>
    <row r="183" spans="1:19" ht="17.25" thickBot="1">
      <c r="A183" s="127" t="s">
        <v>136</v>
      </c>
      <c r="B183" s="128">
        <v>2150</v>
      </c>
      <c r="C183" s="78">
        <v>-0.1730769231</v>
      </c>
      <c r="D183" s="20">
        <v>2065</v>
      </c>
      <c r="E183" s="21">
        <f t="shared" si="94"/>
        <v>-3.9534883720930232E-2</v>
      </c>
      <c r="F183" s="22">
        <f>IF(ISNUMBER(D183), $B199 * E183, "")</f>
        <v>-3953.4883720930234</v>
      </c>
      <c r="G183" s="30">
        <v>2030</v>
      </c>
      <c r="H183" s="21">
        <f t="shared" si="95"/>
        <v>-5.5813953488372092E-2</v>
      </c>
      <c r="I183" s="105">
        <f>IF(ISNUMBER(G183), $B199 * H183, "")</f>
        <v>-5581.395348837209</v>
      </c>
      <c r="J183" s="20">
        <v>2055</v>
      </c>
      <c r="K183" s="21">
        <f t="shared" si="96"/>
        <v>-4.4186046511627906E-2</v>
      </c>
      <c r="L183" s="22">
        <f>IF(ISNUMBER(J183), $B199 * K183, "")</f>
        <v>-4418.604651162791</v>
      </c>
      <c r="M183" s="30">
        <v>2040</v>
      </c>
      <c r="N183" s="21">
        <f t="shared" si="97"/>
        <v>-5.1162790697674418E-2</v>
      </c>
      <c r="O183" s="22">
        <f>IF(ISNUMBER(M183), $B199 * N183, "")</f>
        <v>-5116.2790697674418</v>
      </c>
      <c r="Q183" s="227"/>
      <c r="R183" s="227"/>
      <c r="S183" s="227"/>
    </row>
    <row r="184" spans="1:19" ht="17.25" thickBot="1">
      <c r="A184" s="125" t="s">
        <v>67</v>
      </c>
      <c r="B184" s="129">
        <v>4910</v>
      </c>
      <c r="C184" s="80">
        <v>-0.17340067340000001</v>
      </c>
      <c r="D184" s="106">
        <v>4690</v>
      </c>
      <c r="E184" s="107">
        <f>IF(ISNUMBER(D184), (D184 - $B184) / $B184, "")</f>
        <v>-4.4806517311608958E-2</v>
      </c>
      <c r="F184" s="108">
        <f>IF(ISNUMBER(D184), $B199 * E184, "")</f>
        <v>-4480.6517311608959</v>
      </c>
      <c r="G184" s="109">
        <v>4550</v>
      </c>
      <c r="H184" s="107">
        <f>IF(ISNUMBER(G184), (G184 - $B184) / $B184, "")</f>
        <v>-7.3319755600814662E-2</v>
      </c>
      <c r="I184" s="110">
        <f>IF(ISNUMBER(G184), $B199 * H184, "")</f>
        <v>-7331.975560081466</v>
      </c>
      <c r="J184" s="106">
        <v>4665</v>
      </c>
      <c r="K184" s="107">
        <f>IF(ISNUMBER(J184), (J184 - $B184) / $B184, "")</f>
        <v>-4.9898167006109981E-2</v>
      </c>
      <c r="L184" s="108">
        <f>IF(ISNUMBER(J184), $B199 * K184, "")</f>
        <v>-4989.8167006109979</v>
      </c>
      <c r="M184" s="109">
        <v>4575</v>
      </c>
      <c r="N184" s="107">
        <f>IF(ISNUMBER(M184), (M184 - $B184) / $B184, "")</f>
        <v>-6.8228105906313646E-2</v>
      </c>
      <c r="O184" s="108">
        <f>IF(ISNUMBER(M184), $B199 * N184, "")</f>
        <v>-6822.8105906313649</v>
      </c>
      <c r="Q184" s="227"/>
      <c r="R184" s="227"/>
      <c r="S184" s="227"/>
    </row>
    <row r="185" spans="1:19" ht="17.25" thickBot="1">
      <c r="A185" s="125" t="s">
        <v>226</v>
      </c>
      <c r="B185" s="126">
        <v>2020</v>
      </c>
      <c r="C185" s="77">
        <v>-0.17382413090000001</v>
      </c>
      <c r="D185" s="15">
        <v>1940</v>
      </c>
      <c r="E185" s="32">
        <f t="shared" ref="E185:E188" si="98">IF(ISNUMBER(D185), (D185 - $B185) / $B185, "")</f>
        <v>-3.9603960396039604E-2</v>
      </c>
      <c r="F185" s="18">
        <f>IF(ISNUMBER(D185), $B199 * E185, "")</f>
        <v>-3960.3960396039606</v>
      </c>
      <c r="G185" s="31">
        <v>1865</v>
      </c>
      <c r="H185" s="32">
        <f t="shared" ref="H185:H188" si="99">IF(ISNUMBER(G185), (G185 - $B185) / $B185, "")</f>
        <v>-7.6732673267326731E-2</v>
      </c>
      <c r="I185" s="101">
        <f>IF(ISNUMBER(G185), $B199 * H185, "")</f>
        <v>-7673.2673267326727</v>
      </c>
      <c r="J185" s="15">
        <v>1955</v>
      </c>
      <c r="K185" s="32">
        <f t="shared" ref="K185:K188" si="100">IF(ISNUMBER(J185), (J185 - $B185) / $B185, "")</f>
        <v>-3.2178217821782179E-2</v>
      </c>
      <c r="L185" s="18">
        <f>IF(ISNUMBER(J185), $B199 * K185, "")</f>
        <v>-3217.8217821782177</v>
      </c>
      <c r="M185" s="31">
        <v>1895</v>
      </c>
      <c r="N185" s="32">
        <f t="shared" ref="N185:N188" si="101">IF(ISNUMBER(M185), (M185 - $B185) / $B185, "")</f>
        <v>-6.1881188118811881E-2</v>
      </c>
      <c r="O185" s="18">
        <f>IF(ISNUMBER(M185), $B199 * N185, "")</f>
        <v>-6188.1188118811879</v>
      </c>
      <c r="Q185" s="227"/>
      <c r="R185" s="227"/>
      <c r="S185" s="227"/>
    </row>
    <row r="186" spans="1:19" ht="17.25" thickBot="1">
      <c r="A186" s="125" t="s">
        <v>120</v>
      </c>
      <c r="B186" s="126">
        <v>4995</v>
      </c>
      <c r="C186" s="77">
        <v>-0.1743801653</v>
      </c>
      <c r="D186" s="15">
        <v>4765</v>
      </c>
      <c r="E186" s="32">
        <f t="shared" si="98"/>
        <v>-4.6046046046046049E-2</v>
      </c>
      <c r="F186" s="18">
        <f>IF(ISNUMBER(D186), $B199 * E186, "")</f>
        <v>-4604.6046046046049</v>
      </c>
      <c r="G186" s="31">
        <v>4595</v>
      </c>
      <c r="H186" s="32">
        <f t="shared" si="99"/>
        <v>-8.0080080080080079E-2</v>
      </c>
      <c r="I186" s="101">
        <f>IF(ISNUMBER(G186), $B199 * H186, "")</f>
        <v>-8008.0080080080079</v>
      </c>
      <c r="J186" s="15">
        <v>4655</v>
      </c>
      <c r="K186" s="32">
        <f t="shared" si="100"/>
        <v>-6.8068068068068074E-2</v>
      </c>
      <c r="L186" s="18">
        <f>IF(ISNUMBER(J186), $B199 * K186, "")</f>
        <v>-6806.8068068068078</v>
      </c>
      <c r="M186" s="31">
        <v>4635</v>
      </c>
      <c r="N186" s="32">
        <f t="shared" si="101"/>
        <v>-7.2072072072072071E-2</v>
      </c>
      <c r="O186" s="18">
        <f>IF(ISNUMBER(M186), $B199 * N186, "")</f>
        <v>-7207.2072072072069</v>
      </c>
      <c r="Q186" s="227"/>
      <c r="R186" s="227"/>
      <c r="S186" s="227"/>
    </row>
    <row r="187" spans="1:19" ht="17.25" thickBot="1">
      <c r="A187" s="125" t="s">
        <v>230</v>
      </c>
      <c r="B187" s="126">
        <v>339</v>
      </c>
      <c r="C187" s="77">
        <v>-0.17518248180000001</v>
      </c>
      <c r="D187" s="15">
        <v>332</v>
      </c>
      <c r="E187" s="32">
        <f t="shared" si="98"/>
        <v>-2.0648967551622419E-2</v>
      </c>
      <c r="F187" s="18">
        <f>IF(ISNUMBER(D187), $B199 * E187, "")</f>
        <v>-2064.8967551622418</v>
      </c>
      <c r="G187" s="31">
        <v>315</v>
      </c>
      <c r="H187" s="32">
        <f t="shared" si="99"/>
        <v>-7.0796460176991149E-2</v>
      </c>
      <c r="I187" s="101">
        <f>IF(ISNUMBER(G187), $B199 * H187, "")</f>
        <v>-7079.646017699115</v>
      </c>
      <c r="J187" s="15">
        <v>328</v>
      </c>
      <c r="K187" s="32">
        <f t="shared" si="100"/>
        <v>-3.2448377581120944E-2</v>
      </c>
      <c r="L187" s="18">
        <f>IF(ISNUMBER(J187), $B199 * K187, "")</f>
        <v>-3244.8377581120944</v>
      </c>
      <c r="M187" s="31">
        <v>319</v>
      </c>
      <c r="N187" s="32">
        <f t="shared" si="101"/>
        <v>-5.8997050147492625E-2</v>
      </c>
      <c r="O187" s="18">
        <f>IF(ISNUMBER(M187), $B199 * N187, "")</f>
        <v>-5899.7050147492628</v>
      </c>
      <c r="Q187" s="33"/>
      <c r="R187" s="33"/>
    </row>
    <row r="188" spans="1:19" ht="17.25" thickBot="1">
      <c r="A188" s="130" t="s">
        <v>96</v>
      </c>
      <c r="B188" s="131">
        <v>5340</v>
      </c>
      <c r="C188" s="79">
        <v>-0.1752895753</v>
      </c>
      <c r="D188" s="24">
        <v>5185</v>
      </c>
      <c r="E188" s="25">
        <f t="shared" si="98"/>
        <v>-2.9026217228464421E-2</v>
      </c>
      <c r="F188" s="104">
        <f>IF(ISNUMBER(D188), $B199 * E188, "")</f>
        <v>-2902.621722846442</v>
      </c>
      <c r="G188" s="102">
        <v>5030</v>
      </c>
      <c r="H188" s="25">
        <f t="shared" si="99"/>
        <v>-5.8052434456928842E-2</v>
      </c>
      <c r="I188" s="103">
        <f>IF(ISNUMBER(G188), $B199 * H188, "")</f>
        <v>-5805.2434456928841</v>
      </c>
      <c r="J188" s="24">
        <v>5115</v>
      </c>
      <c r="K188" s="25">
        <f t="shared" si="100"/>
        <v>-4.2134831460674156E-2</v>
      </c>
      <c r="L188" s="104">
        <f>IF(ISNUMBER(J188), $B199 * K188, "")</f>
        <v>-4213.4831460674159</v>
      </c>
      <c r="M188" s="102">
        <v>5070</v>
      </c>
      <c r="N188" s="25">
        <f t="shared" si="101"/>
        <v>-5.0561797752808987E-2</v>
      </c>
      <c r="O188" s="104">
        <f>IF(ISNUMBER(M188), $B199 * N188, "")</f>
        <v>-5056.1797752808989</v>
      </c>
      <c r="Q188" s="236"/>
      <c r="R188" s="237"/>
      <c r="S188" s="238"/>
    </row>
    <row r="189" spans="1:19">
      <c r="A189" s="123" t="s">
        <v>102</v>
      </c>
      <c r="B189" s="124">
        <v>1230</v>
      </c>
      <c r="C189" s="76">
        <v>-0.17725752510000001</v>
      </c>
      <c r="D189" s="13">
        <v>1165</v>
      </c>
      <c r="E189" s="14">
        <f>IF(ISNUMBER(D189), (D189 - $B189) / $B189, "")</f>
        <v>-5.2845528455284556E-2</v>
      </c>
      <c r="F189" s="16">
        <f>IF(ISNUMBER(D189), $B199 * E189, "")</f>
        <v>-5284.5528455284557</v>
      </c>
      <c r="G189" s="29">
        <v>1140</v>
      </c>
      <c r="H189" s="14">
        <f>IF(ISNUMBER(G189), (G189 - $B189) / $B189, "")</f>
        <v>-7.3170731707317069E-2</v>
      </c>
      <c r="I189" s="100">
        <f>IF(ISNUMBER(G189), $B199 * H189, "")</f>
        <v>-7317.0731707317073</v>
      </c>
      <c r="J189" s="13">
        <v>1155</v>
      </c>
      <c r="K189" s="14">
        <f>IF(ISNUMBER(J189), (J189 - $B189) / $B189, "")</f>
        <v>-6.097560975609756E-2</v>
      </c>
      <c r="L189" s="16">
        <f>IF(ISNUMBER(J189), $B199 * K189, "")</f>
        <v>-6097.5609756097556</v>
      </c>
      <c r="M189" s="29">
        <v>1145</v>
      </c>
      <c r="N189" s="14">
        <f>IF(ISNUMBER(M189), (M189 - $B189) / $B189, "")</f>
        <v>-6.910569105691057E-2</v>
      </c>
      <c r="O189" s="16">
        <f>IF(ISNUMBER(M189), $B199 * N189, "")</f>
        <v>-6910.5691056910573</v>
      </c>
      <c r="Q189" s="239"/>
      <c r="R189" s="240"/>
      <c r="S189" s="241"/>
    </row>
    <row r="190" spans="1:19" ht="17.25" thickBot="1">
      <c r="A190" s="125" t="s">
        <v>216</v>
      </c>
      <c r="B190" s="126">
        <v>11.6</v>
      </c>
      <c r="C190" s="77">
        <v>-0.1773049645</v>
      </c>
      <c r="D190" s="15">
        <v>11.2</v>
      </c>
      <c r="E190" s="32">
        <f t="shared" ref="E190:E193" si="102">IF(ISNUMBER(D190), (D190 - $B190) / $B190, "")</f>
        <v>-3.4482758620689689E-2</v>
      </c>
      <c r="F190" s="18">
        <f>IF(ISNUMBER(D190), $B199 * E190, "")</f>
        <v>-3448.2758620689688</v>
      </c>
      <c r="G190" s="31">
        <v>10.9</v>
      </c>
      <c r="H190" s="32">
        <f t="shared" ref="H190:H193" si="103">IF(ISNUMBER(G190), (G190 - $B190) / $B190, "")</f>
        <v>-6.0344827586206837E-2</v>
      </c>
      <c r="I190" s="101">
        <f>IF(ISNUMBER(G190), $B199 * H190, "")</f>
        <v>-6034.4827586206839</v>
      </c>
      <c r="J190" s="15">
        <v>11.1</v>
      </c>
      <c r="K190" s="32">
        <f t="shared" ref="K190:K193" si="104">IF(ISNUMBER(J190), (J190 - $B190) / $B190, "")</f>
        <v>-4.3103448275862072E-2</v>
      </c>
      <c r="L190" s="18">
        <f>IF(ISNUMBER(J190), $B199 * K190, "")</f>
        <v>-4310.3448275862074</v>
      </c>
      <c r="M190" s="31">
        <v>11</v>
      </c>
      <c r="N190" s="32">
        <f t="shared" ref="N190:N193" si="105">IF(ISNUMBER(M190), (M190 - $B190) / $B190, "")</f>
        <v>-5.1724137931034454E-2</v>
      </c>
      <c r="O190" s="18">
        <f>IF(ISNUMBER(M190), $B199 * N190, "")</f>
        <v>-5172.4137931034456</v>
      </c>
      <c r="Q190" s="242"/>
      <c r="R190" s="243"/>
      <c r="S190" s="244"/>
    </row>
    <row r="191" spans="1:19" ht="17.25" thickBot="1">
      <c r="A191" s="125" t="s">
        <v>122</v>
      </c>
      <c r="B191" s="126">
        <v>41.2</v>
      </c>
      <c r="C191" s="77">
        <v>-0.17764471060000001</v>
      </c>
      <c r="D191" s="15">
        <v>39.799999999999997</v>
      </c>
      <c r="E191" s="32">
        <f t="shared" si="102"/>
        <v>-3.3980582524271982E-2</v>
      </c>
      <c r="F191" s="18">
        <f>IF(ISNUMBER(D191), $B199 * E191, "")</f>
        <v>-3398.0582524271981</v>
      </c>
      <c r="G191" s="31">
        <v>38.1</v>
      </c>
      <c r="H191" s="32">
        <f t="shared" si="103"/>
        <v>-7.5242718446601978E-2</v>
      </c>
      <c r="I191" s="101">
        <f>IF(ISNUMBER(G191), $B199 * H191, "")</f>
        <v>-7524.2718446601975</v>
      </c>
      <c r="J191" s="15">
        <v>38.700000000000003</v>
      </c>
      <c r="K191" s="32">
        <f t="shared" si="104"/>
        <v>-6.0679611650485431E-2</v>
      </c>
      <c r="L191" s="18">
        <f>IF(ISNUMBER(J191), $B199 * K191, "")</f>
        <v>-6067.9611650485431</v>
      </c>
      <c r="M191" s="31">
        <v>38.200000000000003</v>
      </c>
      <c r="N191" s="32">
        <f t="shared" si="105"/>
        <v>-7.281553398058252E-2</v>
      </c>
      <c r="O191" s="18">
        <f>IF(ISNUMBER(M191), $B199 * N191, "")</f>
        <v>-7281.5533980582522</v>
      </c>
      <c r="Q191" s="227"/>
      <c r="R191" s="227"/>
      <c r="S191" s="227"/>
    </row>
    <row r="192" spans="1:19" ht="17.25" thickBot="1">
      <c r="A192" s="125" t="s">
        <v>166</v>
      </c>
      <c r="B192" s="126">
        <v>239</v>
      </c>
      <c r="C192" s="77">
        <v>-0.1786941581</v>
      </c>
      <c r="D192" s="15">
        <v>233</v>
      </c>
      <c r="E192" s="32">
        <f t="shared" si="102"/>
        <v>-2.5104602510460251E-2</v>
      </c>
      <c r="F192" s="18">
        <f>IF(ISNUMBER(D192), $B199 * E192, "")</f>
        <v>-2510.460251046025</v>
      </c>
      <c r="G192" s="31">
        <v>222</v>
      </c>
      <c r="H192" s="32">
        <f t="shared" si="103"/>
        <v>-7.1129707112970716E-2</v>
      </c>
      <c r="I192" s="101">
        <f>IF(ISNUMBER(G192), $B199 * H192, "")</f>
        <v>-7112.9707112970718</v>
      </c>
      <c r="J192" s="15">
        <v>226</v>
      </c>
      <c r="K192" s="32">
        <f t="shared" si="104"/>
        <v>-5.4393305439330547E-2</v>
      </c>
      <c r="L192" s="18">
        <f>IF(ISNUMBER(J192), $B199 * K192, "")</f>
        <v>-5439.3305439330543</v>
      </c>
      <c r="M192" s="31">
        <v>224</v>
      </c>
      <c r="N192" s="32">
        <f t="shared" si="105"/>
        <v>-6.2761506276150625E-2</v>
      </c>
      <c r="O192" s="18">
        <f>IF(ISNUMBER(M192), $B199 * N192, "")</f>
        <v>-6276.1506276150621</v>
      </c>
      <c r="Q192" s="222"/>
      <c r="R192" s="222"/>
      <c r="S192" s="222"/>
    </row>
    <row r="193" spans="1:19" ht="17.25" thickBot="1">
      <c r="A193" s="127" t="s">
        <v>144</v>
      </c>
      <c r="B193" s="128">
        <v>118</v>
      </c>
      <c r="C193" s="78">
        <v>-0.1805555556</v>
      </c>
      <c r="D193" s="20">
        <v>116</v>
      </c>
      <c r="E193" s="21">
        <f t="shared" si="102"/>
        <v>-1.6949152542372881E-2</v>
      </c>
      <c r="F193" s="22">
        <f>IF(ISNUMBER(D193), $B199 * E193, "")</f>
        <v>-1694.9152542372881</v>
      </c>
      <c r="G193" s="30">
        <v>112</v>
      </c>
      <c r="H193" s="21">
        <f t="shared" si="103"/>
        <v>-5.0847457627118647E-2</v>
      </c>
      <c r="I193" s="105">
        <f>IF(ISNUMBER(G193), $B199 * H193, "")</f>
        <v>-5084.7457627118647</v>
      </c>
      <c r="J193" s="20">
        <v>114</v>
      </c>
      <c r="K193" s="21">
        <f t="shared" si="104"/>
        <v>-3.3898305084745763E-2</v>
      </c>
      <c r="L193" s="22">
        <f>IF(ISNUMBER(J193), $B199 * K193, "")</f>
        <v>-3389.8305084745762</v>
      </c>
      <c r="M193" s="30">
        <v>113</v>
      </c>
      <c r="N193" s="21">
        <f t="shared" si="105"/>
        <v>-4.2372881355932202E-2</v>
      </c>
      <c r="O193" s="22">
        <f>IF(ISNUMBER(M193), $B199 * N193, "")</f>
        <v>-4237.2881355932204</v>
      </c>
      <c r="Q193" s="222"/>
      <c r="R193" s="222"/>
      <c r="S193" s="222"/>
    </row>
    <row r="194" spans="1:19" ht="17.25" thickBot="1">
      <c r="A194" s="125" t="s">
        <v>160</v>
      </c>
      <c r="B194" s="129">
        <v>1720</v>
      </c>
      <c r="C194" s="80">
        <v>-0.180952381</v>
      </c>
      <c r="D194" s="106">
        <v>1660</v>
      </c>
      <c r="E194" s="107">
        <f>IF(ISNUMBER(D194), (D194 - $B194) / $B194, "")</f>
        <v>-3.4883720930232558E-2</v>
      </c>
      <c r="F194" s="108">
        <f>IF(ISNUMBER(D194), $B199 * E194, "")</f>
        <v>-3488.3720930232557</v>
      </c>
      <c r="G194" s="109">
        <v>1595</v>
      </c>
      <c r="H194" s="107">
        <f>IF(ISNUMBER(G194), (G194 - $B194) / $B194, "")</f>
        <v>-7.2674418604651167E-2</v>
      </c>
      <c r="I194" s="110">
        <f>IF(ISNUMBER(G194), $B199 * H194, "")</f>
        <v>-7267.4418604651164</v>
      </c>
      <c r="J194" s="106">
        <v>1635</v>
      </c>
      <c r="K194" s="107">
        <f>IF(ISNUMBER(J194), (J194 - $B194) / $B194, "")</f>
        <v>-4.9418604651162788E-2</v>
      </c>
      <c r="L194" s="108">
        <f>IF(ISNUMBER(J194), $B199 * K194, "")</f>
        <v>-4941.8604651162786</v>
      </c>
      <c r="M194" s="109">
        <v>1605</v>
      </c>
      <c r="N194" s="107">
        <f>IF(ISNUMBER(M194), (M194 - $B194) / $B194, "")</f>
        <v>-6.6860465116279064E-2</v>
      </c>
      <c r="O194" s="108">
        <f>IF(ISNUMBER(M194), $B199 * N194, "")</f>
        <v>-6686.0465116279065</v>
      </c>
      <c r="Q194" s="227"/>
      <c r="R194" s="227"/>
      <c r="S194" s="227"/>
    </row>
    <row r="195" spans="1:19" ht="17.25" thickBot="1">
      <c r="A195" s="125" t="s">
        <v>138</v>
      </c>
      <c r="B195" s="126">
        <v>419</v>
      </c>
      <c r="C195" s="77">
        <v>-0.181640625</v>
      </c>
      <c r="D195" s="15">
        <v>394</v>
      </c>
      <c r="E195" s="32">
        <f t="shared" ref="E195:E198" si="106">IF(ISNUMBER(D195), (D195 - $B195) / $B195, "")</f>
        <v>-5.9665871121718374E-2</v>
      </c>
      <c r="F195" s="18">
        <f>IF(ISNUMBER(D195), $B199 * E195, "")</f>
        <v>-5966.5871121718374</v>
      </c>
      <c r="G195" s="31">
        <v>382</v>
      </c>
      <c r="H195" s="32">
        <f t="shared" ref="H195:H198" si="107">IF(ISNUMBER(G195), (G195 - $B195) / $B195, "")</f>
        <v>-8.83054892601432E-2</v>
      </c>
      <c r="I195" s="101">
        <f>IF(ISNUMBER(G195), $B199 * H195, "")</f>
        <v>-8830.5489260143204</v>
      </c>
      <c r="J195" s="15">
        <v>389</v>
      </c>
      <c r="K195" s="32">
        <f t="shared" ref="K195:K198" si="108">IF(ISNUMBER(J195), (J195 - $B195) / $B195, "")</f>
        <v>-7.1599045346062054E-2</v>
      </c>
      <c r="L195" s="18">
        <f>IF(ISNUMBER(J195), $B199 * K195, "")</f>
        <v>-7159.9045346062057</v>
      </c>
      <c r="M195" s="31">
        <v>383</v>
      </c>
      <c r="N195" s="32">
        <f t="shared" ref="N195:N198" si="109">IF(ISNUMBER(M195), (M195 - $B195) / $B195, "")</f>
        <v>-8.5918854415274457E-2</v>
      </c>
      <c r="O195" s="18">
        <f>IF(ISNUMBER(M195), $B199 * N195, "")</f>
        <v>-8591.8854415274454</v>
      </c>
      <c r="Q195" s="227"/>
      <c r="R195" s="227"/>
      <c r="S195" s="227"/>
    </row>
    <row r="196" spans="1:19" ht="17.25" thickBot="1">
      <c r="A196" s="125" t="s">
        <v>124</v>
      </c>
      <c r="B196" s="126">
        <v>603</v>
      </c>
      <c r="C196" s="77">
        <v>-0.18292682930000001</v>
      </c>
      <c r="D196" s="15">
        <v>615</v>
      </c>
      <c r="E196" s="32">
        <f t="shared" si="106"/>
        <v>1.9900497512437811E-2</v>
      </c>
      <c r="F196" s="18">
        <f>IF(ISNUMBER(D196), $B199 * E196, "")</f>
        <v>1990.049751243781</v>
      </c>
      <c r="G196" s="31">
        <v>618</v>
      </c>
      <c r="H196" s="32">
        <f t="shared" si="107"/>
        <v>2.4875621890547265E-2</v>
      </c>
      <c r="I196" s="101">
        <f>IF(ISNUMBER(G196), $B199 * H196, "")</f>
        <v>2487.5621890547263</v>
      </c>
      <c r="J196" s="15">
        <v>634</v>
      </c>
      <c r="K196" s="32">
        <f t="shared" si="108"/>
        <v>5.140961857379768E-2</v>
      </c>
      <c r="L196" s="18">
        <f>IF(ISNUMBER(J196), $B199 * K196, "")</f>
        <v>5140.9618573797679</v>
      </c>
      <c r="M196" s="31">
        <v>608</v>
      </c>
      <c r="N196" s="32">
        <f t="shared" si="109"/>
        <v>8.291873963515755E-3</v>
      </c>
      <c r="O196" s="18">
        <f>IF(ISNUMBER(M196), $B199 * N196, "")</f>
        <v>829.18739635157544</v>
      </c>
      <c r="Q196" s="227"/>
      <c r="R196" s="227"/>
      <c r="S196" s="227"/>
    </row>
    <row r="197" spans="1:19">
      <c r="A197" s="125" t="s">
        <v>86</v>
      </c>
      <c r="B197" s="126">
        <v>421</v>
      </c>
      <c r="C197" s="77">
        <v>-0.18568665379999999</v>
      </c>
      <c r="D197" s="15">
        <v>407</v>
      </c>
      <c r="E197" s="32">
        <f t="shared" si="106"/>
        <v>-3.3254156769596199E-2</v>
      </c>
      <c r="F197" s="18">
        <f>IF(ISNUMBER(D197), $B199 * E197, "")</f>
        <v>-3325.4156769596198</v>
      </c>
      <c r="G197" s="31">
        <v>399</v>
      </c>
      <c r="H197" s="32">
        <f t="shared" si="107"/>
        <v>-5.2256532066508314E-2</v>
      </c>
      <c r="I197" s="101">
        <f>IF(ISNUMBER(G197), $B199 * H197, "")</f>
        <v>-5225.6532066508316</v>
      </c>
      <c r="J197" s="15">
        <v>403</v>
      </c>
      <c r="K197" s="32">
        <f t="shared" si="108"/>
        <v>-4.2755344418052253E-2</v>
      </c>
      <c r="L197" s="18">
        <f>IF(ISNUMBER(J197), $B199 * K197, "")</f>
        <v>-4275.5344418052255</v>
      </c>
      <c r="M197" s="31">
        <v>398</v>
      </c>
      <c r="N197" s="32">
        <f t="shared" si="109"/>
        <v>-5.4631828978622329E-2</v>
      </c>
      <c r="O197" s="18">
        <f>IF(ISNUMBER(M197), $B199 * N197, "")</f>
        <v>-5463.1828978622325</v>
      </c>
      <c r="Q197" s="249"/>
      <c r="R197" s="250"/>
      <c r="S197" s="251"/>
    </row>
    <row r="198" spans="1:19" ht="17.25" thickBot="1">
      <c r="A198" s="130" t="s">
        <v>112</v>
      </c>
      <c r="B198" s="131">
        <v>8665</v>
      </c>
      <c r="C198" s="79">
        <v>-0.1871482176</v>
      </c>
      <c r="D198" s="24">
        <v>8175</v>
      </c>
      <c r="E198" s="25">
        <f t="shared" si="106"/>
        <v>-5.6549336410848243E-2</v>
      </c>
      <c r="F198" s="104">
        <f>IF(ISNUMBER(D198), $B199 * E198, "")</f>
        <v>-5654.9336410848246</v>
      </c>
      <c r="G198" s="102">
        <v>7970</v>
      </c>
      <c r="H198" s="25">
        <f t="shared" si="107"/>
        <v>-8.0207732256203118E-2</v>
      </c>
      <c r="I198" s="103">
        <f>IF(ISNUMBER(G198), $B199 * H198, "")</f>
        <v>-8020.7732256203117</v>
      </c>
      <c r="J198" s="24">
        <v>8080</v>
      </c>
      <c r="K198" s="25">
        <f t="shared" si="108"/>
        <v>-6.7512983266012697E-2</v>
      </c>
      <c r="L198" s="104">
        <f>IF(ISNUMBER(J198), $B199 * K198, "")</f>
        <v>-6751.2983266012698</v>
      </c>
      <c r="M198" s="102">
        <v>7900</v>
      </c>
      <c r="N198" s="25">
        <f t="shared" si="109"/>
        <v>-8.8286208886324297E-2</v>
      </c>
      <c r="O198" s="104">
        <f>IF(ISNUMBER(M198), $B199 * N198, "")</f>
        <v>-8828.6208886324293</v>
      </c>
      <c r="Q198" s="252"/>
      <c r="R198" s="253"/>
      <c r="S198" s="254"/>
    </row>
    <row r="199" spans="1:19" ht="17.25" thickBot="1">
      <c r="A199" s="132" t="s">
        <v>270</v>
      </c>
      <c r="B199" s="260">
        <f>$B$37</f>
        <v>100000</v>
      </c>
      <c r="C199" s="261"/>
      <c r="D199" s="26" t="s">
        <v>271</v>
      </c>
      <c r="E199" s="27">
        <f>IF(COUNT(E179:E198), SUM(E179:E198) / COUNT(E179:E198), 0)</f>
        <v>-2.9445565854052235E-2</v>
      </c>
      <c r="F199" s="28">
        <f>SUM(F179:F198)</f>
        <v>-58891.131708104476</v>
      </c>
      <c r="G199" s="26" t="s">
        <v>271</v>
      </c>
      <c r="H199" s="27">
        <f>IF(COUNT(H179:H198), SUM(H179:H198) / COUNT(H179:H198), 0)</f>
        <v>-6.1137831396178677E-2</v>
      </c>
      <c r="I199" s="28">
        <f>SUM(I179:I198)</f>
        <v>-122275.6627923574</v>
      </c>
      <c r="J199" s="26" t="s">
        <v>271</v>
      </c>
      <c r="K199" s="27">
        <f>IF(COUNT(K179:K198), SUM(K179:K198) / COUNT(K179:K198), 0)</f>
        <v>-4.1062841167656197E-2</v>
      </c>
      <c r="L199" s="28">
        <f>SUM(L179:L198)</f>
        <v>-82125.682335312391</v>
      </c>
      <c r="M199" s="26" t="s">
        <v>271</v>
      </c>
      <c r="N199" s="27">
        <f>IF(COUNT(N179:N198), SUM(N179:N198) / COUNT(N179:N198), 0)</f>
        <v>-5.6647242389031592E-2</v>
      </c>
      <c r="O199" s="28">
        <f>SUM(O179:O198)</f>
        <v>-113294.48477806318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F04FC-118F-4E38-81FA-DB87E4C998E1}">
  <sheetPr codeName="Sheet15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44448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320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328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163,090 KRW (8.15%)</v>
      </c>
      <c r="H3" s="217"/>
      <c r="I3" s="218"/>
      <c r="J3" s="4" t="s">
        <v>7</v>
      </c>
      <c r="K3" s="213" t="s">
        <v>321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322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319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206,289 KRW (12.13%)</v>
      </c>
      <c r="H5" s="217"/>
      <c r="I5" s="218"/>
      <c r="J5" s="4" t="s">
        <v>15</v>
      </c>
      <c r="K5" s="213" t="s">
        <v>323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324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160,398 KRW (8.02%)</v>
      </c>
      <c r="H7" s="217"/>
      <c r="I7" s="218"/>
      <c r="J7" s="4" t="s">
        <v>21</v>
      </c>
      <c r="K7" s="213" t="s">
        <v>325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255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243,264 KRW (12.16%)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326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327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318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89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55149000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2.1442459999999998E-3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2021-09-09(목) 오전 00:00</v>
      </c>
      <c r="C15" s="268"/>
      <c r="D15" s="224" t="str">
        <f>TEXT($G$1, "[$-ko-KR]yyyy-mm-dd(ddd) ") &amp; "오후 14:00"</f>
        <v>2021-09-09(목) 오후 14:00</v>
      </c>
      <c r="E15" s="225"/>
      <c r="F15" s="226"/>
      <c r="G15" s="224" t="str">
        <f>TEXT($G$1, "[$-ko-KR]yyyy-mm-dd(ddd) ") &amp; "오후 19:00"</f>
        <v>2021-09-09(목) 오후 19:00</v>
      </c>
      <c r="H15" s="225"/>
      <c r="I15" s="226"/>
      <c r="J15" s="224" t="str">
        <f>TEXT($G$1, "[$-ko-KR]yyyy-mm-dd(ddd) ") &amp; "오후 21:00"</f>
        <v>2021-09-09(목) 오후 21:00</v>
      </c>
      <c r="K15" s="225"/>
      <c r="L15" s="226"/>
      <c r="M15" s="224" t="str">
        <f>TEXT($G$1+1, "[$-ko-KR]yyyy-mm-dd(ddd) ") &amp; "오전 00:00"</f>
        <v>2021-09-10(금)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89" t="s">
        <v>267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55149000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2.1442459999999998E-3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2021-09-09(목) 오전 00:00</v>
      </c>
      <c r="C42" s="265"/>
      <c r="D42" s="224" t="str">
        <f>TEXT($G$1, "[$-ko-KR]yyyy-mm-dd(ddd) ") &amp; "오후 14:00"</f>
        <v>2021-09-09(목) 오후 14:00</v>
      </c>
      <c r="E42" s="225"/>
      <c r="F42" s="226"/>
      <c r="G42" s="224" t="str">
        <f>TEXT($G$1, "[$-ko-KR]yyyy-mm-dd(ddd) ") &amp; "오후 19:00"</f>
        <v>2021-09-09(목) 오후 19:00</v>
      </c>
      <c r="H42" s="225"/>
      <c r="I42" s="226"/>
      <c r="J42" s="224" t="str">
        <f>TEXT($G$1, "[$-ko-KR]yyyy-mm-dd(ddd) ") &amp; "오후 21:00"</f>
        <v>2021-09-09(목) 오후 21:00</v>
      </c>
      <c r="K42" s="225"/>
      <c r="L42" s="226"/>
      <c r="M42" s="224" t="str">
        <f>TEXT($G$1+1, "[$-ko-KR]yyyy-mm-dd(ddd) ") &amp; "오전 00:00"</f>
        <v>2021-09-10(금)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7"/>
      <c r="R43" s="227"/>
      <c r="S43" s="227"/>
    </row>
    <row r="44" spans="1:19" ht="17.25" customHeight="1" thickBot="1">
      <c r="A44" s="123" t="s">
        <v>65</v>
      </c>
      <c r="B44" s="124">
        <v>76.900000000000006</v>
      </c>
      <c r="C44" s="76">
        <v>0.1794478528</v>
      </c>
      <c r="D44" s="13">
        <v>91.1</v>
      </c>
      <c r="E44" s="14">
        <f>IF(ISNUMBER(D44), (D44 - $B44) / $B44, "")</f>
        <v>0.18465539661898553</v>
      </c>
      <c r="F44" s="16">
        <f>IF(ISNUMBER(D44), $B64 * E44, "")</f>
        <v>18465.539661898554</v>
      </c>
      <c r="G44" s="29">
        <v>104</v>
      </c>
      <c r="H44" s="14">
        <f>IF(ISNUMBER(G44), (G44 - $B44) / $B44, "")</f>
        <v>0.35240572171651485</v>
      </c>
      <c r="I44" s="100">
        <f>IF(ISNUMBER(G44), $B64 * H44, "")</f>
        <v>35240.572171651482</v>
      </c>
      <c r="J44" s="13">
        <v>101</v>
      </c>
      <c r="K44" s="14">
        <f>IF(ISNUMBER(J44), (J44 - $B44) / $B44, "")</f>
        <v>0.31339401820546153</v>
      </c>
      <c r="L44" s="16">
        <f>IF(ISNUMBER(J44), $B64 * K44, "")</f>
        <v>31339.401820546154</v>
      </c>
      <c r="M44" s="29">
        <v>101</v>
      </c>
      <c r="N44" s="14">
        <f>IF(ISNUMBER(M44), (M44 - $B44) / $B44, "")</f>
        <v>0.31339401820546153</v>
      </c>
      <c r="O44" s="16">
        <f>IF(ISNUMBER(M44), $B64 * N44, "")</f>
        <v>31339.401820546154</v>
      </c>
      <c r="Q44" s="222"/>
      <c r="R44" s="222"/>
      <c r="S44" s="222"/>
    </row>
    <row r="45" spans="1:19" ht="17.25" customHeight="1" thickBot="1">
      <c r="A45" s="125" t="s">
        <v>250</v>
      </c>
      <c r="B45" s="126">
        <v>93.6</v>
      </c>
      <c r="C45" s="77">
        <v>3.7694013300000002E-2</v>
      </c>
      <c r="D45" s="15">
        <v>94.9</v>
      </c>
      <c r="E45" s="32">
        <f t="shared" ref="E45:E48" si="14">IF(ISNUMBER(D45), (D45 - $B45) / $B45, "")</f>
        <v>1.3888888888889011E-2</v>
      </c>
      <c r="F45" s="18">
        <f>IF(ISNUMBER(D45), $B64 * E45, "")</f>
        <v>1388.8888888889012</v>
      </c>
      <c r="G45" s="31">
        <v>95.3</v>
      </c>
      <c r="H45" s="32">
        <f t="shared" ref="H45:H48" si="15">IF(ISNUMBER(G45), (G45 - $B45) / $B45, "")</f>
        <v>1.8162393162393195E-2</v>
      </c>
      <c r="I45" s="101">
        <f>IF(ISNUMBER(G45), $B64 * H45, "")</f>
        <v>1816.2393162393196</v>
      </c>
      <c r="J45" s="15">
        <v>96.8</v>
      </c>
      <c r="K45" s="32">
        <f t="shared" ref="K45:K48" si="16">IF(ISNUMBER(J45), (J45 - $B45) / $B45, "")</f>
        <v>3.4188034188034219E-2</v>
      </c>
      <c r="L45" s="18">
        <f>IF(ISNUMBER(J45), $B64 * K45, "")</f>
        <v>3418.8034188034221</v>
      </c>
      <c r="M45" s="31">
        <v>96.4</v>
      </c>
      <c r="N45" s="32">
        <f t="shared" ref="N45:N48" si="17">IF(ISNUMBER(M45), (M45 - $B45) / $B45, "")</f>
        <v>2.9914529914530037E-2</v>
      </c>
      <c r="O45" s="18">
        <f>IF(ISNUMBER(M45), $B64 * N45, "")</f>
        <v>2991.4529914530035</v>
      </c>
      <c r="Q45" s="222"/>
      <c r="R45" s="222"/>
      <c r="S45" s="222"/>
    </row>
    <row r="46" spans="1:19" ht="17.25" customHeight="1" thickBot="1">
      <c r="A46" s="125" t="s">
        <v>98</v>
      </c>
      <c r="B46" s="126">
        <v>4.83</v>
      </c>
      <c r="C46" s="77">
        <v>2.0746888000000002E-3</v>
      </c>
      <c r="D46" s="15">
        <v>4.87</v>
      </c>
      <c r="E46" s="32">
        <f t="shared" si="14"/>
        <v>8.2815734989648108E-3</v>
      </c>
      <c r="F46" s="18">
        <f>IF(ISNUMBER(D46), $B64 * E46, "")</f>
        <v>828.15734989648104</v>
      </c>
      <c r="G46" s="31">
        <v>4.91</v>
      </c>
      <c r="H46" s="32">
        <f t="shared" si="15"/>
        <v>1.6563146997929622E-2</v>
      </c>
      <c r="I46" s="101">
        <f>IF(ISNUMBER(G46), $B64 * H46, "")</f>
        <v>1656.3146997929621</v>
      </c>
      <c r="J46" s="15">
        <v>4.96</v>
      </c>
      <c r="K46" s="32">
        <f t="shared" si="16"/>
        <v>2.6915113871635588E-2</v>
      </c>
      <c r="L46" s="18">
        <f>IF(ISNUMBER(J46), $B64 * K46, "")</f>
        <v>2691.5113871635585</v>
      </c>
      <c r="M46" s="31">
        <v>4.9000000000000004</v>
      </c>
      <c r="N46" s="32">
        <f t="shared" si="17"/>
        <v>1.4492753623188465E-2</v>
      </c>
      <c r="O46" s="18">
        <f>IF(ISNUMBER(M46), $B64 * N46, "")</f>
        <v>1449.2753623188464</v>
      </c>
      <c r="Q46" s="227"/>
      <c r="R46" s="227"/>
      <c r="S46" s="227"/>
    </row>
    <row r="47" spans="1:19" ht="17.25" customHeight="1" thickBot="1">
      <c r="A47" s="125" t="s">
        <v>72</v>
      </c>
      <c r="B47" s="126">
        <v>25.2</v>
      </c>
      <c r="C47" s="77">
        <v>-2.3255814E-2</v>
      </c>
      <c r="D47" s="15">
        <v>26.3</v>
      </c>
      <c r="E47" s="32">
        <f t="shared" si="14"/>
        <v>4.3650793650793711E-2</v>
      </c>
      <c r="F47" s="18">
        <f>IF(ISNUMBER(D47), $B64 * E47, "")</f>
        <v>4365.0793650793712</v>
      </c>
      <c r="G47" s="31">
        <v>27.3</v>
      </c>
      <c r="H47" s="32">
        <f t="shared" si="15"/>
        <v>8.3333333333333398E-2</v>
      </c>
      <c r="I47" s="101">
        <f>IF(ISNUMBER(G47), $B64 * H47, "")</f>
        <v>8333.3333333333394</v>
      </c>
      <c r="J47" s="15">
        <v>27.5</v>
      </c>
      <c r="K47" s="32">
        <f t="shared" si="16"/>
        <v>9.1269841269841306E-2</v>
      </c>
      <c r="L47" s="18">
        <f>IF(ISNUMBER(J47), $B64 * K47, "")</f>
        <v>9126.9841269841309</v>
      </c>
      <c r="M47" s="31">
        <v>27.9</v>
      </c>
      <c r="N47" s="32">
        <f t="shared" si="17"/>
        <v>0.10714285714285712</v>
      </c>
      <c r="O47" s="18">
        <f>IF(ISNUMBER(M47), $B64 * N47, "")</f>
        <v>10714.285714285712</v>
      </c>
      <c r="Q47" s="227"/>
      <c r="R47" s="227"/>
      <c r="S47" s="227"/>
    </row>
    <row r="48" spans="1:19" ht="17.25" customHeight="1" thickBot="1">
      <c r="A48" s="127" t="s">
        <v>178</v>
      </c>
      <c r="B48" s="128">
        <v>18.600000000000001</v>
      </c>
      <c r="C48" s="78">
        <v>-5.1020408199999999E-2</v>
      </c>
      <c r="D48" s="20">
        <v>19.8</v>
      </c>
      <c r="E48" s="21">
        <f t="shared" si="14"/>
        <v>6.4516129032258021E-2</v>
      </c>
      <c r="F48" s="22">
        <f>IF(ISNUMBER(D48), $B64 * E48, "")</f>
        <v>6451.6129032258023</v>
      </c>
      <c r="G48" s="30">
        <v>20.100000000000001</v>
      </c>
      <c r="H48" s="21">
        <f t="shared" si="15"/>
        <v>8.0645161290322578E-2</v>
      </c>
      <c r="I48" s="105">
        <f>IF(ISNUMBER(G48), $B64 * H48, "")</f>
        <v>8064.5161290322576</v>
      </c>
      <c r="J48" s="20">
        <v>20.5</v>
      </c>
      <c r="K48" s="21">
        <f t="shared" si="16"/>
        <v>0.10215053763440851</v>
      </c>
      <c r="L48" s="22">
        <f>IF(ISNUMBER(J48), $B64 * K48, "")</f>
        <v>10215.053763440852</v>
      </c>
      <c r="M48" s="30">
        <v>20.3</v>
      </c>
      <c r="N48" s="21">
        <f t="shared" si="17"/>
        <v>9.1397849462365552E-2</v>
      </c>
      <c r="O48" s="22">
        <f>IF(ISNUMBER(M48), $B64 * N48, "")</f>
        <v>9139.7849462365557</v>
      </c>
      <c r="Q48" s="227"/>
      <c r="R48" s="227"/>
      <c r="S48" s="227"/>
    </row>
    <row r="49" spans="1:19" ht="17.25" customHeight="1" thickBot="1">
      <c r="A49" s="125" t="s">
        <v>190</v>
      </c>
      <c r="B49" s="129">
        <v>18</v>
      </c>
      <c r="C49" s="80">
        <v>-5.7591623000000002E-2</v>
      </c>
      <c r="D49" s="106">
        <v>19.600000000000001</v>
      </c>
      <c r="E49" s="107">
        <f>IF(ISNUMBER(D49), (D49 - $B49) / $B49, "")</f>
        <v>8.8888888888888962E-2</v>
      </c>
      <c r="F49" s="108">
        <f>IF(ISNUMBER(D49), $B64 * E49, "")</f>
        <v>8888.888888888896</v>
      </c>
      <c r="G49" s="109">
        <v>19.8</v>
      </c>
      <c r="H49" s="107">
        <f>IF(ISNUMBER(G49), (G49 - $B49) / $B49, "")</f>
        <v>0.10000000000000003</v>
      </c>
      <c r="I49" s="110">
        <f>IF(ISNUMBER(G49), $B64 * H49, "")</f>
        <v>10000.000000000004</v>
      </c>
      <c r="J49" s="106">
        <v>20</v>
      </c>
      <c r="K49" s="107">
        <f>IF(ISNUMBER(J49), (J49 - $B49) / $B49, "")</f>
        <v>0.1111111111111111</v>
      </c>
      <c r="L49" s="108">
        <f>IF(ISNUMBER(J49), $B64 * K49, "")</f>
        <v>11111.111111111111</v>
      </c>
      <c r="M49" s="109">
        <v>20</v>
      </c>
      <c r="N49" s="107">
        <f>IF(ISNUMBER(M49), (M49 - $B49) / $B49, "")</f>
        <v>0.1111111111111111</v>
      </c>
      <c r="O49" s="108">
        <f>IF(ISNUMBER(M49), $B64 * N49, "")</f>
        <v>11111.111111111111</v>
      </c>
      <c r="Q49" s="227"/>
      <c r="R49" s="227"/>
      <c r="S49" s="227"/>
    </row>
    <row r="50" spans="1:19" ht="17.25" customHeight="1" thickBot="1">
      <c r="A50" s="125" t="s">
        <v>216</v>
      </c>
      <c r="B50" s="126">
        <v>11</v>
      </c>
      <c r="C50" s="77">
        <v>-5.9829059800000001E-2</v>
      </c>
      <c r="D50" s="15">
        <v>11.7</v>
      </c>
      <c r="E50" s="32">
        <f t="shared" ref="E50:E53" si="18">IF(ISNUMBER(D50), (D50 - $B50) / $B50, "")</f>
        <v>6.3636363636363574E-2</v>
      </c>
      <c r="F50" s="18">
        <f>IF(ISNUMBER(D50), $B64 * E50, "")</f>
        <v>6363.6363636363576</v>
      </c>
      <c r="G50" s="31">
        <v>11.8</v>
      </c>
      <c r="H50" s="32">
        <f t="shared" ref="H50:H53" si="19">IF(ISNUMBER(G50), (G50 - $B50) / $B50, "")</f>
        <v>7.2727272727272793E-2</v>
      </c>
      <c r="I50" s="101">
        <f>IF(ISNUMBER(G50), $B64 * H50, "")</f>
        <v>7272.7272727272793</v>
      </c>
      <c r="J50" s="15">
        <v>12.2</v>
      </c>
      <c r="K50" s="32">
        <f t="shared" ref="K50:K53" si="20">IF(ISNUMBER(J50), (J50 - $B50) / $B50, "")</f>
        <v>0.10909090909090903</v>
      </c>
      <c r="L50" s="18">
        <f>IF(ISNUMBER(J50), $B64 * K50, "")</f>
        <v>10909.090909090903</v>
      </c>
      <c r="M50" s="31">
        <v>12.1</v>
      </c>
      <c r="N50" s="32">
        <f t="shared" ref="N50:N53" si="21">IF(ISNUMBER(M50), (M50 - $B50) / $B50, "")</f>
        <v>9.9999999999999964E-2</v>
      </c>
      <c r="O50" s="18">
        <f>IF(ISNUMBER(M50), $B64 * N50, "")</f>
        <v>9999.9999999999964</v>
      </c>
      <c r="Q50" s="227"/>
      <c r="R50" s="227"/>
      <c r="S50" s="227"/>
    </row>
    <row r="51" spans="1:19" ht="17.25" customHeight="1" thickBot="1">
      <c r="A51" s="125" t="s">
        <v>148</v>
      </c>
      <c r="B51" s="126">
        <v>21.9</v>
      </c>
      <c r="C51" s="77">
        <v>-6.0085836900000002E-2</v>
      </c>
      <c r="D51" s="15">
        <v>23.4</v>
      </c>
      <c r="E51" s="32">
        <f t="shared" si="18"/>
        <v>6.8493150684931517E-2</v>
      </c>
      <c r="F51" s="18">
        <f>IF(ISNUMBER(D51), $B64 * E51, "")</f>
        <v>6849.3150684931516</v>
      </c>
      <c r="G51" s="31">
        <v>23.4</v>
      </c>
      <c r="H51" s="32">
        <f t="shared" si="19"/>
        <v>6.8493150684931517E-2</v>
      </c>
      <c r="I51" s="101">
        <f>IF(ISNUMBER(G51), $B64 * H51, "")</f>
        <v>6849.3150684931516</v>
      </c>
      <c r="J51" s="15">
        <v>23.9</v>
      </c>
      <c r="K51" s="32">
        <f t="shared" si="20"/>
        <v>9.1324200913242018E-2</v>
      </c>
      <c r="L51" s="18">
        <f>IF(ISNUMBER(J51), $B64 * K51, "")</f>
        <v>9132.4200913242021</v>
      </c>
      <c r="M51" s="31">
        <v>24.2</v>
      </c>
      <c r="N51" s="32">
        <f t="shared" si="21"/>
        <v>0.10502283105022835</v>
      </c>
      <c r="O51" s="18">
        <f>IF(ISNUMBER(M51), $B64 * N51, "")</f>
        <v>10502.283105022834</v>
      </c>
      <c r="Q51" s="227"/>
      <c r="R51" s="227"/>
      <c r="S51" s="227"/>
    </row>
    <row r="52" spans="1:19" ht="17.25" customHeight="1" thickBot="1">
      <c r="A52" s="125" t="s">
        <v>202</v>
      </c>
      <c r="B52" s="126">
        <v>86.1</v>
      </c>
      <c r="C52" s="77">
        <v>-6.5146579800000007E-2</v>
      </c>
      <c r="D52" s="15">
        <v>93.5</v>
      </c>
      <c r="E52" s="32">
        <f t="shared" si="18"/>
        <v>8.5946573751451871E-2</v>
      </c>
      <c r="F52" s="18">
        <f>IF(ISNUMBER(D52), $B64 * E52, "")</f>
        <v>8594.657375145187</v>
      </c>
      <c r="G52" s="31">
        <v>92.5</v>
      </c>
      <c r="H52" s="32">
        <f t="shared" si="19"/>
        <v>7.4332171893147572E-2</v>
      </c>
      <c r="I52" s="101">
        <f>IF(ISNUMBER(G52), $B64 * H52, "")</f>
        <v>7433.217189314757</v>
      </c>
      <c r="J52" s="15">
        <v>93.6</v>
      </c>
      <c r="K52" s="32">
        <f t="shared" si="20"/>
        <v>8.7108013937282236E-2</v>
      </c>
      <c r="L52" s="18">
        <f>IF(ISNUMBER(J52), $B64 * K52, "")</f>
        <v>8710.801393728223</v>
      </c>
      <c r="M52" s="31">
        <v>93.1</v>
      </c>
      <c r="N52" s="32">
        <f t="shared" si="21"/>
        <v>8.1300813008130093E-2</v>
      </c>
      <c r="O52" s="18">
        <f>IF(ISNUMBER(M52), $B64 * N52, "")</f>
        <v>8130.081300813009</v>
      </c>
      <c r="Q52" s="33"/>
      <c r="R52" s="33"/>
    </row>
    <row r="53" spans="1:19" ht="17.25" customHeight="1" thickBot="1">
      <c r="A53" s="130" t="s">
        <v>208</v>
      </c>
      <c r="B53" s="131">
        <v>12.8</v>
      </c>
      <c r="C53" s="79">
        <v>-6.56934307E-2</v>
      </c>
      <c r="D53" s="24">
        <v>14.5</v>
      </c>
      <c r="E53" s="25">
        <f t="shared" si="18"/>
        <v>0.13281249999999994</v>
      </c>
      <c r="F53" s="104">
        <f>IF(ISNUMBER(D53), $B64 * E53, "")</f>
        <v>13281.249999999995</v>
      </c>
      <c r="G53" s="102">
        <v>14.7</v>
      </c>
      <c r="H53" s="25">
        <f t="shared" si="19"/>
        <v>0.14843749999999989</v>
      </c>
      <c r="I53" s="103">
        <f>IF(ISNUMBER(G53), $B64 * H53, "")</f>
        <v>14843.749999999989</v>
      </c>
      <c r="J53" s="24">
        <v>14.9</v>
      </c>
      <c r="K53" s="25">
        <f t="shared" si="20"/>
        <v>0.16406249999999997</v>
      </c>
      <c r="L53" s="104">
        <f>IF(ISNUMBER(J53), $B64 * K53, "")</f>
        <v>16406.249999999996</v>
      </c>
      <c r="M53" s="102">
        <v>15</v>
      </c>
      <c r="N53" s="25">
        <f t="shared" si="21"/>
        <v>0.17187499999999994</v>
      </c>
      <c r="O53" s="104">
        <f>IF(ISNUMBER(M53), $B64 * N53, "")</f>
        <v>17187.499999999993</v>
      </c>
      <c r="Q53" s="236"/>
      <c r="R53" s="237"/>
      <c r="S53" s="238"/>
    </row>
    <row r="54" spans="1:19" ht="17.25" customHeight="1">
      <c r="A54" s="123" t="s">
        <v>150</v>
      </c>
      <c r="B54" s="124">
        <v>12.7</v>
      </c>
      <c r="C54" s="76">
        <v>-6.6176470599999995E-2</v>
      </c>
      <c r="D54" s="13">
        <v>13.7</v>
      </c>
      <c r="E54" s="14">
        <f>IF(ISNUMBER(D54), (D54 - $B54) / $B54, "")</f>
        <v>7.874015748031496E-2</v>
      </c>
      <c r="F54" s="16">
        <f>IF(ISNUMBER(D54), $B64 * E54, "")</f>
        <v>7874.0157480314956</v>
      </c>
      <c r="G54" s="29">
        <v>13.9</v>
      </c>
      <c r="H54" s="14">
        <f>IF(ISNUMBER(G54), (G54 - $B54) / $B54, "")</f>
        <v>9.4488188976378049E-2</v>
      </c>
      <c r="I54" s="100">
        <f>IF(ISNUMBER(G54), $B64 * H54, "")</f>
        <v>9448.8188976378042</v>
      </c>
      <c r="J54" s="13">
        <v>14</v>
      </c>
      <c r="K54" s="14">
        <f>IF(ISNUMBER(J54), (J54 - $B54) / $B54, "")</f>
        <v>0.10236220472440952</v>
      </c>
      <c r="L54" s="16">
        <f>IF(ISNUMBER(J54), $B64 * K54, "")</f>
        <v>10236.220472440951</v>
      </c>
      <c r="M54" s="29">
        <v>14</v>
      </c>
      <c r="N54" s="14">
        <f>IF(ISNUMBER(M54), (M54 - $B54) / $B54, "")</f>
        <v>0.10236220472440952</v>
      </c>
      <c r="O54" s="16">
        <f>IF(ISNUMBER(M54), $B64 * N54, "")</f>
        <v>10236.220472440951</v>
      </c>
      <c r="Q54" s="239"/>
      <c r="R54" s="240"/>
      <c r="S54" s="241"/>
    </row>
    <row r="55" spans="1:19" ht="17.25" customHeight="1" thickBot="1">
      <c r="A55" s="125" t="s">
        <v>204</v>
      </c>
      <c r="B55" s="126">
        <v>15.4</v>
      </c>
      <c r="C55" s="77">
        <v>-6.6666666700000002E-2</v>
      </c>
      <c r="D55" s="15">
        <v>19.8</v>
      </c>
      <c r="E55" s="32">
        <f t="shared" ref="E55:E58" si="22">IF(ISNUMBER(D55), (D55 - $B55) / $B55, "")</f>
        <v>0.28571428571428575</v>
      </c>
      <c r="F55" s="18">
        <f>IF(ISNUMBER(D55), $B64 * E55, "")</f>
        <v>28571.428571428576</v>
      </c>
      <c r="G55" s="31">
        <v>19.3</v>
      </c>
      <c r="H55" s="32">
        <f t="shared" ref="H55:H58" si="23">IF(ISNUMBER(G55), (G55 - $B55) / $B55, "")</f>
        <v>0.25324675324675328</v>
      </c>
      <c r="I55" s="101">
        <f>IF(ISNUMBER(G55), $B64 * H55, "")</f>
        <v>25324.675324675329</v>
      </c>
      <c r="J55" s="15">
        <v>19.399999999999999</v>
      </c>
      <c r="K55" s="32">
        <f t="shared" ref="K55:K58" si="24">IF(ISNUMBER(J55), (J55 - $B55) / $B55, "")</f>
        <v>0.2597402597402596</v>
      </c>
      <c r="L55" s="18">
        <f>IF(ISNUMBER(J55), $B64 * K55, "")</f>
        <v>25974.025974025961</v>
      </c>
      <c r="M55" s="31">
        <v>19.600000000000001</v>
      </c>
      <c r="N55" s="32">
        <f t="shared" ref="N55:N58" si="25">IF(ISNUMBER(M55), (M55 - $B55) / $B55, "")</f>
        <v>0.27272727272727276</v>
      </c>
      <c r="O55" s="18">
        <f>IF(ISNUMBER(M55), $B64 * N55, "")</f>
        <v>27272.727272727276</v>
      </c>
      <c r="Q55" s="242"/>
      <c r="R55" s="243"/>
      <c r="S55" s="244"/>
    </row>
    <row r="56" spans="1:19" ht="17.25" customHeight="1" thickBot="1">
      <c r="A56" s="125" t="s">
        <v>122</v>
      </c>
      <c r="B56" s="126">
        <v>38.200000000000003</v>
      </c>
      <c r="C56" s="77">
        <v>-6.8292682899999999E-2</v>
      </c>
      <c r="D56" s="15">
        <v>42.2</v>
      </c>
      <c r="E56" s="32">
        <f t="shared" si="22"/>
        <v>0.10471204188481674</v>
      </c>
      <c r="F56" s="18">
        <f>IF(ISNUMBER(D56), $B64 * E56, "")</f>
        <v>10471.204188481674</v>
      </c>
      <c r="G56" s="31">
        <v>43.6</v>
      </c>
      <c r="H56" s="32">
        <f t="shared" si="23"/>
        <v>0.14136125654450257</v>
      </c>
      <c r="I56" s="101">
        <f>IF(ISNUMBER(G56), $B64 * H56, "")</f>
        <v>14136.125654450258</v>
      </c>
      <c r="J56" s="15">
        <v>43.9</v>
      </c>
      <c r="K56" s="32">
        <f t="shared" si="24"/>
        <v>0.14921465968586375</v>
      </c>
      <c r="L56" s="18">
        <f>IF(ISNUMBER(J56), $B64 * K56, "")</f>
        <v>14921.465968586375</v>
      </c>
      <c r="M56" s="31">
        <v>44.2</v>
      </c>
      <c r="N56" s="32">
        <f t="shared" si="25"/>
        <v>0.15706806282722513</v>
      </c>
      <c r="O56" s="18">
        <f>IF(ISNUMBER(M56), $B64 * N56, "")</f>
        <v>15706.806282722513</v>
      </c>
      <c r="Q56" s="227"/>
      <c r="R56" s="227"/>
      <c r="S56" s="227"/>
    </row>
    <row r="57" spans="1:19" ht="17.25" customHeight="1" thickBot="1">
      <c r="A57" s="125" t="s">
        <v>240</v>
      </c>
      <c r="B57" s="126">
        <v>66.5</v>
      </c>
      <c r="C57" s="77">
        <v>-6.8627451000000006E-2</v>
      </c>
      <c r="D57" s="15">
        <v>70.7</v>
      </c>
      <c r="E57" s="32">
        <f t="shared" si="22"/>
        <v>6.3157894736842149E-2</v>
      </c>
      <c r="F57" s="18">
        <f>IF(ISNUMBER(D57), $B64 * E57, "")</f>
        <v>6315.7894736842145</v>
      </c>
      <c r="G57" s="31">
        <v>72.2</v>
      </c>
      <c r="H57" s="32">
        <f t="shared" si="23"/>
        <v>8.5714285714285757E-2</v>
      </c>
      <c r="I57" s="101">
        <f>IF(ISNUMBER(G57), $B64 * H57, "")</f>
        <v>8571.4285714285761</v>
      </c>
      <c r="J57" s="15">
        <v>73.599999999999994</v>
      </c>
      <c r="K57" s="32">
        <f t="shared" si="24"/>
        <v>0.106766917293233</v>
      </c>
      <c r="L57" s="18">
        <f>IF(ISNUMBER(J57), $B64 * K57, "")</f>
        <v>10676.6917293233</v>
      </c>
      <c r="M57" s="31">
        <v>73.8</v>
      </c>
      <c r="N57" s="32">
        <f t="shared" si="25"/>
        <v>0.10977443609022552</v>
      </c>
      <c r="O57" s="18">
        <f>IF(ISNUMBER(M57), $B64 * N57, "")</f>
        <v>10977.443609022552</v>
      </c>
      <c r="Q57" s="222"/>
      <c r="R57" s="222"/>
      <c r="S57" s="222"/>
    </row>
    <row r="58" spans="1:19" ht="17.25" customHeight="1" thickBot="1">
      <c r="A58" s="127" t="s">
        <v>188</v>
      </c>
      <c r="B58" s="128">
        <v>13.7</v>
      </c>
      <c r="C58" s="78">
        <v>-7.4324324299999994E-2</v>
      </c>
      <c r="D58" s="20">
        <v>14.8</v>
      </c>
      <c r="E58" s="21">
        <f t="shared" si="22"/>
        <v>8.0291970802919818E-2</v>
      </c>
      <c r="F58" s="22">
        <f>IF(ISNUMBER(D58), $B64 * E58, "")</f>
        <v>8029.1970802919814</v>
      </c>
      <c r="G58" s="30">
        <v>14.8</v>
      </c>
      <c r="H58" s="21">
        <f t="shared" si="23"/>
        <v>8.0291970802919818E-2</v>
      </c>
      <c r="I58" s="105">
        <f>IF(ISNUMBER(G58), $B64 * H58, "")</f>
        <v>8029.1970802919814</v>
      </c>
      <c r="J58" s="20">
        <v>15</v>
      </c>
      <c r="K58" s="21">
        <f t="shared" si="24"/>
        <v>9.489051094890516E-2</v>
      </c>
      <c r="L58" s="22">
        <f>IF(ISNUMBER(J58), $B64 * K58, "")</f>
        <v>9489.0510948905157</v>
      </c>
      <c r="M58" s="30">
        <v>15.5</v>
      </c>
      <c r="N58" s="21">
        <f t="shared" si="25"/>
        <v>0.13138686131386867</v>
      </c>
      <c r="O58" s="22">
        <f>IF(ISNUMBER(M58), $B64 * N58, "")</f>
        <v>13138.686131386867</v>
      </c>
      <c r="Q58" s="222"/>
      <c r="R58" s="222"/>
      <c r="S58" s="222"/>
    </row>
    <row r="59" spans="1:19" ht="17.25" customHeight="1" thickBot="1">
      <c r="A59" s="125" t="s">
        <v>234</v>
      </c>
      <c r="B59" s="129">
        <v>84.6</v>
      </c>
      <c r="C59" s="80">
        <v>-8.3423618599999999E-2</v>
      </c>
      <c r="D59" s="106">
        <v>89.6</v>
      </c>
      <c r="E59" s="107">
        <f>IF(ISNUMBER(D59), (D59 - $B59) / $B59, "")</f>
        <v>5.9101654846335699E-2</v>
      </c>
      <c r="F59" s="108">
        <f>IF(ISNUMBER(D59), $B64 * E59, "")</f>
        <v>5910.1654846335696</v>
      </c>
      <c r="G59" s="109">
        <v>90.3</v>
      </c>
      <c r="H59" s="107">
        <f>IF(ISNUMBER(G59), (G59 - $B59) / $B59, "")</f>
        <v>6.7375886524822737E-2</v>
      </c>
      <c r="I59" s="110">
        <f>IF(ISNUMBER(G59), $B64 * H59, "")</f>
        <v>6737.5886524822736</v>
      </c>
      <c r="J59" s="106">
        <v>92</v>
      </c>
      <c r="K59" s="107">
        <f>IF(ISNUMBER(J59), (J59 - $B59) / $B59, "")</f>
        <v>8.7470449172576903E-2</v>
      </c>
      <c r="L59" s="108">
        <f>IF(ISNUMBER(J59), $B64 * K59, "")</f>
        <v>8747.04491725769</v>
      </c>
      <c r="M59" s="109">
        <v>91.7</v>
      </c>
      <c r="N59" s="107">
        <f>IF(ISNUMBER(M59), (M59 - $B59) / $B59, "")</f>
        <v>8.3924349881796798E-2</v>
      </c>
      <c r="O59" s="108">
        <f>IF(ISNUMBER(M59), $B64 * N59, "")</f>
        <v>8392.4349881796807</v>
      </c>
      <c r="Q59" s="227"/>
      <c r="R59" s="227"/>
      <c r="S59" s="227"/>
    </row>
    <row r="60" spans="1:19" ht="17.25" customHeight="1" thickBot="1">
      <c r="A60" s="125" t="s">
        <v>210</v>
      </c>
      <c r="B60" s="126">
        <v>15</v>
      </c>
      <c r="C60" s="77">
        <v>-9.0909090900000003E-2</v>
      </c>
      <c r="D60" s="15">
        <v>15.8</v>
      </c>
      <c r="E60" s="32">
        <f t="shared" ref="E60:E63" si="26">IF(ISNUMBER(D60), (D60 - $B60) / $B60, "")</f>
        <v>5.3333333333333378E-2</v>
      </c>
      <c r="F60" s="18">
        <f>IF(ISNUMBER(D60), $B64 * E60, "")</f>
        <v>5333.3333333333376</v>
      </c>
      <c r="G60" s="31">
        <v>15.9</v>
      </c>
      <c r="H60" s="32">
        <f t="shared" ref="H60:H63" si="27">IF(ISNUMBER(G60), (G60 - $B60) / $B60, "")</f>
        <v>6.0000000000000026E-2</v>
      </c>
      <c r="I60" s="101">
        <f>IF(ISNUMBER(G60), $B64 * H60, "")</f>
        <v>6000.0000000000027</v>
      </c>
      <c r="J60" s="15">
        <v>16.100000000000001</v>
      </c>
      <c r="K60" s="32">
        <f t="shared" ref="K60:K63" si="28">IF(ISNUMBER(J60), (J60 - $B60) / $B60, "")</f>
        <v>7.3333333333333431E-2</v>
      </c>
      <c r="L60" s="18">
        <f>IF(ISNUMBER(J60), $B64 * K60, "")</f>
        <v>7333.333333333343</v>
      </c>
      <c r="M60" s="31">
        <v>16.2</v>
      </c>
      <c r="N60" s="32">
        <f t="shared" ref="N60:N63" si="29">IF(ISNUMBER(M60), (M60 - $B60) / $B60, "")</f>
        <v>7.9999999999999946E-2</v>
      </c>
      <c r="O60" s="18">
        <f>IF(ISNUMBER(M60), $B64 * N60, "")</f>
        <v>7999.9999999999945</v>
      </c>
      <c r="Q60" s="227"/>
      <c r="R60" s="227"/>
      <c r="S60" s="22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132" t="s">
        <v>270</v>
      </c>
      <c r="B64" s="260">
        <f>$B$37</f>
        <v>100000</v>
      </c>
      <c r="C64" s="261"/>
      <c r="D64" s="26" t="s">
        <v>271</v>
      </c>
      <c r="E64" s="27">
        <f>IF(COUNT(E44:E63), SUM(E44:E63) / COUNT(E44:E63), 0)</f>
        <v>8.704832926178678E-2</v>
      </c>
      <c r="F64" s="28">
        <f>SUM(F44:F63)</f>
        <v>147982.15974503756</v>
      </c>
      <c r="G64" s="26" t="s">
        <v>271</v>
      </c>
      <c r="H64" s="27">
        <f>IF(COUNT(H44:H63), SUM(H44:H63) / COUNT(H44:H63), 0)</f>
        <v>0.1057398937420887</v>
      </c>
      <c r="I64" s="28">
        <f>SUM(I44:I63)</f>
        <v>179757.81936155079</v>
      </c>
      <c r="J64" s="26" t="s">
        <v>271</v>
      </c>
      <c r="K64" s="27">
        <f>IF(COUNT(K44:K63), SUM(K44:K63) / COUNT(K44:K63), 0)</f>
        <v>0.1179054479482651</v>
      </c>
      <c r="L64" s="28">
        <f>SUM(L44:L63)</f>
        <v>200439.26151205067</v>
      </c>
      <c r="M64" s="26" t="s">
        <v>271</v>
      </c>
      <c r="N64" s="27">
        <f>IF(COUNT(N44:N63), SUM(N44:N63) / COUNT(N44:N63), 0)</f>
        <v>0.12134676182839238</v>
      </c>
      <c r="O64" s="28">
        <f>SUM(O44:O63)</f>
        <v>206289.49510826709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89" t="s">
        <v>267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55149000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2.1442459999999998E-3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2021-09-09(목) 오전 00:00</v>
      </c>
      <c r="C69" s="265"/>
      <c r="D69" s="224" t="str">
        <f>TEXT($G$1, "[$-ko-KR]yyyy-mm-dd(ddd) ") &amp; "오후 14:00"</f>
        <v>2021-09-09(목) 오후 14:00</v>
      </c>
      <c r="E69" s="225"/>
      <c r="F69" s="226"/>
      <c r="G69" s="224" t="str">
        <f>TEXT($G$1, "[$-ko-KR]yyyy-mm-dd(ddd) ") &amp; "오후 19:00"</f>
        <v>2021-09-09(목) 오후 19:00</v>
      </c>
      <c r="H69" s="225"/>
      <c r="I69" s="226"/>
      <c r="J69" s="224" t="str">
        <f>TEXT($G$1, "[$-ko-KR]yyyy-mm-dd(ddd) ") &amp; "오후 21:00"</f>
        <v>2021-09-09(목) 오후 21:00</v>
      </c>
      <c r="K69" s="225"/>
      <c r="L69" s="226"/>
      <c r="M69" s="224" t="str">
        <f>TEXT($G$1+1, "[$-ko-KR]yyyy-mm-dd(ddd) ") &amp; "오전 00:00"</f>
        <v>2021-09-10(금)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7"/>
      <c r="R70" s="227"/>
      <c r="S70" s="227"/>
    </row>
    <row r="71" spans="1:19" ht="17.25" thickBot="1">
      <c r="A71" s="123" t="s">
        <v>152</v>
      </c>
      <c r="B71" s="124">
        <v>112</v>
      </c>
      <c r="C71" s="76">
        <v>8.7378640800000004E-2</v>
      </c>
      <c r="D71" s="13">
        <v>110</v>
      </c>
      <c r="E71" s="14">
        <f>IF(ISNUMBER(D71), (D71 - $B71) / $B71, "")</f>
        <v>-1.7857142857142856E-2</v>
      </c>
      <c r="F71" s="16">
        <f>IF(ISNUMBER(D71), $B91 * E71, "")</f>
        <v>-1785.7142857142856</v>
      </c>
      <c r="G71" s="29">
        <v>110</v>
      </c>
      <c r="H71" s="14">
        <f>IF(ISNUMBER(G71), (G71 - $B71) / $B71, "")</f>
        <v>-1.7857142857142856E-2</v>
      </c>
      <c r="I71" s="100">
        <f>IF(ISNUMBER(G71), $B91 * H71, "")</f>
        <v>-1785.7142857142856</v>
      </c>
      <c r="J71" s="13">
        <v>112</v>
      </c>
      <c r="K71" s="14">
        <f>IF(ISNUMBER(J71), (J71 - $B71) / $B71, "")</f>
        <v>0</v>
      </c>
      <c r="L71" s="16">
        <f>IF(ISNUMBER(J71), $B91 * K71, "")</f>
        <v>0</v>
      </c>
      <c r="M71" s="29">
        <v>112</v>
      </c>
      <c r="N71" s="14">
        <f>IF(ISNUMBER(M71), (M71 - $B71) / $B71, "")</f>
        <v>0</v>
      </c>
      <c r="O71" s="16">
        <f>IF(ISNUMBER(M71), $B91 * N71, "")</f>
        <v>0</v>
      </c>
      <c r="Q71" s="222"/>
      <c r="R71" s="222"/>
      <c r="S71" s="222"/>
    </row>
    <row r="72" spans="1:19" ht="17.25" thickBot="1">
      <c r="A72" s="125" t="s">
        <v>242</v>
      </c>
      <c r="B72" s="126">
        <v>632</v>
      </c>
      <c r="C72" s="77">
        <v>3.7766830899999999E-2</v>
      </c>
      <c r="D72" s="15">
        <v>638</v>
      </c>
      <c r="E72" s="32">
        <f t="shared" ref="E72:E75" si="30">IF(ISNUMBER(D72), (D72 - $B72) / $B72, "")</f>
        <v>9.4936708860759497E-3</v>
      </c>
      <c r="F72" s="18">
        <f>IF(ISNUMBER(D72), $B91 * E72, "")</f>
        <v>949.36708860759495</v>
      </c>
      <c r="G72" s="31">
        <v>650</v>
      </c>
      <c r="H72" s="32">
        <f t="shared" ref="H72:H75" si="31">IF(ISNUMBER(G72), (G72 - $B72) / $B72, "")</f>
        <v>2.8481012658227847E-2</v>
      </c>
      <c r="I72" s="101">
        <f>IF(ISNUMBER(G72), $B91 * H72, "")</f>
        <v>2848.1012658227846</v>
      </c>
      <c r="J72" s="15">
        <v>664</v>
      </c>
      <c r="K72" s="32">
        <f t="shared" ref="K72:K75" si="32">IF(ISNUMBER(J72), (J72 - $B72) / $B72, "")</f>
        <v>5.0632911392405063E-2</v>
      </c>
      <c r="L72" s="18">
        <f>IF(ISNUMBER(J72), $B91 * K72, "")</f>
        <v>5063.2911392405058</v>
      </c>
      <c r="M72" s="31">
        <v>663</v>
      </c>
      <c r="N72" s="32">
        <f t="shared" ref="N72:N75" si="33">IF(ISNUMBER(M72), (M72 - $B72) / $B72, "")</f>
        <v>4.9050632911392403E-2</v>
      </c>
      <c r="O72" s="18">
        <f>IF(ISNUMBER(M72), $B91 * N72, "")</f>
        <v>4905.0632911392404</v>
      </c>
      <c r="Q72" s="222"/>
      <c r="R72" s="222"/>
      <c r="S72" s="222"/>
    </row>
    <row r="73" spans="1:19" ht="17.25" thickBot="1">
      <c r="A73" s="125" t="s">
        <v>164</v>
      </c>
      <c r="B73" s="126">
        <v>948</v>
      </c>
      <c r="C73" s="77">
        <v>2.2653721700000001E-2</v>
      </c>
      <c r="D73" s="15">
        <v>953</v>
      </c>
      <c r="E73" s="32">
        <f t="shared" si="30"/>
        <v>5.2742616033755272E-3</v>
      </c>
      <c r="F73" s="18">
        <f>IF(ISNUMBER(D73), $B91 * E73, "")</f>
        <v>527.42616033755269</v>
      </c>
      <c r="G73" s="31">
        <v>1035</v>
      </c>
      <c r="H73" s="32">
        <f t="shared" si="31"/>
        <v>9.1772151898734181E-2</v>
      </c>
      <c r="I73" s="101">
        <f>IF(ISNUMBER(G73), $B91 * H73, "")</f>
        <v>9177.2151898734173</v>
      </c>
      <c r="J73" s="15">
        <v>1065</v>
      </c>
      <c r="K73" s="32">
        <f t="shared" si="32"/>
        <v>0.12341772151898735</v>
      </c>
      <c r="L73" s="18">
        <f>IF(ISNUMBER(J73), $B91 * K73, "")</f>
        <v>12341.772151898735</v>
      </c>
      <c r="M73" s="31">
        <v>1055</v>
      </c>
      <c r="N73" s="32">
        <f t="shared" si="33"/>
        <v>0.11286919831223628</v>
      </c>
      <c r="O73" s="18">
        <f>IF(ISNUMBER(M73), $B91 * N73, "")</f>
        <v>11286.919831223628</v>
      </c>
      <c r="Q73" s="227"/>
      <c r="R73" s="227"/>
      <c r="S73" s="227"/>
    </row>
    <row r="74" spans="1:19" ht="17.25" thickBot="1">
      <c r="A74" s="125" t="s">
        <v>54</v>
      </c>
      <c r="B74" s="126">
        <v>333</v>
      </c>
      <c r="C74" s="77">
        <v>1.52439024E-2</v>
      </c>
      <c r="D74" s="15">
        <v>407</v>
      </c>
      <c r="E74" s="32">
        <f t="shared" si="30"/>
        <v>0.22222222222222221</v>
      </c>
      <c r="F74" s="18">
        <f>IF(ISNUMBER(D74), $B91 * E74, "")</f>
        <v>22222.222222222223</v>
      </c>
      <c r="G74" s="31">
        <v>389</v>
      </c>
      <c r="H74" s="32">
        <f t="shared" si="31"/>
        <v>0.16816816816816818</v>
      </c>
      <c r="I74" s="101">
        <f>IF(ISNUMBER(G74), $B91 * H74, "")</f>
        <v>16816.816816816819</v>
      </c>
      <c r="J74" s="15">
        <v>396</v>
      </c>
      <c r="K74" s="32">
        <f t="shared" si="32"/>
        <v>0.1891891891891892</v>
      </c>
      <c r="L74" s="18">
        <f>IF(ISNUMBER(J74), $B91 * K74, "")</f>
        <v>18918.91891891892</v>
      </c>
      <c r="M74" s="31">
        <v>395</v>
      </c>
      <c r="N74" s="32">
        <f t="shared" si="33"/>
        <v>0.18618618618618618</v>
      </c>
      <c r="O74" s="18">
        <f>IF(ISNUMBER(M74), $B91 * N74, "")</f>
        <v>18618.618618618617</v>
      </c>
      <c r="Q74" s="227"/>
      <c r="R74" s="227"/>
      <c r="S74" s="227"/>
    </row>
    <row r="75" spans="1:19" ht="17.25" thickBot="1">
      <c r="A75" s="127" t="s">
        <v>254</v>
      </c>
      <c r="B75" s="128">
        <v>409</v>
      </c>
      <c r="C75" s="78">
        <v>4.9140049000000003E-3</v>
      </c>
      <c r="D75" s="20">
        <v>431</v>
      </c>
      <c r="E75" s="21">
        <f t="shared" si="30"/>
        <v>5.3789731051344741E-2</v>
      </c>
      <c r="F75" s="22">
        <f>IF(ISNUMBER(D75), $B91 * E75, "")</f>
        <v>5378.9731051344743</v>
      </c>
      <c r="G75" s="30">
        <v>427</v>
      </c>
      <c r="H75" s="21">
        <f t="shared" si="31"/>
        <v>4.4009779951100246E-2</v>
      </c>
      <c r="I75" s="105">
        <f>IF(ISNUMBER(G75), $B91 * H75, "")</f>
        <v>4400.9779951100245</v>
      </c>
      <c r="J75" s="20">
        <v>439</v>
      </c>
      <c r="K75" s="21">
        <f t="shared" si="32"/>
        <v>7.3349633251833746E-2</v>
      </c>
      <c r="L75" s="22">
        <f>IF(ISNUMBER(J75), $B91 * K75, "")</f>
        <v>7334.9633251833748</v>
      </c>
      <c r="M75" s="30">
        <v>444</v>
      </c>
      <c r="N75" s="21">
        <f t="shared" si="33"/>
        <v>8.557457212713937E-2</v>
      </c>
      <c r="O75" s="22">
        <f>IF(ISNUMBER(M75), $B91 * N75, "")</f>
        <v>8557.4572127139363</v>
      </c>
      <c r="Q75" s="227"/>
      <c r="R75" s="227"/>
      <c r="S75" s="227"/>
    </row>
    <row r="76" spans="1:19" ht="17.25" thickBot="1">
      <c r="A76" s="125" t="s">
        <v>114</v>
      </c>
      <c r="B76" s="129">
        <v>911</v>
      </c>
      <c r="C76" s="80">
        <v>1.0989011E-3</v>
      </c>
      <c r="D76" s="106">
        <v>1000</v>
      </c>
      <c r="E76" s="107">
        <f>IF(ISNUMBER(D76), (D76 - $B76) / $B76, "")</f>
        <v>9.7694840834248078E-2</v>
      </c>
      <c r="F76" s="108">
        <f>IF(ISNUMBER(D76), $B91 * E76, "")</f>
        <v>9769.484083424808</v>
      </c>
      <c r="G76" s="109">
        <v>981</v>
      </c>
      <c r="H76" s="107">
        <f>IF(ISNUMBER(G76), (G76 - $B76) / $B76, "")</f>
        <v>7.6838638858397368E-2</v>
      </c>
      <c r="I76" s="110">
        <f>IF(ISNUMBER(G76), $B91 * H76, "")</f>
        <v>7683.8638858397371</v>
      </c>
      <c r="J76" s="106">
        <v>993</v>
      </c>
      <c r="K76" s="107">
        <f>IF(ISNUMBER(J76), (J76 - $B76) / $B76, "")</f>
        <v>9.0010976948408344E-2</v>
      </c>
      <c r="L76" s="108">
        <f>IF(ISNUMBER(J76), $B91 * K76, "")</f>
        <v>9001.0976948408352</v>
      </c>
      <c r="M76" s="109">
        <v>983</v>
      </c>
      <c r="N76" s="107">
        <f>IF(ISNUMBER(M76), (M76 - $B76) / $B76, "")</f>
        <v>7.9034028540065859E-2</v>
      </c>
      <c r="O76" s="108">
        <f>IF(ISNUMBER(M76), $B91 * N76, "")</f>
        <v>7903.4028540065856</v>
      </c>
      <c r="Q76" s="227"/>
      <c r="R76" s="227"/>
      <c r="S76" s="227"/>
    </row>
    <row r="77" spans="1:19" ht="17.25" thickBot="1">
      <c r="A77" s="125" t="s">
        <v>132</v>
      </c>
      <c r="B77" s="126">
        <v>121</v>
      </c>
      <c r="C77" s="77">
        <v>-8.1967212999999994E-3</v>
      </c>
      <c r="D77" s="15">
        <v>126</v>
      </c>
      <c r="E77" s="32">
        <f t="shared" ref="E77:E80" si="34">IF(ISNUMBER(D77), (D77 - $B77) / $B77, "")</f>
        <v>4.1322314049586778E-2</v>
      </c>
      <c r="F77" s="18">
        <f>IF(ISNUMBER(D77), $B91 * E77, "")</f>
        <v>4132.2314049586776</v>
      </c>
      <c r="G77" s="31">
        <v>130</v>
      </c>
      <c r="H77" s="32">
        <f t="shared" ref="H77:H80" si="35">IF(ISNUMBER(G77), (G77 - $B77) / $B77, "")</f>
        <v>7.43801652892562E-2</v>
      </c>
      <c r="I77" s="101">
        <f>IF(ISNUMBER(G77), $B91 * H77, "")</f>
        <v>7438.0165289256202</v>
      </c>
      <c r="J77" s="15">
        <v>132</v>
      </c>
      <c r="K77" s="32">
        <f t="shared" ref="K77:K80" si="36">IF(ISNUMBER(J77), (J77 - $B77) / $B77, "")</f>
        <v>9.0909090909090912E-2</v>
      </c>
      <c r="L77" s="18">
        <f>IF(ISNUMBER(J77), $B91 * K77, "")</f>
        <v>9090.9090909090919</v>
      </c>
      <c r="M77" s="31">
        <v>129</v>
      </c>
      <c r="N77" s="32">
        <f t="shared" ref="N77:N80" si="37">IF(ISNUMBER(M77), (M77 - $B77) / $B77, "")</f>
        <v>6.6115702479338845E-2</v>
      </c>
      <c r="O77" s="18">
        <f>IF(ISNUMBER(M77), $B91 * N77, "")</f>
        <v>6611.5702479338843</v>
      </c>
      <c r="Q77" s="227"/>
      <c r="R77" s="227"/>
      <c r="S77" s="227"/>
    </row>
    <row r="78" spans="1:19" ht="17.25" thickBot="1">
      <c r="A78" s="125" t="s">
        <v>124</v>
      </c>
      <c r="B78" s="126">
        <v>608</v>
      </c>
      <c r="C78" s="77">
        <v>-1.13821138E-2</v>
      </c>
      <c r="D78" s="15">
        <v>762</v>
      </c>
      <c r="E78" s="32">
        <f t="shared" si="34"/>
        <v>0.25328947368421051</v>
      </c>
      <c r="F78" s="18">
        <f>IF(ISNUMBER(D78), $B91 * E78, "")</f>
        <v>25328.94736842105</v>
      </c>
      <c r="G78" s="31">
        <v>696</v>
      </c>
      <c r="H78" s="32">
        <f t="shared" si="35"/>
        <v>0.14473684210526316</v>
      </c>
      <c r="I78" s="101">
        <f>IF(ISNUMBER(G78), $B91 * H78, "")</f>
        <v>14473.684210526317</v>
      </c>
      <c r="J78" s="15">
        <v>716</v>
      </c>
      <c r="K78" s="32">
        <f t="shared" si="36"/>
        <v>0.17763157894736842</v>
      </c>
      <c r="L78" s="18">
        <f>IF(ISNUMBER(J78), $B91 * K78, "")</f>
        <v>17763.157894736843</v>
      </c>
      <c r="M78" s="31">
        <v>699</v>
      </c>
      <c r="N78" s="32">
        <f t="shared" si="37"/>
        <v>0.14967105263157895</v>
      </c>
      <c r="O78" s="18">
        <f>IF(ISNUMBER(M78), $B91 * N78, "")</f>
        <v>14967.105263157895</v>
      </c>
      <c r="Q78" s="227"/>
      <c r="R78" s="227"/>
      <c r="S78" s="227"/>
    </row>
    <row r="79" spans="1:19" ht="17.25" thickBot="1">
      <c r="A79" s="125" t="s">
        <v>222</v>
      </c>
      <c r="B79" s="126">
        <v>182</v>
      </c>
      <c r="C79" s="77">
        <v>-1.6216216200000001E-2</v>
      </c>
      <c r="D79" s="15">
        <v>194</v>
      </c>
      <c r="E79" s="32">
        <f t="shared" si="34"/>
        <v>6.5934065934065936E-2</v>
      </c>
      <c r="F79" s="18">
        <f>IF(ISNUMBER(D79), $B91 * E79, "")</f>
        <v>6593.4065934065939</v>
      </c>
      <c r="G79" s="31">
        <v>194</v>
      </c>
      <c r="H79" s="32">
        <f t="shared" si="35"/>
        <v>6.5934065934065936E-2</v>
      </c>
      <c r="I79" s="101">
        <f>IF(ISNUMBER(G79), $B91 * H79, "")</f>
        <v>6593.4065934065939</v>
      </c>
      <c r="J79" s="15">
        <v>198</v>
      </c>
      <c r="K79" s="32">
        <f t="shared" si="36"/>
        <v>8.7912087912087919E-2</v>
      </c>
      <c r="L79" s="18">
        <f>IF(ISNUMBER(J79), $B91 * K79, "")</f>
        <v>8791.2087912087918</v>
      </c>
      <c r="M79" s="31">
        <v>197</v>
      </c>
      <c r="N79" s="32">
        <f t="shared" si="37"/>
        <v>8.2417582417582416E-2</v>
      </c>
      <c r="O79" s="18">
        <f>IF(ISNUMBER(M79), $B91 * N79, "")</f>
        <v>8241.7582417582416</v>
      </c>
      <c r="Q79" s="33"/>
      <c r="R79" s="33"/>
    </row>
    <row r="80" spans="1:19" ht="17.25" thickBot="1">
      <c r="A80" s="130" t="s">
        <v>118</v>
      </c>
      <c r="B80" s="131">
        <v>197</v>
      </c>
      <c r="C80" s="79">
        <v>-2.4752475199999999E-2</v>
      </c>
      <c r="D80" s="24">
        <v>206</v>
      </c>
      <c r="E80" s="25">
        <f t="shared" si="34"/>
        <v>4.5685279187817257E-2</v>
      </c>
      <c r="F80" s="104">
        <f>IF(ISNUMBER(D80), $B91 * E80, "")</f>
        <v>4568.5279187817259</v>
      </c>
      <c r="G80" s="102">
        <v>206</v>
      </c>
      <c r="H80" s="25">
        <f t="shared" si="35"/>
        <v>4.5685279187817257E-2</v>
      </c>
      <c r="I80" s="103">
        <f>IF(ISNUMBER(G80), $B91 * H80, "")</f>
        <v>4568.5279187817259</v>
      </c>
      <c r="J80" s="24">
        <v>211</v>
      </c>
      <c r="K80" s="25">
        <f t="shared" si="36"/>
        <v>7.1065989847715741E-2</v>
      </c>
      <c r="L80" s="104">
        <f>IF(ISNUMBER(J80), $B91 * K80, "")</f>
        <v>7106.5989847715737</v>
      </c>
      <c r="M80" s="102">
        <v>216</v>
      </c>
      <c r="N80" s="25">
        <f t="shared" si="37"/>
        <v>9.6446700507614211E-2</v>
      </c>
      <c r="O80" s="104">
        <f>IF(ISNUMBER(M80), $B91 * N80, "")</f>
        <v>9644.6700507614205</v>
      </c>
      <c r="Q80" s="236"/>
      <c r="R80" s="237"/>
      <c r="S80" s="238"/>
    </row>
    <row r="81" spans="1:19">
      <c r="A81" s="123" t="s">
        <v>162</v>
      </c>
      <c r="B81" s="124">
        <v>108</v>
      </c>
      <c r="C81" s="76">
        <v>-3.5714285700000001E-2</v>
      </c>
      <c r="D81" s="13">
        <v>116</v>
      </c>
      <c r="E81" s="14">
        <f>IF(ISNUMBER(D81), (D81 - $B81) / $B81, "")</f>
        <v>7.407407407407407E-2</v>
      </c>
      <c r="F81" s="16">
        <f>IF(ISNUMBER(D81), $B91 * E81, "")</f>
        <v>7407.4074074074069</v>
      </c>
      <c r="G81" s="29">
        <v>114</v>
      </c>
      <c r="H81" s="14">
        <f>IF(ISNUMBER(G81), (G81 - $B81) / $B81, "")</f>
        <v>5.5555555555555552E-2</v>
      </c>
      <c r="I81" s="100">
        <f>IF(ISNUMBER(G81), $B91 * H81, "")</f>
        <v>5555.5555555555557</v>
      </c>
      <c r="J81" s="13">
        <v>114</v>
      </c>
      <c r="K81" s="14">
        <f>IF(ISNUMBER(J81), (J81 - $B81) / $B81, "")</f>
        <v>5.5555555555555552E-2</v>
      </c>
      <c r="L81" s="16">
        <f>IF(ISNUMBER(J81), $B91 * K81, "")</f>
        <v>5555.5555555555557</v>
      </c>
      <c r="M81" s="29">
        <v>115</v>
      </c>
      <c r="N81" s="14">
        <f>IF(ISNUMBER(M81), (M81 - $B81) / $B81, "")</f>
        <v>6.4814814814814811E-2</v>
      </c>
      <c r="O81" s="16">
        <f>IF(ISNUMBER(M81), $B91 * N81, "")</f>
        <v>6481.4814814814808</v>
      </c>
      <c r="Q81" s="239"/>
      <c r="R81" s="240"/>
      <c r="S81" s="241"/>
    </row>
    <row r="82" spans="1:19" ht="17.25" thickBot="1">
      <c r="A82" s="125" t="s">
        <v>51</v>
      </c>
      <c r="B82" s="126">
        <v>389</v>
      </c>
      <c r="C82" s="77">
        <v>-3.7128712899999999E-2</v>
      </c>
      <c r="D82" s="15">
        <v>399</v>
      </c>
      <c r="E82" s="32">
        <f t="shared" ref="E82:E85" si="38">IF(ISNUMBER(D82), (D82 - $B82) / $B82, "")</f>
        <v>2.570694087403599E-2</v>
      </c>
      <c r="F82" s="18">
        <f>IF(ISNUMBER(D82), $B91 * E82, "")</f>
        <v>2570.694087403599</v>
      </c>
      <c r="G82" s="31">
        <v>396</v>
      </c>
      <c r="H82" s="32">
        <f t="shared" ref="H82:H85" si="39">IF(ISNUMBER(G82), (G82 - $B82) / $B82, "")</f>
        <v>1.7994858611825194E-2</v>
      </c>
      <c r="I82" s="101">
        <f>IF(ISNUMBER(G82), $B91 * H82, "")</f>
        <v>1799.4858611825193</v>
      </c>
      <c r="J82" s="15">
        <v>403</v>
      </c>
      <c r="K82" s="32">
        <f t="shared" ref="K82:K85" si="40">IF(ISNUMBER(J82), (J82 - $B82) / $B82, "")</f>
        <v>3.5989717223650387E-2</v>
      </c>
      <c r="L82" s="18">
        <f>IF(ISNUMBER(J82), $B91 * K82, "")</f>
        <v>3598.9717223650387</v>
      </c>
      <c r="M82" s="31">
        <v>401</v>
      </c>
      <c r="N82" s="32">
        <f t="shared" ref="N82:N85" si="41">IF(ISNUMBER(M82), (M82 - $B82) / $B82, "")</f>
        <v>3.0848329048843187E-2</v>
      </c>
      <c r="O82" s="18">
        <f>IF(ISNUMBER(M82), $B91 * N82, "")</f>
        <v>3084.8329048843189</v>
      </c>
      <c r="Q82" s="242"/>
      <c r="R82" s="243"/>
      <c r="S82" s="244"/>
    </row>
    <row r="83" spans="1:19" ht="17.25" thickBot="1">
      <c r="A83" s="125" t="s">
        <v>86</v>
      </c>
      <c r="B83" s="126">
        <v>398</v>
      </c>
      <c r="C83" s="77">
        <v>-3.8647343000000001E-2</v>
      </c>
      <c r="D83" s="15">
        <v>413</v>
      </c>
      <c r="E83" s="32">
        <f t="shared" si="38"/>
        <v>3.7688442211055273E-2</v>
      </c>
      <c r="F83" s="18">
        <f>IF(ISNUMBER(D83), $B91 * E83, "")</f>
        <v>3768.8442211055271</v>
      </c>
      <c r="G83" s="31">
        <v>410</v>
      </c>
      <c r="H83" s="32">
        <f t="shared" si="39"/>
        <v>3.015075376884422E-2</v>
      </c>
      <c r="I83" s="101">
        <f>IF(ISNUMBER(G83), $B91 * H83, "")</f>
        <v>3015.075376884422</v>
      </c>
      <c r="J83" s="15">
        <v>419</v>
      </c>
      <c r="K83" s="32">
        <f t="shared" si="40"/>
        <v>5.2763819095477386E-2</v>
      </c>
      <c r="L83" s="18">
        <f>IF(ISNUMBER(J83), $B91 * K83, "")</f>
        <v>5276.3819095477384</v>
      </c>
      <c r="M83" s="31">
        <v>417</v>
      </c>
      <c r="N83" s="32">
        <f t="shared" si="41"/>
        <v>4.7738693467336682E-2</v>
      </c>
      <c r="O83" s="18">
        <f>IF(ISNUMBER(M83), $B91 * N83, "")</f>
        <v>4773.869346733668</v>
      </c>
      <c r="Q83" s="227"/>
      <c r="R83" s="227"/>
      <c r="S83" s="227"/>
    </row>
    <row r="84" spans="1:19" ht="17.25" thickBot="1">
      <c r="A84" s="125" t="s">
        <v>230</v>
      </c>
      <c r="B84" s="126">
        <v>319</v>
      </c>
      <c r="C84" s="77">
        <v>-4.4910179600000003E-2</v>
      </c>
      <c r="D84" s="15">
        <v>336</v>
      </c>
      <c r="E84" s="32">
        <f t="shared" si="38"/>
        <v>5.329153605015674E-2</v>
      </c>
      <c r="F84" s="18">
        <f>IF(ISNUMBER(D84), $B91 * E84, "")</f>
        <v>5329.1536050156737</v>
      </c>
      <c r="G84" s="31">
        <v>338</v>
      </c>
      <c r="H84" s="32">
        <f t="shared" si="39"/>
        <v>5.9561128526645767E-2</v>
      </c>
      <c r="I84" s="101">
        <f>IF(ISNUMBER(G84), $B91 * H84, "")</f>
        <v>5956.1128526645771</v>
      </c>
      <c r="J84" s="15">
        <v>351</v>
      </c>
      <c r="K84" s="32">
        <f t="shared" si="40"/>
        <v>0.10031347962382445</v>
      </c>
      <c r="L84" s="18">
        <f>IF(ISNUMBER(J84), $B91 * K84, "")</f>
        <v>10031.347962382444</v>
      </c>
      <c r="M84" s="31">
        <v>360</v>
      </c>
      <c r="N84" s="32">
        <f t="shared" si="41"/>
        <v>0.12852664576802508</v>
      </c>
      <c r="O84" s="18">
        <f>IF(ISNUMBER(M84), $B91 * N84, "")</f>
        <v>12852.664576802508</v>
      </c>
      <c r="Q84" s="222"/>
      <c r="R84" s="222"/>
      <c r="S84" s="222"/>
    </row>
    <row r="85" spans="1:19" ht="17.25" thickBot="1">
      <c r="A85" s="127" t="s">
        <v>266</v>
      </c>
      <c r="B85" s="128">
        <v>294</v>
      </c>
      <c r="C85" s="78">
        <v>-4.5454545499999999E-2</v>
      </c>
      <c r="D85" s="20">
        <v>304</v>
      </c>
      <c r="E85" s="21">
        <f t="shared" si="38"/>
        <v>3.4013605442176874E-2</v>
      </c>
      <c r="F85" s="22">
        <f>IF(ISNUMBER(D85), $B91 * E85, "")</f>
        <v>3401.3605442176872</v>
      </c>
      <c r="G85" s="30">
        <v>303</v>
      </c>
      <c r="H85" s="21">
        <f t="shared" si="39"/>
        <v>3.0612244897959183E-2</v>
      </c>
      <c r="I85" s="105">
        <f>IF(ISNUMBER(G85), $B91 * H85, "")</f>
        <v>3061.2244897959181</v>
      </c>
      <c r="J85" s="20">
        <v>306</v>
      </c>
      <c r="K85" s="21">
        <f t="shared" si="40"/>
        <v>4.0816326530612242E-2</v>
      </c>
      <c r="L85" s="22">
        <f>IF(ISNUMBER(J85), $B91 * K85, "")</f>
        <v>4081.6326530612241</v>
      </c>
      <c r="M85" s="30">
        <v>305</v>
      </c>
      <c r="N85" s="21">
        <f t="shared" si="41"/>
        <v>3.7414965986394558E-2</v>
      </c>
      <c r="O85" s="22">
        <f>IF(ISNUMBER(M85), $B91 * N85, "")</f>
        <v>3741.4965986394559</v>
      </c>
      <c r="Q85" s="222"/>
      <c r="R85" s="222"/>
      <c r="S85" s="222"/>
    </row>
    <row r="86" spans="1:19" ht="17.25" thickBot="1">
      <c r="A86" s="125" t="s">
        <v>80</v>
      </c>
      <c r="B86" s="129">
        <v>890</v>
      </c>
      <c r="C86" s="80">
        <v>-5.31914894E-2</v>
      </c>
      <c r="D86" s="106">
        <v>931</v>
      </c>
      <c r="E86" s="107">
        <f>IF(ISNUMBER(D86), (D86 - $B86) / $B86, "")</f>
        <v>4.6067415730337076E-2</v>
      </c>
      <c r="F86" s="108">
        <f>IF(ISNUMBER(D86), $B91 * E86, "")</f>
        <v>4606.7415730337079</v>
      </c>
      <c r="G86" s="109">
        <v>934</v>
      </c>
      <c r="H86" s="107">
        <f>IF(ISNUMBER(G86), (G86 - $B86) / $B86, "")</f>
        <v>4.9438202247191011E-2</v>
      </c>
      <c r="I86" s="110">
        <f>IF(ISNUMBER(G86), $B91 * H86, "")</f>
        <v>4943.8202247191011</v>
      </c>
      <c r="J86" s="106">
        <v>976</v>
      </c>
      <c r="K86" s="107">
        <f>IF(ISNUMBER(J86), (J86 - $B86) / $B86, "")</f>
        <v>9.662921348314607E-2</v>
      </c>
      <c r="L86" s="108">
        <f>IF(ISNUMBER(J86), $B91 * K86, "")</f>
        <v>9662.9213483146068</v>
      </c>
      <c r="M86" s="109">
        <v>976</v>
      </c>
      <c r="N86" s="107">
        <f>IF(ISNUMBER(M86), (M86 - $B86) / $B86, "")</f>
        <v>9.662921348314607E-2</v>
      </c>
      <c r="O86" s="108">
        <f>IF(ISNUMBER(M86), $B91 * N86, "")</f>
        <v>9662.9213483146068</v>
      </c>
      <c r="Q86" s="227"/>
      <c r="R86" s="227"/>
      <c r="S86" s="227"/>
    </row>
    <row r="87" spans="1:19" ht="17.25" thickBot="1">
      <c r="A87" s="125" t="s">
        <v>57</v>
      </c>
      <c r="B87" s="126">
        <v>217</v>
      </c>
      <c r="C87" s="77">
        <v>-5.6521739100000003E-2</v>
      </c>
      <c r="D87" s="15">
        <v>226</v>
      </c>
      <c r="E87" s="32">
        <f t="shared" ref="E87:E90" si="42">IF(ISNUMBER(D87), (D87 - $B87) / $B87, "")</f>
        <v>4.1474654377880185E-2</v>
      </c>
      <c r="F87" s="18">
        <f>IF(ISNUMBER(D87), $B91 * E87, "")</f>
        <v>4147.4654377880188</v>
      </c>
      <c r="G87" s="31">
        <v>224</v>
      </c>
      <c r="H87" s="32">
        <f t="shared" ref="H87:H90" si="43">IF(ISNUMBER(G87), (G87 - $B87) / $B87, "")</f>
        <v>3.2258064516129031E-2</v>
      </c>
      <c r="I87" s="101">
        <f>IF(ISNUMBER(G87), $B91 * H87, "")</f>
        <v>3225.8064516129029</v>
      </c>
      <c r="J87" s="15">
        <v>227</v>
      </c>
      <c r="K87" s="32">
        <f t="shared" ref="K87:K90" si="44">IF(ISNUMBER(J87), (J87 - $B87) / $B87, "")</f>
        <v>4.6082949308755762E-2</v>
      </c>
      <c r="L87" s="18">
        <f>IF(ISNUMBER(J87), $B91 * K87, "")</f>
        <v>4608.294930875576</v>
      </c>
      <c r="M87" s="31">
        <v>227</v>
      </c>
      <c r="N87" s="32">
        <f t="shared" ref="N87:N90" si="45">IF(ISNUMBER(M87), (M87 - $B87) / $B87, "")</f>
        <v>4.6082949308755762E-2</v>
      </c>
      <c r="O87" s="18">
        <f>IF(ISNUMBER(M87), $B91 * N87, "")</f>
        <v>4608.294930875576</v>
      </c>
      <c r="Q87" s="227"/>
      <c r="R87" s="227"/>
      <c r="S87" s="227"/>
    </row>
    <row r="88" spans="1:19" ht="17.25" thickBot="1">
      <c r="A88" s="125" t="s">
        <v>144</v>
      </c>
      <c r="B88" s="126">
        <v>113</v>
      </c>
      <c r="C88" s="77">
        <v>-5.8333333299999998E-2</v>
      </c>
      <c r="D88" s="15">
        <v>122</v>
      </c>
      <c r="E88" s="32">
        <f t="shared" si="42"/>
        <v>7.9646017699115043E-2</v>
      </c>
      <c r="F88" s="18">
        <f>IF(ISNUMBER(D88), $B91 * E88, "")</f>
        <v>7964.6017699115046</v>
      </c>
      <c r="G88" s="31">
        <v>121</v>
      </c>
      <c r="H88" s="32">
        <f t="shared" si="43"/>
        <v>7.0796460176991149E-2</v>
      </c>
      <c r="I88" s="101">
        <f>IF(ISNUMBER(G88), $B91 * H88, "")</f>
        <v>7079.646017699115</v>
      </c>
      <c r="J88" s="15">
        <v>123</v>
      </c>
      <c r="K88" s="32">
        <f t="shared" si="44"/>
        <v>8.8495575221238937E-2</v>
      </c>
      <c r="L88" s="18">
        <f>IF(ISNUMBER(J88), $B91 * K88, "")</f>
        <v>8849.5575221238942</v>
      </c>
      <c r="M88" s="31">
        <v>121</v>
      </c>
      <c r="N88" s="32">
        <f t="shared" si="45"/>
        <v>7.0796460176991149E-2</v>
      </c>
      <c r="O88" s="18">
        <f>IF(ISNUMBER(M88), $B91 * N88, "")</f>
        <v>7079.646017699115</v>
      </c>
      <c r="Q88" s="227"/>
      <c r="R88" s="227"/>
      <c r="S88" s="227"/>
    </row>
    <row r="89" spans="1:19">
      <c r="A89" s="125" t="s">
        <v>218</v>
      </c>
      <c r="B89" s="126">
        <v>131</v>
      </c>
      <c r="C89" s="77">
        <v>-6.4285714300000005E-2</v>
      </c>
      <c r="D89" s="15">
        <v>144</v>
      </c>
      <c r="E89" s="32">
        <f t="shared" si="42"/>
        <v>9.9236641221374045E-2</v>
      </c>
      <c r="F89" s="18">
        <f>IF(ISNUMBER(D89), $B91 * E89, "")</f>
        <v>9923.6641221374048</v>
      </c>
      <c r="G89" s="31">
        <v>143</v>
      </c>
      <c r="H89" s="32">
        <f t="shared" si="43"/>
        <v>9.1603053435114504E-2</v>
      </c>
      <c r="I89" s="101">
        <f>IF(ISNUMBER(G89), $B91 * H89, "")</f>
        <v>9160.3053435114507</v>
      </c>
      <c r="J89" s="15">
        <v>147</v>
      </c>
      <c r="K89" s="32">
        <f t="shared" si="44"/>
        <v>0.12213740458015267</v>
      </c>
      <c r="L89" s="18">
        <f>IF(ISNUMBER(J89), $B91 * K89, "")</f>
        <v>12213.740458015267</v>
      </c>
      <c r="M89" s="31">
        <v>150</v>
      </c>
      <c r="N89" s="32">
        <f t="shared" si="45"/>
        <v>0.14503816793893129</v>
      </c>
      <c r="O89" s="18">
        <f>IF(ISNUMBER(M89), $B91 * N89, "")</f>
        <v>14503.816793893129</v>
      </c>
      <c r="Q89" s="249"/>
      <c r="R89" s="250"/>
      <c r="S89" s="251"/>
    </row>
    <row r="90" spans="1:19" ht="17.25" thickBot="1">
      <c r="A90" s="130" t="s">
        <v>138</v>
      </c>
      <c r="B90" s="131">
        <v>383</v>
      </c>
      <c r="C90" s="79">
        <v>-6.5853658499999995E-2</v>
      </c>
      <c r="D90" s="24">
        <v>389</v>
      </c>
      <c r="E90" s="25">
        <f t="shared" si="42"/>
        <v>1.5665796344647518E-2</v>
      </c>
      <c r="F90" s="104">
        <f>IF(ISNUMBER(D90), $B91 * E90, "")</f>
        <v>1566.5796344647517</v>
      </c>
      <c r="G90" s="102">
        <v>389</v>
      </c>
      <c r="H90" s="25">
        <f t="shared" si="43"/>
        <v>1.5665796344647518E-2</v>
      </c>
      <c r="I90" s="103">
        <f>IF(ISNUMBER(G90), $B91 * H90, "")</f>
        <v>1566.5796344647517</v>
      </c>
      <c r="J90" s="24">
        <v>397</v>
      </c>
      <c r="K90" s="25">
        <f t="shared" si="44"/>
        <v>3.6553524804177548E-2</v>
      </c>
      <c r="L90" s="104">
        <f>IF(ISNUMBER(J90), $B91 * K90, "")</f>
        <v>3655.3524804177546</v>
      </c>
      <c r="M90" s="102">
        <v>394</v>
      </c>
      <c r="N90" s="25">
        <f t="shared" si="45"/>
        <v>2.8720626631853787E-2</v>
      </c>
      <c r="O90" s="104">
        <f>IF(ISNUMBER(M90), $B91 * N90, "")</f>
        <v>2872.0626631853788</v>
      </c>
      <c r="Q90" s="252"/>
      <c r="R90" s="253"/>
      <c r="S90" s="254"/>
    </row>
    <row r="91" spans="1:19" ht="17.25" thickBot="1">
      <c r="A91" s="132" t="s">
        <v>270</v>
      </c>
      <c r="B91" s="260">
        <f>$B$37</f>
        <v>100000</v>
      </c>
      <c r="C91" s="261"/>
      <c r="D91" s="26" t="s">
        <v>271</v>
      </c>
      <c r="E91" s="27">
        <f>IF(COUNT(E71:E90), SUM(E71:E90) / COUNT(E71:E90), 0)</f>
        <v>6.4185692031032845E-2</v>
      </c>
      <c r="F91" s="28">
        <f>SUM(F71:F90)</f>
        <v>128371.38406206567</v>
      </c>
      <c r="G91" s="26" t="s">
        <v>271</v>
      </c>
      <c r="H91" s="27">
        <f>IF(COUNT(H71:H90), SUM(H71:H90) / COUNT(H71:H90), 0)</f>
        <v>5.8789253963739532E-2</v>
      </c>
      <c r="I91" s="28">
        <f>SUM(I71:I90)</f>
        <v>117578.50792747906</v>
      </c>
      <c r="J91" s="26" t="s">
        <v>271</v>
      </c>
      <c r="K91" s="27">
        <f>IF(COUNT(K71:K90), SUM(K71:K90) / COUNT(K71:K90), 0)</f>
        <v>8.1472837267183879E-2</v>
      </c>
      <c r="L91" s="28">
        <f>SUM(L71:L90)</f>
        <v>162945.67453436775</v>
      </c>
      <c r="M91" s="26" t="s">
        <v>271</v>
      </c>
      <c r="N91" s="27">
        <f>IF(COUNT(N71:N90), SUM(N71:N90) / COUNT(N71:N90), 0)</f>
        <v>8.0198826136911344E-2</v>
      </c>
      <c r="O91" s="28">
        <f>SUM(O71:O90)</f>
        <v>160397.65227382266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89" t="s">
        <v>267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55149000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2.1442459999999998E-3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2021-09-09(목) 오전 00:00</v>
      </c>
      <c r="C96" s="265"/>
      <c r="D96" s="224" t="str">
        <f>TEXT($G$1, "[$-ko-KR]yyyy-mm-dd(ddd) ") &amp; "오후 14:00"</f>
        <v>2021-09-09(목) 오후 14:00</v>
      </c>
      <c r="E96" s="225"/>
      <c r="F96" s="226"/>
      <c r="G96" s="224" t="str">
        <f>TEXT($G$1, "[$-ko-KR]yyyy-mm-dd(ddd) ") &amp; "오후 19:00"</f>
        <v>2021-09-09(목) 오후 19:00</v>
      </c>
      <c r="H96" s="225"/>
      <c r="I96" s="226"/>
      <c r="J96" s="224" t="str">
        <f>TEXT($G$1, "[$-ko-KR]yyyy-mm-dd(ddd) ") &amp; "오후 21:00"</f>
        <v>2021-09-09(목) 오후 21:00</v>
      </c>
      <c r="K96" s="225"/>
      <c r="L96" s="226"/>
      <c r="M96" s="224" t="str">
        <f>TEXT($G$1+1, "[$-ko-KR]yyyy-mm-dd(ddd) ") &amp; "오전 00:00"</f>
        <v>2021-09-10(금)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7"/>
      <c r="R97" s="227"/>
      <c r="S97" s="227"/>
    </row>
    <row r="98" spans="1:19" ht="17.25" thickBot="1">
      <c r="A98" s="123" t="s">
        <v>65</v>
      </c>
      <c r="B98" s="124">
        <v>76.900000000000006</v>
      </c>
      <c r="C98" s="76">
        <v>0.1794478528</v>
      </c>
      <c r="D98" s="13">
        <v>91.1</v>
      </c>
      <c r="E98" s="14">
        <f>IF(ISNUMBER(D98), (D98 - $B98) / $B98, "")</f>
        <v>0.18465539661898553</v>
      </c>
      <c r="F98" s="16">
        <f>IF(ISNUMBER(D98), $B118 * E98, "")</f>
        <v>18465.539661898554</v>
      </c>
      <c r="G98" s="29">
        <v>104</v>
      </c>
      <c r="H98" s="14">
        <f>IF(ISNUMBER(G98), (G98 - $B98) / $B98, "")</f>
        <v>0.35240572171651485</v>
      </c>
      <c r="I98" s="100">
        <f>IF(ISNUMBER(G98), $B118 * H98, "")</f>
        <v>35240.572171651482</v>
      </c>
      <c r="J98" s="13">
        <v>101</v>
      </c>
      <c r="K98" s="14">
        <f>IF(ISNUMBER(J98), (J98 - $B98) / $B98, "")</f>
        <v>0.31339401820546153</v>
      </c>
      <c r="L98" s="16">
        <f>IF(ISNUMBER(J98), $B118 * K98, "")</f>
        <v>31339.401820546154</v>
      </c>
      <c r="M98" s="29">
        <v>101</v>
      </c>
      <c r="N98" s="14">
        <f>IF(ISNUMBER(M98), (M98 - $B98) / $B98, "")</f>
        <v>0.31339401820546153</v>
      </c>
      <c r="O98" s="16">
        <f>IF(ISNUMBER(M98), $B118 * N98, "")</f>
        <v>31339.401820546154</v>
      </c>
      <c r="Q98" s="222"/>
      <c r="R98" s="222"/>
      <c r="S98" s="222"/>
    </row>
    <row r="99" spans="1:19" ht="17.25" thickBot="1">
      <c r="A99" s="125" t="s">
        <v>152</v>
      </c>
      <c r="B99" s="126">
        <v>112</v>
      </c>
      <c r="C99" s="77">
        <v>8.7378640800000004E-2</v>
      </c>
      <c r="D99" s="15">
        <v>110</v>
      </c>
      <c r="E99" s="32">
        <f t="shared" ref="E99:E102" si="46">IF(ISNUMBER(D99), (D99 - $B99) / $B99, "")</f>
        <v>-1.7857142857142856E-2</v>
      </c>
      <c r="F99" s="18">
        <f>IF(ISNUMBER(D99), $B118 * E99, "")</f>
        <v>-1785.7142857142856</v>
      </c>
      <c r="G99" s="31">
        <v>110</v>
      </c>
      <c r="H99" s="32">
        <f t="shared" ref="H99:H102" si="47">IF(ISNUMBER(G99), (G99 - $B99) / $B99, "")</f>
        <v>-1.7857142857142856E-2</v>
      </c>
      <c r="I99" s="101">
        <f>IF(ISNUMBER(G99), $B118 * H99, "")</f>
        <v>-1785.7142857142856</v>
      </c>
      <c r="J99" s="15">
        <v>112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112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22"/>
      <c r="R99" s="222"/>
      <c r="S99" s="222"/>
    </row>
    <row r="100" spans="1:19" ht="17.25" thickBot="1">
      <c r="A100" s="125" t="s">
        <v>88</v>
      </c>
      <c r="B100" s="126">
        <v>248750</v>
      </c>
      <c r="C100" s="77">
        <v>8.1051716600000004E-2</v>
      </c>
      <c r="D100" s="15">
        <v>250950</v>
      </c>
      <c r="E100" s="32">
        <f t="shared" si="46"/>
        <v>8.844221105527638E-3</v>
      </c>
      <c r="F100" s="18">
        <f>IF(ISNUMBER(D100), $B118 * E100, "")</f>
        <v>884.4221105527638</v>
      </c>
      <c r="G100" s="31">
        <v>251150</v>
      </c>
      <c r="H100" s="32">
        <f t="shared" si="47"/>
        <v>9.6482412060301514E-3</v>
      </c>
      <c r="I100" s="101">
        <f>IF(ISNUMBER(G100), $B118 * H100, "")</f>
        <v>964.8241206030151</v>
      </c>
      <c r="J100" s="15">
        <v>254850</v>
      </c>
      <c r="K100" s="32">
        <f t="shared" si="48"/>
        <v>2.4522613065326632E-2</v>
      </c>
      <c r="L100" s="18">
        <f>IF(ISNUMBER(J100), $B118 * K100, "")</f>
        <v>2452.2613065326632</v>
      </c>
      <c r="M100" s="31">
        <v>253250</v>
      </c>
      <c r="N100" s="32">
        <f t="shared" si="49"/>
        <v>1.8090452261306532E-2</v>
      </c>
      <c r="O100" s="18">
        <f>IF(ISNUMBER(M100), $B118 * N100, "")</f>
        <v>1809.0452261306532</v>
      </c>
      <c r="Q100" s="227"/>
      <c r="R100" s="227"/>
      <c r="S100" s="227"/>
    </row>
    <row r="101" spans="1:19" ht="17.25" thickBot="1">
      <c r="A101" s="125" t="s">
        <v>242</v>
      </c>
      <c r="B101" s="126">
        <v>632</v>
      </c>
      <c r="C101" s="77">
        <v>3.7766830899999999E-2</v>
      </c>
      <c r="D101" s="15">
        <v>638</v>
      </c>
      <c r="E101" s="32">
        <f t="shared" si="46"/>
        <v>9.4936708860759497E-3</v>
      </c>
      <c r="F101" s="18">
        <f>IF(ISNUMBER(D101), $B118 * E101, "")</f>
        <v>949.36708860759495</v>
      </c>
      <c r="G101" s="31">
        <v>650</v>
      </c>
      <c r="H101" s="32">
        <f t="shared" si="47"/>
        <v>2.8481012658227847E-2</v>
      </c>
      <c r="I101" s="101">
        <f>IF(ISNUMBER(G101), $B118 * H101, "")</f>
        <v>2848.1012658227846</v>
      </c>
      <c r="J101" s="15">
        <v>664</v>
      </c>
      <c r="K101" s="32">
        <f t="shared" si="48"/>
        <v>5.0632911392405063E-2</v>
      </c>
      <c r="L101" s="18">
        <f>IF(ISNUMBER(J101), $B118 * K101, "")</f>
        <v>5063.2911392405058</v>
      </c>
      <c r="M101" s="31">
        <v>663</v>
      </c>
      <c r="N101" s="32">
        <f t="shared" si="49"/>
        <v>4.9050632911392403E-2</v>
      </c>
      <c r="O101" s="18">
        <f>IF(ISNUMBER(M101), $B118 * N101, "")</f>
        <v>4905.0632911392404</v>
      </c>
      <c r="Q101" s="227"/>
      <c r="R101" s="227"/>
      <c r="S101" s="227"/>
    </row>
    <row r="102" spans="1:19" ht="17.25" thickBot="1">
      <c r="A102" s="127" t="s">
        <v>250</v>
      </c>
      <c r="B102" s="128">
        <v>93.6</v>
      </c>
      <c r="C102" s="78">
        <v>3.7694013300000002E-2</v>
      </c>
      <c r="D102" s="20">
        <v>94.9</v>
      </c>
      <c r="E102" s="21">
        <f t="shared" si="46"/>
        <v>1.3888888888889011E-2</v>
      </c>
      <c r="F102" s="22">
        <f>IF(ISNUMBER(D102), $B118 * E102, "")</f>
        <v>1388.8888888889012</v>
      </c>
      <c r="G102" s="30">
        <v>95.3</v>
      </c>
      <c r="H102" s="21">
        <f t="shared" si="47"/>
        <v>1.8162393162393195E-2</v>
      </c>
      <c r="I102" s="105">
        <f>IF(ISNUMBER(G102), $B118 * H102, "")</f>
        <v>1816.2393162393196</v>
      </c>
      <c r="J102" s="20">
        <v>96.8</v>
      </c>
      <c r="K102" s="21">
        <f t="shared" si="48"/>
        <v>3.4188034188034219E-2</v>
      </c>
      <c r="L102" s="22">
        <f>IF(ISNUMBER(J102), $B118 * K102, "")</f>
        <v>3418.8034188034221</v>
      </c>
      <c r="M102" s="30">
        <v>96.4</v>
      </c>
      <c r="N102" s="21">
        <f t="shared" si="49"/>
        <v>2.9914529914530037E-2</v>
      </c>
      <c r="O102" s="22">
        <f>IF(ISNUMBER(M102), $B118 * N102, "")</f>
        <v>2991.4529914530035</v>
      </c>
      <c r="Q102" s="227"/>
      <c r="R102" s="227"/>
      <c r="S102" s="227"/>
    </row>
    <row r="103" spans="1:19" ht="17.25" thickBot="1">
      <c r="A103" s="125" t="s">
        <v>158</v>
      </c>
      <c r="B103" s="129">
        <v>33660</v>
      </c>
      <c r="C103" s="80">
        <v>2.3722627699999999E-2</v>
      </c>
      <c r="D103" s="106">
        <v>33840</v>
      </c>
      <c r="E103" s="107">
        <f>IF(ISNUMBER(D103), (D103 - $B103) / $B103, "")</f>
        <v>5.3475935828877002E-3</v>
      </c>
      <c r="F103" s="108">
        <f>IF(ISNUMBER(D103), $B118 * E103, "")</f>
        <v>534.75935828877004</v>
      </c>
      <c r="G103" s="109">
        <v>37320</v>
      </c>
      <c r="H103" s="107">
        <f>IF(ISNUMBER(G103), (G103 - $B103) / $B103, "")</f>
        <v>0.10873440285204991</v>
      </c>
      <c r="I103" s="110">
        <f>IF(ISNUMBER(G103), $B118 * H103, "")</f>
        <v>10873.440285204992</v>
      </c>
      <c r="J103" s="106">
        <v>38010</v>
      </c>
      <c r="K103" s="107">
        <f>IF(ISNUMBER(J103), (J103 - $B103) / $B103, "")</f>
        <v>0.12923351158645277</v>
      </c>
      <c r="L103" s="108">
        <f>IF(ISNUMBER(J103), $B118 * K103, "")</f>
        <v>12923.351158645277</v>
      </c>
      <c r="M103" s="109">
        <v>39980</v>
      </c>
      <c r="N103" s="107">
        <f>IF(ISNUMBER(M103), (M103 - $B103) / $B103, "")</f>
        <v>0.18775995246583482</v>
      </c>
      <c r="O103" s="108">
        <f>IF(ISNUMBER(M103), $B118 * N103, "")</f>
        <v>18775.995246583483</v>
      </c>
      <c r="Q103" s="227"/>
      <c r="R103" s="227"/>
      <c r="S103" s="227"/>
    </row>
    <row r="104" spans="1:19" ht="17.25" thickBot="1">
      <c r="A104" s="125" t="s">
        <v>164</v>
      </c>
      <c r="B104" s="126">
        <v>948</v>
      </c>
      <c r="C104" s="77">
        <v>2.2653721700000001E-2</v>
      </c>
      <c r="D104" s="15">
        <v>953</v>
      </c>
      <c r="E104" s="32">
        <f t="shared" ref="E104:E107" si="50">IF(ISNUMBER(D104), (D104 - $B104) / $B104, "")</f>
        <v>5.2742616033755272E-3</v>
      </c>
      <c r="F104" s="18">
        <f>IF(ISNUMBER(D104), $B118 * E104, "")</f>
        <v>527.42616033755269</v>
      </c>
      <c r="G104" s="31">
        <v>1035</v>
      </c>
      <c r="H104" s="32">
        <f t="shared" ref="H104:H107" si="51">IF(ISNUMBER(G104), (G104 - $B104) / $B104, "")</f>
        <v>9.1772151898734181E-2</v>
      </c>
      <c r="I104" s="101">
        <f>IF(ISNUMBER(G104), $B118 * H104, "")</f>
        <v>9177.2151898734173</v>
      </c>
      <c r="J104" s="15">
        <v>1065</v>
      </c>
      <c r="K104" s="32">
        <f t="shared" ref="K104:K107" si="52">IF(ISNUMBER(J104), (J104 - $B104) / $B104, "")</f>
        <v>0.12341772151898735</v>
      </c>
      <c r="L104" s="18">
        <f>IF(ISNUMBER(J104), $B118 * K104, "")</f>
        <v>12341.772151898735</v>
      </c>
      <c r="M104" s="31">
        <v>1055</v>
      </c>
      <c r="N104" s="32">
        <f t="shared" ref="N104:N107" si="53">IF(ISNUMBER(M104), (M104 - $B104) / $B104, "")</f>
        <v>0.11286919831223628</v>
      </c>
      <c r="O104" s="18">
        <f>IF(ISNUMBER(M104), $B118 * N104, "")</f>
        <v>11286.919831223628</v>
      </c>
      <c r="Q104" s="227"/>
      <c r="R104" s="227"/>
      <c r="S104" s="227"/>
    </row>
    <row r="105" spans="1:19" ht="17.25" thickBot="1">
      <c r="A105" s="125" t="s">
        <v>154</v>
      </c>
      <c r="B105" s="126">
        <v>79270</v>
      </c>
      <c r="C105" s="77">
        <v>1.86327422E-2</v>
      </c>
      <c r="D105" s="15">
        <v>85270</v>
      </c>
      <c r="E105" s="32">
        <f t="shared" si="50"/>
        <v>7.5690677431563019E-2</v>
      </c>
      <c r="F105" s="18">
        <f>IF(ISNUMBER(D105), $B118 * E105, "")</f>
        <v>7569.0677431563017</v>
      </c>
      <c r="G105" s="31">
        <v>83750</v>
      </c>
      <c r="H105" s="32">
        <f t="shared" si="51"/>
        <v>5.6515705815567051E-2</v>
      </c>
      <c r="I105" s="101">
        <f>IF(ISNUMBER(G105), $B118 * H105, "")</f>
        <v>5651.5705815567053</v>
      </c>
      <c r="J105" s="15">
        <v>84190</v>
      </c>
      <c r="K105" s="32">
        <f t="shared" si="52"/>
        <v>6.2066355493881668E-2</v>
      </c>
      <c r="L105" s="18">
        <f>IF(ISNUMBER(J105), $B118 * K105, "")</f>
        <v>6206.6355493881665</v>
      </c>
      <c r="M105" s="31">
        <v>82800</v>
      </c>
      <c r="N105" s="32">
        <f t="shared" si="53"/>
        <v>4.4531348555569575E-2</v>
      </c>
      <c r="O105" s="18">
        <f>IF(ISNUMBER(M105), $B118 * N105, "")</f>
        <v>4453.1348555569575</v>
      </c>
      <c r="Q105" s="227"/>
      <c r="R105" s="227"/>
      <c r="S105" s="227"/>
    </row>
    <row r="106" spans="1:19" ht="17.25" thickBot="1">
      <c r="A106" s="125" t="s">
        <v>214</v>
      </c>
      <c r="B106" s="126">
        <v>1130</v>
      </c>
      <c r="C106" s="77">
        <v>1.8018018E-2</v>
      </c>
      <c r="D106" s="15">
        <v>1190</v>
      </c>
      <c r="E106" s="32">
        <f t="shared" si="50"/>
        <v>5.3097345132743362E-2</v>
      </c>
      <c r="F106" s="18">
        <f>IF(ISNUMBER(D106), $B118 * E106, "")</f>
        <v>5309.7345132743358</v>
      </c>
      <c r="G106" s="31">
        <v>1205</v>
      </c>
      <c r="H106" s="32">
        <f t="shared" si="51"/>
        <v>6.637168141592921E-2</v>
      </c>
      <c r="I106" s="101">
        <f>IF(ISNUMBER(G106), $B118 * H106, "")</f>
        <v>6637.1681415929206</v>
      </c>
      <c r="J106" s="15">
        <v>1250</v>
      </c>
      <c r="K106" s="32">
        <f t="shared" si="52"/>
        <v>0.10619469026548672</v>
      </c>
      <c r="L106" s="18">
        <f>IF(ISNUMBER(J106), $B118 * K106, "")</f>
        <v>10619.469026548672</v>
      </c>
      <c r="M106" s="31">
        <v>1225</v>
      </c>
      <c r="N106" s="32">
        <f t="shared" si="53"/>
        <v>8.4070796460176997E-2</v>
      </c>
      <c r="O106" s="18">
        <f>IF(ISNUMBER(M106), $B118 * N106, "")</f>
        <v>8407.0796460176989</v>
      </c>
      <c r="Q106" s="33"/>
      <c r="R106" s="33"/>
    </row>
    <row r="107" spans="1:19" ht="17.25" thickBot="1">
      <c r="A107" s="130" t="s">
        <v>54</v>
      </c>
      <c r="B107" s="131">
        <v>333</v>
      </c>
      <c r="C107" s="79">
        <v>1.52439024E-2</v>
      </c>
      <c r="D107" s="24">
        <v>407</v>
      </c>
      <c r="E107" s="25">
        <f t="shared" si="50"/>
        <v>0.22222222222222221</v>
      </c>
      <c r="F107" s="104">
        <f>IF(ISNUMBER(D107), $B118 * E107, "")</f>
        <v>22222.222222222223</v>
      </c>
      <c r="G107" s="102">
        <v>389</v>
      </c>
      <c r="H107" s="25">
        <f t="shared" si="51"/>
        <v>0.16816816816816818</v>
      </c>
      <c r="I107" s="103">
        <f>IF(ISNUMBER(G107), $B118 * H107, "")</f>
        <v>16816.816816816819</v>
      </c>
      <c r="J107" s="24">
        <v>396</v>
      </c>
      <c r="K107" s="25">
        <f t="shared" si="52"/>
        <v>0.1891891891891892</v>
      </c>
      <c r="L107" s="104">
        <f>IF(ISNUMBER(J107), $B118 * K107, "")</f>
        <v>18918.91891891892</v>
      </c>
      <c r="M107" s="102">
        <v>395</v>
      </c>
      <c r="N107" s="25">
        <f t="shared" si="53"/>
        <v>0.18618618618618618</v>
      </c>
      <c r="O107" s="104">
        <f>IF(ISNUMBER(M107), $B118 * N107, "")</f>
        <v>18618.618618618617</v>
      </c>
      <c r="Q107" s="236"/>
      <c r="R107" s="237"/>
      <c r="S107" s="238"/>
    </row>
    <row r="108" spans="1:19">
      <c r="A108" s="123" t="s">
        <v>106</v>
      </c>
      <c r="B108" s="124">
        <v>311550</v>
      </c>
      <c r="C108" s="76">
        <v>1.38301334E-2</v>
      </c>
      <c r="D108" s="13">
        <v>307150</v>
      </c>
      <c r="E108" s="14">
        <f>IF(ISNUMBER(D108), (D108 - $B108) / $B108, "")</f>
        <v>-1.4122933718504253E-2</v>
      </c>
      <c r="F108" s="16">
        <f>IF(ISNUMBER(D108), $B118 * E108, "")</f>
        <v>-1412.2933718504253</v>
      </c>
      <c r="G108" s="29">
        <v>308100</v>
      </c>
      <c r="H108" s="14">
        <f>IF(ISNUMBER(G108), (G108 - $B108) / $B108, "")</f>
        <v>-1.1073663938372653E-2</v>
      </c>
      <c r="I108" s="100">
        <f>IF(ISNUMBER(G108), $B118 * H108, "")</f>
        <v>-1107.3663938372654</v>
      </c>
      <c r="J108" s="13">
        <v>308550</v>
      </c>
      <c r="K108" s="14">
        <f>IF(ISNUMBER(J108), (J108 - $B108) / $B108, "")</f>
        <v>-9.6292729898892638E-3</v>
      </c>
      <c r="L108" s="16">
        <f>IF(ISNUMBER(J108), $B118 * K108, "")</f>
        <v>-962.9272989889264</v>
      </c>
      <c r="M108" s="29">
        <v>308100</v>
      </c>
      <c r="N108" s="14">
        <f>IF(ISNUMBER(M108), (M108 - $B108) / $B108, "")</f>
        <v>-1.1073663938372653E-2</v>
      </c>
      <c r="O108" s="16">
        <f>IF(ISNUMBER(M108), $B118 * N108, "")</f>
        <v>-1107.3663938372654</v>
      </c>
      <c r="Q108" s="239"/>
      <c r="R108" s="240"/>
      <c r="S108" s="241"/>
    </row>
    <row r="109" spans="1:19" ht="17.25" thickBot="1">
      <c r="A109" s="125" t="s">
        <v>254</v>
      </c>
      <c r="B109" s="126">
        <v>409</v>
      </c>
      <c r="C109" s="77">
        <v>4.9140049000000003E-3</v>
      </c>
      <c r="D109" s="15">
        <v>431</v>
      </c>
      <c r="E109" s="32">
        <f t="shared" ref="E109:E112" si="54">IF(ISNUMBER(D109), (D109 - $B109) / $B109, "")</f>
        <v>5.3789731051344741E-2</v>
      </c>
      <c r="F109" s="18">
        <f>IF(ISNUMBER(D109), $B118 * E109, "")</f>
        <v>5378.9731051344743</v>
      </c>
      <c r="G109" s="31">
        <v>427</v>
      </c>
      <c r="H109" s="32">
        <f t="shared" ref="H109:H112" si="55">IF(ISNUMBER(G109), (G109 - $B109) / $B109, "")</f>
        <v>4.4009779951100246E-2</v>
      </c>
      <c r="I109" s="101">
        <f>IF(ISNUMBER(G109), $B118 * H109, "")</f>
        <v>4400.9779951100245</v>
      </c>
      <c r="J109" s="15">
        <v>439</v>
      </c>
      <c r="K109" s="32">
        <f t="shared" ref="K109:K112" si="56">IF(ISNUMBER(J109), (J109 - $B109) / $B109, "")</f>
        <v>7.3349633251833746E-2</v>
      </c>
      <c r="L109" s="18">
        <f>IF(ISNUMBER(J109), $B118 * K109, "")</f>
        <v>7334.9633251833748</v>
      </c>
      <c r="M109" s="31">
        <v>444</v>
      </c>
      <c r="N109" s="32">
        <f t="shared" ref="N109:N112" si="57">IF(ISNUMBER(M109), (M109 - $B109) / $B109, "")</f>
        <v>8.557457212713937E-2</v>
      </c>
      <c r="O109" s="18">
        <f>IF(ISNUMBER(M109), $B118 * N109, "")</f>
        <v>8557.4572127139363</v>
      </c>
      <c r="Q109" s="242"/>
      <c r="R109" s="243"/>
      <c r="S109" s="244"/>
    </row>
    <row r="110" spans="1:19" ht="17.25" thickBot="1">
      <c r="A110" s="125" t="s">
        <v>98</v>
      </c>
      <c r="B110" s="126">
        <v>4.83</v>
      </c>
      <c r="C110" s="77">
        <v>2.0746888000000002E-3</v>
      </c>
      <c r="D110" s="15">
        <v>4.87</v>
      </c>
      <c r="E110" s="32">
        <f t="shared" si="54"/>
        <v>8.2815734989648108E-3</v>
      </c>
      <c r="F110" s="18">
        <f>IF(ISNUMBER(D110), $B118 * E110, "")</f>
        <v>828.15734989648104</v>
      </c>
      <c r="G110" s="31">
        <v>4.91</v>
      </c>
      <c r="H110" s="32">
        <f t="shared" si="55"/>
        <v>1.6563146997929622E-2</v>
      </c>
      <c r="I110" s="101">
        <f>IF(ISNUMBER(G110), $B118 * H110, "")</f>
        <v>1656.3146997929621</v>
      </c>
      <c r="J110" s="15">
        <v>4.96</v>
      </c>
      <c r="K110" s="32">
        <f t="shared" si="56"/>
        <v>2.6915113871635588E-2</v>
      </c>
      <c r="L110" s="18">
        <f>IF(ISNUMBER(J110), $B118 * K110, "")</f>
        <v>2691.5113871635585</v>
      </c>
      <c r="M110" s="31">
        <v>4.9000000000000004</v>
      </c>
      <c r="N110" s="32">
        <f t="shared" si="57"/>
        <v>1.4492753623188465E-2</v>
      </c>
      <c r="O110" s="18">
        <f>IF(ISNUMBER(M110), $B118 * N110, "")</f>
        <v>1449.2753623188464</v>
      </c>
      <c r="Q110" s="227"/>
      <c r="R110" s="227"/>
      <c r="S110" s="227"/>
    </row>
    <row r="111" spans="1:19" ht="17.25" thickBot="1">
      <c r="A111" s="125" t="s">
        <v>114</v>
      </c>
      <c r="B111" s="126">
        <v>911</v>
      </c>
      <c r="C111" s="77">
        <v>1.0989011E-3</v>
      </c>
      <c r="D111" s="15">
        <v>1000</v>
      </c>
      <c r="E111" s="32">
        <f t="shared" si="54"/>
        <v>9.7694840834248078E-2</v>
      </c>
      <c r="F111" s="18">
        <f>IF(ISNUMBER(D111), $B118 * E111, "")</f>
        <v>9769.484083424808</v>
      </c>
      <c r="G111" s="31">
        <v>981</v>
      </c>
      <c r="H111" s="32">
        <f t="shared" si="55"/>
        <v>7.6838638858397368E-2</v>
      </c>
      <c r="I111" s="101">
        <f>IF(ISNUMBER(G111), $B118 * H111, "")</f>
        <v>7683.8638858397371</v>
      </c>
      <c r="J111" s="15">
        <v>993</v>
      </c>
      <c r="K111" s="32">
        <f t="shared" si="56"/>
        <v>9.0010976948408344E-2</v>
      </c>
      <c r="L111" s="18">
        <f>IF(ISNUMBER(J111), $B118 * K111, "")</f>
        <v>9001.0976948408352</v>
      </c>
      <c r="M111" s="31">
        <v>983</v>
      </c>
      <c r="N111" s="32">
        <f t="shared" si="57"/>
        <v>7.9034028540065859E-2</v>
      </c>
      <c r="O111" s="18">
        <f>IF(ISNUMBER(M111), $B118 * N111, "")</f>
        <v>7903.4028540065856</v>
      </c>
      <c r="Q111" s="222"/>
      <c r="R111" s="222"/>
      <c r="S111" s="222"/>
    </row>
    <row r="112" spans="1:19" ht="17.25" thickBot="1">
      <c r="A112" s="127" t="s">
        <v>126</v>
      </c>
      <c r="B112" s="128">
        <v>215050</v>
      </c>
      <c r="C112" s="78">
        <v>-2.7822861000000002E-3</v>
      </c>
      <c r="D112" s="20">
        <v>216900</v>
      </c>
      <c r="E112" s="21">
        <f t="shared" si="54"/>
        <v>8.6026505463845625E-3</v>
      </c>
      <c r="F112" s="22">
        <f>IF(ISNUMBER(D112), $B118 * E112, "")</f>
        <v>860.26505463845626</v>
      </c>
      <c r="G112" s="30">
        <v>215950</v>
      </c>
      <c r="H112" s="21">
        <f t="shared" si="55"/>
        <v>4.1850732387816785E-3</v>
      </c>
      <c r="I112" s="105">
        <f>IF(ISNUMBER(G112), $B118 * H112, "")</f>
        <v>418.50732387816788</v>
      </c>
      <c r="J112" s="20">
        <v>220050</v>
      </c>
      <c r="K112" s="21">
        <f t="shared" si="56"/>
        <v>2.3250406882120437E-2</v>
      </c>
      <c r="L112" s="22">
        <f>IF(ISNUMBER(J112), $B118 * K112, "")</f>
        <v>2325.0406882120437</v>
      </c>
      <c r="M112" s="30">
        <v>222050</v>
      </c>
      <c r="N112" s="21">
        <f t="shared" si="57"/>
        <v>3.2550569634968614E-2</v>
      </c>
      <c r="O112" s="22">
        <f>IF(ISNUMBER(M112), $B118 * N112, "")</f>
        <v>3255.0569634968615</v>
      </c>
      <c r="Q112" s="222"/>
      <c r="R112" s="222"/>
      <c r="S112" s="222"/>
    </row>
    <row r="113" spans="1:19" ht="17.25" thickBot="1">
      <c r="A113" s="125" t="s">
        <v>61</v>
      </c>
      <c r="B113" s="129">
        <v>1005</v>
      </c>
      <c r="C113" s="80">
        <v>-4.9504950000000001E-3</v>
      </c>
      <c r="D113" s="106">
        <v>1030</v>
      </c>
      <c r="E113" s="107">
        <f>IF(ISNUMBER(D113), (D113 - $B113) / $B113, "")</f>
        <v>2.4875621890547265E-2</v>
      </c>
      <c r="F113" s="108">
        <f>IF(ISNUMBER(D113), $B118 * E113, "")</f>
        <v>2487.5621890547263</v>
      </c>
      <c r="G113" s="109">
        <v>1030</v>
      </c>
      <c r="H113" s="107">
        <f>IF(ISNUMBER(G113), (G113 - $B113) / $B113, "")</f>
        <v>2.4875621890547265E-2</v>
      </c>
      <c r="I113" s="110">
        <f>IF(ISNUMBER(G113), $B118 * H113, "")</f>
        <v>2487.5621890547263</v>
      </c>
      <c r="J113" s="106">
        <v>1050</v>
      </c>
      <c r="K113" s="107">
        <f>IF(ISNUMBER(J113), (J113 - $B113) / $B113, "")</f>
        <v>4.4776119402985072E-2</v>
      </c>
      <c r="L113" s="108">
        <f>IF(ISNUMBER(J113), $B118 * K113, "")</f>
        <v>4477.6119402985069</v>
      </c>
      <c r="M113" s="109">
        <v>1045</v>
      </c>
      <c r="N113" s="107">
        <f>IF(ISNUMBER(M113), (M113 - $B113) / $B113, "")</f>
        <v>3.9800995024875621E-2</v>
      </c>
      <c r="O113" s="108">
        <f>IF(ISNUMBER(M113), $B118 * N113, "")</f>
        <v>3980.0995024875619</v>
      </c>
      <c r="Q113" s="227"/>
      <c r="R113" s="227"/>
      <c r="S113" s="227"/>
    </row>
    <row r="114" spans="1:19" ht="17.25" thickBot="1">
      <c r="A114" s="125" t="s">
        <v>132</v>
      </c>
      <c r="B114" s="126">
        <v>121</v>
      </c>
      <c r="C114" s="77">
        <v>-8.1967212999999994E-3</v>
      </c>
      <c r="D114" s="15">
        <v>126</v>
      </c>
      <c r="E114" s="32">
        <f t="shared" ref="E114:E117" si="58">IF(ISNUMBER(D114), (D114 - $B114) / $B114, "")</f>
        <v>4.1322314049586778E-2</v>
      </c>
      <c r="F114" s="18">
        <f>IF(ISNUMBER(D114), $B118 * E114, "")</f>
        <v>4132.2314049586776</v>
      </c>
      <c r="G114" s="31">
        <v>130</v>
      </c>
      <c r="H114" s="32">
        <f t="shared" ref="H114:H117" si="59">IF(ISNUMBER(G114), (G114 - $B114) / $B114, "")</f>
        <v>7.43801652892562E-2</v>
      </c>
      <c r="I114" s="101">
        <f>IF(ISNUMBER(G114), $B118 * H114, "")</f>
        <v>7438.0165289256202</v>
      </c>
      <c r="J114" s="15">
        <v>132</v>
      </c>
      <c r="K114" s="32">
        <f t="shared" ref="K114:K117" si="60">IF(ISNUMBER(J114), (J114 - $B114) / $B114, "")</f>
        <v>9.0909090909090912E-2</v>
      </c>
      <c r="L114" s="18">
        <f>IF(ISNUMBER(J114), $B118 * K114, "")</f>
        <v>9090.9090909090919</v>
      </c>
      <c r="M114" s="31">
        <v>129</v>
      </c>
      <c r="N114" s="32">
        <f t="shared" ref="N114:N117" si="61">IF(ISNUMBER(M114), (M114 - $B114) / $B114, "")</f>
        <v>6.6115702479338845E-2</v>
      </c>
      <c r="O114" s="18">
        <f>IF(ISNUMBER(M114), $B118 * N114, "")</f>
        <v>6611.5702479338843</v>
      </c>
      <c r="Q114" s="227"/>
      <c r="R114" s="227"/>
      <c r="S114" s="227"/>
    </row>
    <row r="115" spans="1:19" ht="17.25" thickBot="1">
      <c r="A115" s="125" t="s">
        <v>172</v>
      </c>
      <c r="B115" s="126">
        <v>3895</v>
      </c>
      <c r="C115" s="77">
        <v>-1.01651842E-2</v>
      </c>
      <c r="D115" s="15">
        <v>4055</v>
      </c>
      <c r="E115" s="32">
        <f t="shared" si="58"/>
        <v>4.1078305519897301E-2</v>
      </c>
      <c r="F115" s="18">
        <f>IF(ISNUMBER(D115), $B118 * E115, "")</f>
        <v>4107.8305519897303</v>
      </c>
      <c r="G115" s="31">
        <v>4025</v>
      </c>
      <c r="H115" s="32">
        <f t="shared" si="59"/>
        <v>3.3376123234916559E-2</v>
      </c>
      <c r="I115" s="101">
        <f>IF(ISNUMBER(G115), $B118 * H115, "")</f>
        <v>3337.6123234916558</v>
      </c>
      <c r="J115" s="15">
        <v>4145</v>
      </c>
      <c r="K115" s="32">
        <f t="shared" si="60"/>
        <v>6.4184852374839535E-2</v>
      </c>
      <c r="L115" s="18">
        <f>IF(ISNUMBER(J115), $B118 * K115, "")</f>
        <v>6418.4852374839538</v>
      </c>
      <c r="M115" s="31">
        <v>4110</v>
      </c>
      <c r="N115" s="32">
        <f t="shared" si="61"/>
        <v>5.5198973042362001E-2</v>
      </c>
      <c r="O115" s="18">
        <f>IF(ISNUMBER(M115), $B118 * N115, "")</f>
        <v>5519.8973042362004</v>
      </c>
      <c r="Q115" s="227"/>
      <c r="R115" s="227"/>
      <c r="S115" s="227"/>
    </row>
    <row r="116" spans="1:19">
      <c r="A116" s="125" t="s">
        <v>124</v>
      </c>
      <c r="B116" s="126">
        <v>608</v>
      </c>
      <c r="C116" s="77">
        <v>-1.13821138E-2</v>
      </c>
      <c r="D116" s="15">
        <v>762</v>
      </c>
      <c r="E116" s="32">
        <f t="shared" si="58"/>
        <v>0.25328947368421051</v>
      </c>
      <c r="F116" s="18">
        <f>IF(ISNUMBER(D116), $B118 * E116, "")</f>
        <v>25328.94736842105</v>
      </c>
      <c r="G116" s="31">
        <v>696</v>
      </c>
      <c r="H116" s="32">
        <f t="shared" si="59"/>
        <v>0.14473684210526316</v>
      </c>
      <c r="I116" s="101">
        <f>IF(ISNUMBER(G116), $B118 * H116, "")</f>
        <v>14473.684210526317</v>
      </c>
      <c r="J116" s="15">
        <v>716</v>
      </c>
      <c r="K116" s="32">
        <f t="shared" si="60"/>
        <v>0.17763157894736842</v>
      </c>
      <c r="L116" s="18">
        <f>IF(ISNUMBER(J116), $B118 * K116, "")</f>
        <v>17763.157894736843</v>
      </c>
      <c r="M116" s="31">
        <v>699</v>
      </c>
      <c r="N116" s="32">
        <f t="shared" si="61"/>
        <v>0.14967105263157895</v>
      </c>
      <c r="O116" s="18">
        <f>IF(ISNUMBER(M116), $B118 * N116, "")</f>
        <v>14967.105263157895</v>
      </c>
      <c r="Q116" s="249"/>
      <c r="R116" s="250"/>
      <c r="S116" s="251"/>
    </row>
    <row r="117" spans="1:19" ht="17.25" thickBot="1">
      <c r="A117" s="130" t="s">
        <v>244</v>
      </c>
      <c r="B117" s="131">
        <v>1815</v>
      </c>
      <c r="C117" s="79">
        <v>-1.35869565E-2</v>
      </c>
      <c r="D117" s="24">
        <v>1905</v>
      </c>
      <c r="E117" s="25">
        <f t="shared" si="58"/>
        <v>4.9586776859504134E-2</v>
      </c>
      <c r="F117" s="104">
        <f>IF(ISNUMBER(D117), $B118 * E117, "")</f>
        <v>4958.6776859504134</v>
      </c>
      <c r="G117" s="102">
        <v>1930</v>
      </c>
      <c r="H117" s="25">
        <f t="shared" si="59"/>
        <v>6.3360881542699726E-2</v>
      </c>
      <c r="I117" s="103">
        <f>IF(ISNUMBER(G117), $B118 * H117, "")</f>
        <v>6336.0881542699726</v>
      </c>
      <c r="J117" s="24">
        <v>1985</v>
      </c>
      <c r="K117" s="25">
        <f t="shared" si="60"/>
        <v>9.366391184573003E-2</v>
      </c>
      <c r="L117" s="104">
        <f>IF(ISNUMBER(J117), $B118 * K117, "")</f>
        <v>9366.3911845730036</v>
      </c>
      <c r="M117" s="102">
        <v>1985</v>
      </c>
      <c r="N117" s="25">
        <f t="shared" si="61"/>
        <v>9.366391184573003E-2</v>
      </c>
      <c r="O117" s="104">
        <f>IF(ISNUMBER(M117), $B118 * N117, "")</f>
        <v>9366.3911845730036</v>
      </c>
      <c r="Q117" s="252"/>
      <c r="R117" s="253"/>
      <c r="S117" s="254"/>
    </row>
    <row r="118" spans="1:19" ht="17.25" thickBot="1">
      <c r="A118" s="132" t="s">
        <v>270</v>
      </c>
      <c r="B118" s="260">
        <f>$B$37</f>
        <v>100000</v>
      </c>
      <c r="C118" s="261"/>
      <c r="D118" s="26" t="s">
        <v>271</v>
      </c>
      <c r="E118" s="27">
        <f>IF(COUNT(E98:E117), SUM(E98:E117) / COUNT(E98:E117), 0)</f>
        <v>5.6252774441565546E-2</v>
      </c>
      <c r="F118" s="28">
        <f>SUM(F98:F117)</f>
        <v>112505.54888313108</v>
      </c>
      <c r="G118" s="26" t="s">
        <v>271</v>
      </c>
      <c r="H118" s="27">
        <f>IF(COUNT(H98:H117), SUM(H98:H117) / COUNT(H98:H117), 0)</f>
        <v>6.7682747260349535E-2</v>
      </c>
      <c r="I118" s="28">
        <f>SUM(I98:I117)</f>
        <v>135365.49452069908</v>
      </c>
      <c r="J118" s="26" t="s">
        <v>271</v>
      </c>
      <c r="K118" s="27">
        <f>IF(COUNT(K98:K117), SUM(K98:K117) / COUNT(K98:K117), 0)</f>
        <v>8.5395072817467388E-2</v>
      </c>
      <c r="L118" s="28">
        <f>SUM(L98:L117)</f>
        <v>170790.14563493483</v>
      </c>
      <c r="M118" s="26" t="s">
        <v>271</v>
      </c>
      <c r="N118" s="27">
        <f>IF(COUNT(N98:N117), SUM(N98:N117) / COUNT(N98:N117), 0)</f>
        <v>8.1544800514178492E-2</v>
      </c>
      <c r="O118" s="28">
        <f>SUM(O98:O117)</f>
        <v>163089.60102835693</v>
      </c>
      <c r="Q118" s="255"/>
      <c r="R118" s="256"/>
      <c r="S118" s="257"/>
    </row>
    <row r="120" spans="1:19" ht="17.25" thickBot="1"/>
    <row r="121" spans="1:19" ht="17.25" thickBot="1">
      <c r="A121" s="201" t="s">
        <v>258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89" t="s">
        <v>267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55149000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2.1442459999999998E-3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2021-09-09(목) 오전 00:00</v>
      </c>
      <c r="C123" s="265"/>
      <c r="D123" s="224" t="str">
        <f>TEXT($G$1, "[$-ko-KR]yyyy-mm-dd(ddd) ") &amp; "오후 14:00"</f>
        <v>2021-09-09(목) 오후 14:00</v>
      </c>
      <c r="E123" s="225"/>
      <c r="F123" s="226"/>
      <c r="G123" s="224" t="str">
        <f>TEXT($G$1, "[$-ko-KR]yyyy-mm-dd(ddd) ") &amp; "오후 19:00"</f>
        <v>2021-09-09(목) 오후 19:00</v>
      </c>
      <c r="H123" s="225"/>
      <c r="I123" s="226"/>
      <c r="J123" s="224" t="str">
        <f>TEXT($G$1, "[$-ko-KR]yyyy-mm-dd(ddd) ") &amp; "오후 21:00"</f>
        <v>2021-09-09(목) 오후 21:00</v>
      </c>
      <c r="K123" s="225"/>
      <c r="L123" s="226"/>
      <c r="M123" s="224" t="str">
        <f>TEXT($G$1+1, "[$-ko-KR]yyyy-mm-dd(ddd) ") &amp; "오전 00:00"</f>
        <v>2021-09-10(금)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7"/>
      <c r="R124" s="227"/>
      <c r="S124" s="227"/>
    </row>
    <row r="125" spans="1:19" ht="17.25" thickBot="1">
      <c r="A125" s="123" t="s">
        <v>65</v>
      </c>
      <c r="B125" s="124">
        <v>76.900000000000006</v>
      </c>
      <c r="C125" s="76">
        <v>0.1794478528</v>
      </c>
      <c r="D125" s="13">
        <v>91.1</v>
      </c>
      <c r="E125" s="14">
        <f>IF(ISNUMBER(D125), (D125 - $B125) / $B125, "")</f>
        <v>0.18465539661898553</v>
      </c>
      <c r="F125" s="16">
        <f>IF(ISNUMBER(D125), $B145 * E125, "")</f>
        <v>18465.539661898554</v>
      </c>
      <c r="G125" s="29">
        <v>104</v>
      </c>
      <c r="H125" s="14">
        <f>IF(ISNUMBER(G125), (G125 - $B125) / $B125, "")</f>
        <v>0.35240572171651485</v>
      </c>
      <c r="I125" s="100">
        <f>IF(ISNUMBER(G125), $B145 * H125, "")</f>
        <v>35240.572171651482</v>
      </c>
      <c r="J125" s="13">
        <v>101</v>
      </c>
      <c r="K125" s="14">
        <f>IF(ISNUMBER(J125), (J125 - $B125) / $B125, "")</f>
        <v>0.31339401820546153</v>
      </c>
      <c r="L125" s="16">
        <f>IF(ISNUMBER(J125), $B145 * K125, "")</f>
        <v>31339.401820546154</v>
      </c>
      <c r="M125" s="29">
        <v>101</v>
      </c>
      <c r="N125" s="14">
        <f>IF(ISNUMBER(M125), (M125 - $B125) / $B125, "")</f>
        <v>0.31339401820546153</v>
      </c>
      <c r="O125" s="16">
        <f>IF(ISNUMBER(M125), $B145 * N125, "")</f>
        <v>31339.401820546154</v>
      </c>
      <c r="Q125" s="222"/>
      <c r="R125" s="222"/>
      <c r="S125" s="222"/>
    </row>
    <row r="126" spans="1:19" ht="17.25" thickBot="1">
      <c r="A126" s="125" t="s">
        <v>250</v>
      </c>
      <c r="B126" s="126">
        <v>93.6</v>
      </c>
      <c r="C126" s="77">
        <v>3.7694013300000002E-2</v>
      </c>
      <c r="D126" s="15">
        <v>94.9</v>
      </c>
      <c r="E126" s="32">
        <f t="shared" ref="E126:E129" si="62">IF(ISNUMBER(D126), (D126 - $B126) / $B126, "")</f>
        <v>1.3888888888889011E-2</v>
      </c>
      <c r="F126" s="18">
        <f>IF(ISNUMBER(D126), $B145 * E126, "")</f>
        <v>1388.8888888889012</v>
      </c>
      <c r="G126" s="31">
        <v>95.3</v>
      </c>
      <c r="H126" s="32">
        <f t="shared" ref="H126:H129" si="63">IF(ISNUMBER(G126), (G126 - $B126) / $B126, "")</f>
        <v>1.8162393162393195E-2</v>
      </c>
      <c r="I126" s="101">
        <f>IF(ISNUMBER(G126), $B145 * H126, "")</f>
        <v>1816.2393162393196</v>
      </c>
      <c r="J126" s="15">
        <v>96.8</v>
      </c>
      <c r="K126" s="32">
        <f t="shared" ref="K126:K129" si="64">IF(ISNUMBER(J126), (J126 - $B126) / $B126, "")</f>
        <v>3.4188034188034219E-2</v>
      </c>
      <c r="L126" s="18">
        <f>IF(ISNUMBER(J126), $B145 * K126, "")</f>
        <v>3418.8034188034221</v>
      </c>
      <c r="M126" s="31">
        <v>96.4</v>
      </c>
      <c r="N126" s="32">
        <f t="shared" ref="N126:N129" si="65">IF(ISNUMBER(M126), (M126 - $B126) / $B126, "")</f>
        <v>2.9914529914530037E-2</v>
      </c>
      <c r="O126" s="18">
        <f>IF(ISNUMBER(M126), $B145 * N126, "")</f>
        <v>2991.4529914530035</v>
      </c>
      <c r="Q126" s="222"/>
      <c r="R126" s="222"/>
      <c r="S126" s="222"/>
    </row>
    <row r="127" spans="1:19" ht="17.25" thickBot="1">
      <c r="A127" s="125" t="s">
        <v>98</v>
      </c>
      <c r="B127" s="126">
        <v>4.83</v>
      </c>
      <c r="C127" s="77">
        <v>2.0746888000000002E-3</v>
      </c>
      <c r="D127" s="15">
        <v>4.87</v>
      </c>
      <c r="E127" s="32">
        <f t="shared" si="62"/>
        <v>8.2815734989648108E-3</v>
      </c>
      <c r="F127" s="18">
        <f>IF(ISNUMBER(D127), $B145 * E127, "")</f>
        <v>828.15734989648104</v>
      </c>
      <c r="G127" s="31">
        <v>4.91</v>
      </c>
      <c r="H127" s="32">
        <f t="shared" si="63"/>
        <v>1.6563146997929622E-2</v>
      </c>
      <c r="I127" s="101">
        <f>IF(ISNUMBER(G127), $B145 * H127, "")</f>
        <v>1656.3146997929621</v>
      </c>
      <c r="J127" s="15">
        <v>4.96</v>
      </c>
      <c r="K127" s="32">
        <f t="shared" si="64"/>
        <v>2.6915113871635588E-2</v>
      </c>
      <c r="L127" s="18">
        <f>IF(ISNUMBER(J127), $B145 * K127, "")</f>
        <v>2691.5113871635585</v>
      </c>
      <c r="M127" s="31">
        <v>4.9000000000000004</v>
      </c>
      <c r="N127" s="32">
        <f t="shared" si="65"/>
        <v>1.4492753623188465E-2</v>
      </c>
      <c r="O127" s="18">
        <f>IF(ISNUMBER(M127), $B145 * N127, "")</f>
        <v>1449.2753623188464</v>
      </c>
      <c r="Q127" s="227"/>
      <c r="R127" s="227"/>
      <c r="S127" s="227"/>
    </row>
    <row r="128" spans="1:19" ht="17.25" thickBot="1">
      <c r="A128" s="125" t="s">
        <v>72</v>
      </c>
      <c r="B128" s="126">
        <v>25.2</v>
      </c>
      <c r="C128" s="77">
        <v>-2.3255814E-2</v>
      </c>
      <c r="D128" s="15">
        <v>26.3</v>
      </c>
      <c r="E128" s="32">
        <f t="shared" si="62"/>
        <v>4.3650793650793711E-2</v>
      </c>
      <c r="F128" s="18">
        <f>IF(ISNUMBER(D128), $B145 * E128, "")</f>
        <v>4365.0793650793712</v>
      </c>
      <c r="G128" s="31">
        <v>27.3</v>
      </c>
      <c r="H128" s="32">
        <f t="shared" si="63"/>
        <v>8.3333333333333398E-2</v>
      </c>
      <c r="I128" s="101">
        <f>IF(ISNUMBER(G128), $B145 * H128, "")</f>
        <v>8333.3333333333394</v>
      </c>
      <c r="J128" s="15">
        <v>27.5</v>
      </c>
      <c r="K128" s="32">
        <f t="shared" si="64"/>
        <v>9.1269841269841306E-2</v>
      </c>
      <c r="L128" s="18">
        <f>IF(ISNUMBER(J128), $B145 * K128, "")</f>
        <v>9126.9841269841309</v>
      </c>
      <c r="M128" s="31">
        <v>27.9</v>
      </c>
      <c r="N128" s="32">
        <f t="shared" si="65"/>
        <v>0.10714285714285712</v>
      </c>
      <c r="O128" s="18">
        <f>IF(ISNUMBER(M128), $B145 * N128, "")</f>
        <v>10714.285714285712</v>
      </c>
      <c r="Q128" s="227"/>
      <c r="R128" s="227"/>
      <c r="S128" s="227"/>
    </row>
    <row r="129" spans="1:19" ht="17.25" thickBot="1">
      <c r="A129" s="127" t="s">
        <v>178</v>
      </c>
      <c r="B129" s="128">
        <v>18.600000000000001</v>
      </c>
      <c r="C129" s="78">
        <v>-5.1020408199999999E-2</v>
      </c>
      <c r="D129" s="20">
        <v>19.8</v>
      </c>
      <c r="E129" s="21">
        <f t="shared" si="62"/>
        <v>6.4516129032258021E-2</v>
      </c>
      <c r="F129" s="22">
        <f>IF(ISNUMBER(D129), $B145 * E129, "")</f>
        <v>6451.6129032258023</v>
      </c>
      <c r="G129" s="30">
        <v>20.100000000000001</v>
      </c>
      <c r="H129" s="21">
        <f t="shared" si="63"/>
        <v>8.0645161290322578E-2</v>
      </c>
      <c r="I129" s="105">
        <f>IF(ISNUMBER(G129), $B145 * H129, "")</f>
        <v>8064.5161290322576</v>
      </c>
      <c r="J129" s="20">
        <v>20.5</v>
      </c>
      <c r="K129" s="21">
        <f t="shared" si="64"/>
        <v>0.10215053763440851</v>
      </c>
      <c r="L129" s="22">
        <f>IF(ISNUMBER(J129), $B145 * K129, "")</f>
        <v>10215.053763440852</v>
      </c>
      <c r="M129" s="30">
        <v>20.3</v>
      </c>
      <c r="N129" s="21">
        <f t="shared" si="65"/>
        <v>9.1397849462365552E-2</v>
      </c>
      <c r="O129" s="22">
        <f>IF(ISNUMBER(M129), $B145 * N129, "")</f>
        <v>9139.7849462365557</v>
      </c>
      <c r="Q129" s="227"/>
      <c r="R129" s="227"/>
      <c r="S129" s="227"/>
    </row>
    <row r="130" spans="1:19" ht="17.25" thickBot="1">
      <c r="A130" s="125" t="s">
        <v>190</v>
      </c>
      <c r="B130" s="129">
        <v>18</v>
      </c>
      <c r="C130" s="80">
        <v>-5.7591623000000002E-2</v>
      </c>
      <c r="D130" s="106">
        <v>19.600000000000001</v>
      </c>
      <c r="E130" s="107">
        <f>IF(ISNUMBER(D130), (D130 - $B130) / $B130, "")</f>
        <v>8.8888888888888962E-2</v>
      </c>
      <c r="F130" s="108">
        <f>IF(ISNUMBER(D130), $B145 * E130, "")</f>
        <v>8888.888888888896</v>
      </c>
      <c r="G130" s="109">
        <v>19.8</v>
      </c>
      <c r="H130" s="107">
        <f>IF(ISNUMBER(G130), (G130 - $B130) / $B130, "")</f>
        <v>0.10000000000000003</v>
      </c>
      <c r="I130" s="110">
        <f>IF(ISNUMBER(G130), $B145 * H130, "")</f>
        <v>10000.000000000004</v>
      </c>
      <c r="J130" s="106">
        <v>20</v>
      </c>
      <c r="K130" s="107">
        <f>IF(ISNUMBER(J130), (J130 - $B130) / $B130, "")</f>
        <v>0.1111111111111111</v>
      </c>
      <c r="L130" s="108">
        <f>IF(ISNUMBER(J130), $B145 * K130, "")</f>
        <v>11111.111111111111</v>
      </c>
      <c r="M130" s="109">
        <v>20</v>
      </c>
      <c r="N130" s="107">
        <f>IF(ISNUMBER(M130), (M130 - $B130) / $B130, "")</f>
        <v>0.1111111111111111</v>
      </c>
      <c r="O130" s="108">
        <f>IF(ISNUMBER(M130), $B145 * N130, "")</f>
        <v>11111.111111111111</v>
      </c>
      <c r="Q130" s="227"/>
      <c r="R130" s="227"/>
      <c r="S130" s="227"/>
    </row>
    <row r="131" spans="1:19" ht="17.25" thickBot="1">
      <c r="A131" s="125" t="s">
        <v>216</v>
      </c>
      <c r="B131" s="126">
        <v>11</v>
      </c>
      <c r="C131" s="77">
        <v>-5.9829059800000001E-2</v>
      </c>
      <c r="D131" s="15">
        <v>11.7</v>
      </c>
      <c r="E131" s="32">
        <f t="shared" ref="E131:E134" si="66">IF(ISNUMBER(D131), (D131 - $B131) / $B131, "")</f>
        <v>6.3636363636363574E-2</v>
      </c>
      <c r="F131" s="18">
        <f>IF(ISNUMBER(D131), $B145 * E131, "")</f>
        <v>6363.6363636363576</v>
      </c>
      <c r="G131" s="31">
        <v>11.8</v>
      </c>
      <c r="H131" s="32">
        <f t="shared" ref="H131:H134" si="67">IF(ISNUMBER(G131), (G131 - $B131) / $B131, "")</f>
        <v>7.2727272727272793E-2</v>
      </c>
      <c r="I131" s="101">
        <f>IF(ISNUMBER(G131), $B145 * H131, "")</f>
        <v>7272.7272727272793</v>
      </c>
      <c r="J131" s="15">
        <v>12.2</v>
      </c>
      <c r="K131" s="32">
        <f t="shared" ref="K131:K134" si="68">IF(ISNUMBER(J131), (J131 - $B131) / $B131, "")</f>
        <v>0.10909090909090903</v>
      </c>
      <c r="L131" s="18">
        <f>IF(ISNUMBER(J131), $B145 * K131, "")</f>
        <v>10909.090909090903</v>
      </c>
      <c r="M131" s="31">
        <v>12.1</v>
      </c>
      <c r="N131" s="32">
        <f t="shared" ref="N131:N134" si="69">IF(ISNUMBER(M131), (M131 - $B131) / $B131, "")</f>
        <v>9.9999999999999964E-2</v>
      </c>
      <c r="O131" s="18">
        <f>IF(ISNUMBER(M131), $B145 * N131, "")</f>
        <v>9999.9999999999964</v>
      </c>
      <c r="Q131" s="227"/>
      <c r="R131" s="227"/>
      <c r="S131" s="227"/>
    </row>
    <row r="132" spans="1:19" ht="17.25" thickBot="1">
      <c r="A132" s="125" t="s">
        <v>148</v>
      </c>
      <c r="B132" s="126">
        <v>21.9</v>
      </c>
      <c r="C132" s="77">
        <v>-6.0085836900000002E-2</v>
      </c>
      <c r="D132" s="15">
        <v>23.4</v>
      </c>
      <c r="E132" s="32">
        <f t="shared" si="66"/>
        <v>6.8493150684931517E-2</v>
      </c>
      <c r="F132" s="18">
        <f>IF(ISNUMBER(D132), $B145 * E132, "")</f>
        <v>6849.3150684931516</v>
      </c>
      <c r="G132" s="31">
        <v>23.4</v>
      </c>
      <c r="H132" s="32">
        <f t="shared" si="67"/>
        <v>6.8493150684931517E-2</v>
      </c>
      <c r="I132" s="101">
        <f>IF(ISNUMBER(G132), $B145 * H132, "")</f>
        <v>6849.3150684931516</v>
      </c>
      <c r="J132" s="15">
        <v>23.9</v>
      </c>
      <c r="K132" s="32">
        <f t="shared" si="68"/>
        <v>9.1324200913242018E-2</v>
      </c>
      <c r="L132" s="18">
        <f>IF(ISNUMBER(J132), $B145 * K132, "")</f>
        <v>9132.4200913242021</v>
      </c>
      <c r="M132" s="31">
        <v>24.2</v>
      </c>
      <c r="N132" s="32">
        <f t="shared" si="69"/>
        <v>0.10502283105022835</v>
      </c>
      <c r="O132" s="18">
        <f>IF(ISNUMBER(M132), $B145 * N132, "")</f>
        <v>10502.283105022834</v>
      </c>
      <c r="Q132" s="227"/>
      <c r="R132" s="227"/>
      <c r="S132" s="227"/>
    </row>
    <row r="133" spans="1:19" ht="17.25" thickBot="1">
      <c r="A133" s="125" t="s">
        <v>202</v>
      </c>
      <c r="B133" s="126">
        <v>86.1</v>
      </c>
      <c r="C133" s="77">
        <v>-6.5146579800000007E-2</v>
      </c>
      <c r="D133" s="15">
        <v>93.5</v>
      </c>
      <c r="E133" s="32">
        <f t="shared" si="66"/>
        <v>8.5946573751451871E-2</v>
      </c>
      <c r="F133" s="18">
        <f>IF(ISNUMBER(D133), $B145 * E133, "")</f>
        <v>8594.657375145187</v>
      </c>
      <c r="G133" s="31">
        <v>92.5</v>
      </c>
      <c r="H133" s="32">
        <f t="shared" si="67"/>
        <v>7.4332171893147572E-2</v>
      </c>
      <c r="I133" s="101">
        <f>IF(ISNUMBER(G133), $B145 * H133, "")</f>
        <v>7433.217189314757</v>
      </c>
      <c r="J133" s="15">
        <v>93.6</v>
      </c>
      <c r="K133" s="32">
        <f t="shared" si="68"/>
        <v>8.7108013937282236E-2</v>
      </c>
      <c r="L133" s="18">
        <f>IF(ISNUMBER(J133), $B145 * K133, "")</f>
        <v>8710.801393728223</v>
      </c>
      <c r="M133" s="31">
        <v>93.1</v>
      </c>
      <c r="N133" s="32">
        <f t="shared" si="69"/>
        <v>8.1300813008130093E-2</v>
      </c>
      <c r="O133" s="18">
        <f>IF(ISNUMBER(M133), $B145 * N133, "")</f>
        <v>8130.081300813009</v>
      </c>
      <c r="Q133" s="33"/>
      <c r="R133" s="33"/>
    </row>
    <row r="134" spans="1:19" ht="17.25" thickBot="1">
      <c r="A134" s="130" t="s">
        <v>208</v>
      </c>
      <c r="B134" s="131">
        <v>12.8</v>
      </c>
      <c r="C134" s="79">
        <v>-6.56934307E-2</v>
      </c>
      <c r="D134" s="24">
        <v>14.5</v>
      </c>
      <c r="E134" s="25">
        <f t="shared" si="66"/>
        <v>0.13281249999999994</v>
      </c>
      <c r="F134" s="104">
        <f>IF(ISNUMBER(D134), $B145 * E134, "")</f>
        <v>13281.249999999995</v>
      </c>
      <c r="G134" s="102">
        <v>14.7</v>
      </c>
      <c r="H134" s="25">
        <f t="shared" si="67"/>
        <v>0.14843749999999989</v>
      </c>
      <c r="I134" s="103">
        <f>IF(ISNUMBER(G134), $B145 * H134, "")</f>
        <v>14843.749999999989</v>
      </c>
      <c r="J134" s="24">
        <v>14.9</v>
      </c>
      <c r="K134" s="25">
        <f t="shared" si="68"/>
        <v>0.16406249999999997</v>
      </c>
      <c r="L134" s="104">
        <f>IF(ISNUMBER(J134), $B145 * K134, "")</f>
        <v>16406.249999999996</v>
      </c>
      <c r="M134" s="102">
        <v>15</v>
      </c>
      <c r="N134" s="25">
        <f t="shared" si="69"/>
        <v>0.17187499999999994</v>
      </c>
      <c r="O134" s="104">
        <f>IF(ISNUMBER(M134), $B145 * N134, "")</f>
        <v>17187.499999999993</v>
      </c>
      <c r="Q134" s="236"/>
      <c r="R134" s="237"/>
      <c r="S134" s="238"/>
    </row>
    <row r="135" spans="1:19">
      <c r="A135" s="123" t="s">
        <v>150</v>
      </c>
      <c r="B135" s="124">
        <v>12.7</v>
      </c>
      <c r="C135" s="76">
        <v>-6.6176470599999995E-2</v>
      </c>
      <c r="D135" s="13">
        <v>13.7</v>
      </c>
      <c r="E135" s="14">
        <f>IF(ISNUMBER(D135), (D135 - $B135) / $B135, "")</f>
        <v>7.874015748031496E-2</v>
      </c>
      <c r="F135" s="16">
        <f>IF(ISNUMBER(D135), $B145 * E135, "")</f>
        <v>7874.0157480314956</v>
      </c>
      <c r="G135" s="29">
        <v>13.9</v>
      </c>
      <c r="H135" s="14">
        <f>IF(ISNUMBER(G135), (G135 - $B135) / $B135, "")</f>
        <v>9.4488188976378049E-2</v>
      </c>
      <c r="I135" s="100">
        <f>IF(ISNUMBER(G135), $B145 * H135, "")</f>
        <v>9448.8188976378042</v>
      </c>
      <c r="J135" s="13">
        <v>14</v>
      </c>
      <c r="K135" s="14">
        <f>IF(ISNUMBER(J135), (J135 - $B135) / $B135, "")</f>
        <v>0.10236220472440952</v>
      </c>
      <c r="L135" s="16">
        <f>IF(ISNUMBER(J135), $B145 * K135, "")</f>
        <v>10236.220472440951</v>
      </c>
      <c r="M135" s="29">
        <v>14</v>
      </c>
      <c r="N135" s="14">
        <f>IF(ISNUMBER(M135), (M135 - $B135) / $B135, "")</f>
        <v>0.10236220472440952</v>
      </c>
      <c r="O135" s="16">
        <f>IF(ISNUMBER(M135), $B145 * N135, "")</f>
        <v>10236.220472440951</v>
      </c>
      <c r="Q135" s="239"/>
      <c r="R135" s="240"/>
      <c r="S135" s="241"/>
    </row>
    <row r="136" spans="1:19" ht="17.25" thickBot="1">
      <c r="A136" s="125" t="s">
        <v>204</v>
      </c>
      <c r="B136" s="126">
        <v>15.4</v>
      </c>
      <c r="C136" s="77">
        <v>-6.6666666700000002E-2</v>
      </c>
      <c r="D136" s="15">
        <v>19.8</v>
      </c>
      <c r="E136" s="32">
        <f t="shared" ref="E136:E139" si="70">IF(ISNUMBER(D136), (D136 - $B136) / $B136, "")</f>
        <v>0.28571428571428575</v>
      </c>
      <c r="F136" s="18">
        <f>IF(ISNUMBER(D136), $B145 * E136, "")</f>
        <v>28571.428571428576</v>
      </c>
      <c r="G136" s="31">
        <v>19.3</v>
      </c>
      <c r="H136" s="32">
        <f t="shared" ref="H136:H139" si="71">IF(ISNUMBER(G136), (G136 - $B136) / $B136, "")</f>
        <v>0.25324675324675328</v>
      </c>
      <c r="I136" s="101">
        <f>IF(ISNUMBER(G136), $B145 * H136, "")</f>
        <v>25324.675324675329</v>
      </c>
      <c r="J136" s="15">
        <v>19.399999999999999</v>
      </c>
      <c r="K136" s="32">
        <f t="shared" ref="K136:K139" si="72">IF(ISNUMBER(J136), (J136 - $B136) / $B136, "")</f>
        <v>0.2597402597402596</v>
      </c>
      <c r="L136" s="18">
        <f>IF(ISNUMBER(J136), $B145 * K136, "")</f>
        <v>25974.025974025961</v>
      </c>
      <c r="M136" s="31">
        <v>19.600000000000001</v>
      </c>
      <c r="N136" s="32">
        <f t="shared" ref="N136:N139" si="73">IF(ISNUMBER(M136), (M136 - $B136) / $B136, "")</f>
        <v>0.27272727272727276</v>
      </c>
      <c r="O136" s="18">
        <f>IF(ISNUMBER(M136), $B145 * N136, "")</f>
        <v>27272.727272727276</v>
      </c>
      <c r="Q136" s="242"/>
      <c r="R136" s="243"/>
      <c r="S136" s="244"/>
    </row>
    <row r="137" spans="1:19" ht="17.25" thickBot="1">
      <c r="A137" s="125" t="s">
        <v>122</v>
      </c>
      <c r="B137" s="126">
        <v>38.200000000000003</v>
      </c>
      <c r="C137" s="77">
        <v>-6.8292682899999999E-2</v>
      </c>
      <c r="D137" s="15">
        <v>42.2</v>
      </c>
      <c r="E137" s="32">
        <f t="shared" si="70"/>
        <v>0.10471204188481674</v>
      </c>
      <c r="F137" s="18">
        <f>IF(ISNUMBER(D137), $B145 * E137, "")</f>
        <v>10471.204188481674</v>
      </c>
      <c r="G137" s="31">
        <v>43.6</v>
      </c>
      <c r="H137" s="32">
        <f t="shared" si="71"/>
        <v>0.14136125654450257</v>
      </c>
      <c r="I137" s="101">
        <f>IF(ISNUMBER(G137), $B145 * H137, "")</f>
        <v>14136.125654450258</v>
      </c>
      <c r="J137" s="15">
        <v>43.9</v>
      </c>
      <c r="K137" s="32">
        <f t="shared" si="72"/>
        <v>0.14921465968586375</v>
      </c>
      <c r="L137" s="18">
        <f>IF(ISNUMBER(J137), $B145 * K137, "")</f>
        <v>14921.465968586375</v>
      </c>
      <c r="M137" s="31">
        <v>44.2</v>
      </c>
      <c r="N137" s="32">
        <f t="shared" si="73"/>
        <v>0.15706806282722513</v>
      </c>
      <c r="O137" s="18">
        <f>IF(ISNUMBER(M137), $B145 * N137, "")</f>
        <v>15706.806282722513</v>
      </c>
      <c r="Q137" s="227"/>
      <c r="R137" s="227"/>
      <c r="S137" s="227"/>
    </row>
    <row r="138" spans="1:19" ht="17.25" thickBot="1">
      <c r="A138" s="125" t="s">
        <v>240</v>
      </c>
      <c r="B138" s="126">
        <v>66.5</v>
      </c>
      <c r="C138" s="77">
        <v>-6.8627451000000006E-2</v>
      </c>
      <c r="D138" s="15">
        <v>70.7</v>
      </c>
      <c r="E138" s="32">
        <f t="shared" si="70"/>
        <v>6.3157894736842149E-2</v>
      </c>
      <c r="F138" s="18">
        <f>IF(ISNUMBER(D138), $B145 * E138, "")</f>
        <v>6315.7894736842145</v>
      </c>
      <c r="G138" s="31">
        <v>72.2</v>
      </c>
      <c r="H138" s="32">
        <f t="shared" si="71"/>
        <v>8.5714285714285757E-2</v>
      </c>
      <c r="I138" s="101">
        <f>IF(ISNUMBER(G138), $B145 * H138, "")</f>
        <v>8571.4285714285761</v>
      </c>
      <c r="J138" s="15">
        <v>73.599999999999994</v>
      </c>
      <c r="K138" s="32">
        <f t="shared" si="72"/>
        <v>0.106766917293233</v>
      </c>
      <c r="L138" s="18">
        <f>IF(ISNUMBER(J138), $B145 * K138, "")</f>
        <v>10676.6917293233</v>
      </c>
      <c r="M138" s="31">
        <v>73.8</v>
      </c>
      <c r="N138" s="32">
        <f t="shared" si="73"/>
        <v>0.10977443609022552</v>
      </c>
      <c r="O138" s="18">
        <f>IF(ISNUMBER(M138), $B145 * N138, "")</f>
        <v>10977.443609022552</v>
      </c>
      <c r="Q138" s="222"/>
      <c r="R138" s="222"/>
      <c r="S138" s="222"/>
    </row>
    <row r="139" spans="1:19" ht="17.25" thickBot="1">
      <c r="A139" s="127" t="s">
        <v>188</v>
      </c>
      <c r="B139" s="128">
        <v>13.7</v>
      </c>
      <c r="C139" s="78">
        <v>-7.4324324299999994E-2</v>
      </c>
      <c r="D139" s="20">
        <v>14.8</v>
      </c>
      <c r="E139" s="21">
        <f t="shared" si="70"/>
        <v>8.0291970802919818E-2</v>
      </c>
      <c r="F139" s="22">
        <f>IF(ISNUMBER(D139), $B145 * E139, "")</f>
        <v>8029.1970802919814</v>
      </c>
      <c r="G139" s="30">
        <v>14.8</v>
      </c>
      <c r="H139" s="21">
        <f t="shared" si="71"/>
        <v>8.0291970802919818E-2</v>
      </c>
      <c r="I139" s="105">
        <f>IF(ISNUMBER(G139), $B145 * H139, "")</f>
        <v>8029.1970802919814</v>
      </c>
      <c r="J139" s="20">
        <v>15</v>
      </c>
      <c r="K139" s="21">
        <f t="shared" si="72"/>
        <v>9.489051094890516E-2</v>
      </c>
      <c r="L139" s="22">
        <f>IF(ISNUMBER(J139), $B145 * K139, "")</f>
        <v>9489.0510948905157</v>
      </c>
      <c r="M139" s="30">
        <v>15.5</v>
      </c>
      <c r="N139" s="21">
        <f t="shared" si="73"/>
        <v>0.13138686131386867</v>
      </c>
      <c r="O139" s="22">
        <f>IF(ISNUMBER(M139), $B145 * N139, "")</f>
        <v>13138.686131386867</v>
      </c>
      <c r="Q139" s="222"/>
      <c r="R139" s="222"/>
      <c r="S139" s="222"/>
    </row>
    <row r="140" spans="1:19" ht="17.25" thickBot="1">
      <c r="A140" s="125" t="s">
        <v>234</v>
      </c>
      <c r="B140" s="129">
        <v>84.6</v>
      </c>
      <c r="C140" s="80">
        <v>-8.3423618599999999E-2</v>
      </c>
      <c r="D140" s="106">
        <v>89.6</v>
      </c>
      <c r="E140" s="107">
        <f>IF(ISNUMBER(D140), (D140 - $B140) / $B140, "")</f>
        <v>5.9101654846335699E-2</v>
      </c>
      <c r="F140" s="108">
        <f>IF(ISNUMBER(D140), $B145 * E140, "")</f>
        <v>5910.1654846335696</v>
      </c>
      <c r="G140" s="109">
        <v>90.3</v>
      </c>
      <c r="H140" s="107">
        <f>IF(ISNUMBER(G140), (G140 - $B140) / $B140, "")</f>
        <v>6.7375886524822737E-2</v>
      </c>
      <c r="I140" s="110">
        <f>IF(ISNUMBER(G140), $B145 * H140, "")</f>
        <v>6737.5886524822736</v>
      </c>
      <c r="J140" s="106">
        <v>92</v>
      </c>
      <c r="K140" s="107">
        <f>IF(ISNUMBER(J140), (J140 - $B140) / $B140, "")</f>
        <v>8.7470449172576903E-2</v>
      </c>
      <c r="L140" s="108">
        <f>IF(ISNUMBER(J140), $B145 * K140, "")</f>
        <v>8747.04491725769</v>
      </c>
      <c r="M140" s="109">
        <v>91.7</v>
      </c>
      <c r="N140" s="107">
        <f>IF(ISNUMBER(M140), (M140 - $B140) / $B140, "")</f>
        <v>8.3924349881796798E-2</v>
      </c>
      <c r="O140" s="108">
        <f>IF(ISNUMBER(M140), $B145 * N140, "")</f>
        <v>8392.4349881796807</v>
      </c>
      <c r="Q140" s="227"/>
      <c r="R140" s="227"/>
      <c r="S140" s="227"/>
    </row>
    <row r="141" spans="1:19" ht="17.25" thickBot="1">
      <c r="A141" s="125" t="s">
        <v>210</v>
      </c>
      <c r="B141" s="126">
        <v>15</v>
      </c>
      <c r="C141" s="77">
        <v>-9.0909090900000003E-2</v>
      </c>
      <c r="D141" s="15">
        <v>15.8</v>
      </c>
      <c r="E141" s="32">
        <f t="shared" ref="E141:E144" si="74">IF(ISNUMBER(D141), (D141 - $B141) / $B141, "")</f>
        <v>5.3333333333333378E-2</v>
      </c>
      <c r="F141" s="18">
        <f>IF(ISNUMBER(D141), $B145 * E141, "")</f>
        <v>5333.3333333333376</v>
      </c>
      <c r="G141" s="31">
        <v>15.9</v>
      </c>
      <c r="H141" s="32">
        <f t="shared" ref="H141:H144" si="75">IF(ISNUMBER(G141), (G141 - $B141) / $B141, "")</f>
        <v>6.0000000000000026E-2</v>
      </c>
      <c r="I141" s="101">
        <f>IF(ISNUMBER(G141), $B145 * H141, "")</f>
        <v>6000.0000000000027</v>
      </c>
      <c r="J141" s="15">
        <v>16.100000000000001</v>
      </c>
      <c r="K141" s="32">
        <f t="shared" ref="K141:K144" si="76">IF(ISNUMBER(J141), (J141 - $B141) / $B141, "")</f>
        <v>7.3333333333333431E-2</v>
      </c>
      <c r="L141" s="18">
        <f>IF(ISNUMBER(J141), $B145 * K141, "")</f>
        <v>7333.333333333343</v>
      </c>
      <c r="M141" s="31">
        <v>16.2</v>
      </c>
      <c r="N141" s="32">
        <f t="shared" ref="N141:N144" si="77">IF(ISNUMBER(M141), (M141 - $B141) / $B141, "")</f>
        <v>7.9999999999999946E-2</v>
      </c>
      <c r="O141" s="18">
        <f>IF(ISNUMBER(M141), $B145 * N141, "")</f>
        <v>7999.9999999999945</v>
      </c>
      <c r="Q141" s="227"/>
      <c r="R141" s="227"/>
      <c r="S141" s="22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132" t="s">
        <v>270</v>
      </c>
      <c r="B145" s="260">
        <f>$B$37</f>
        <v>100000</v>
      </c>
      <c r="C145" s="261"/>
      <c r="D145" s="26" t="s">
        <v>271</v>
      </c>
      <c r="E145" s="27">
        <f>IF(COUNT(E125:E144), SUM(E125:E144) / COUNT(E125:E144), 0)</f>
        <v>8.704832926178678E-2</v>
      </c>
      <c r="F145" s="28">
        <f>SUM(F125:F144)</f>
        <v>147982.15974503756</v>
      </c>
      <c r="G145" s="26" t="s">
        <v>271</v>
      </c>
      <c r="H145" s="27">
        <f>IF(COUNT(H125:H144), SUM(H125:H144) / COUNT(H125:H144), 0)</f>
        <v>0.1057398937420887</v>
      </c>
      <c r="I145" s="28">
        <f>SUM(I125:I144)</f>
        <v>179757.81936155079</v>
      </c>
      <c r="J145" s="26" t="s">
        <v>271</v>
      </c>
      <c r="K145" s="27">
        <f>IF(COUNT(K125:K144), SUM(K125:K144) / COUNT(K125:K144), 0)</f>
        <v>0.1179054479482651</v>
      </c>
      <c r="L145" s="28">
        <f>SUM(L125:L144)</f>
        <v>200439.26151205067</v>
      </c>
      <c r="M145" s="26" t="s">
        <v>271</v>
      </c>
      <c r="N145" s="27">
        <f>IF(COUNT(N125:N144), SUM(N125:N144) / COUNT(N125:N144), 0)</f>
        <v>0.12134676182839238</v>
      </c>
      <c r="O145" s="28">
        <f>SUM(O125:O144)</f>
        <v>206289.49510826709</v>
      </c>
      <c r="Q145" s="255"/>
      <c r="R145" s="256"/>
      <c r="S145" s="257"/>
    </row>
    <row r="147" spans="1:19" ht="17.25" thickBot="1"/>
    <row r="148" spans="1:19" ht="17.25" thickBot="1">
      <c r="A148" s="201" t="s">
        <v>259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89" t="s">
        <v>267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55149000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2.1442459999999998E-3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2021-09-09(목) 오전 00:00</v>
      </c>
      <c r="C150" s="265"/>
      <c r="D150" s="224" t="str">
        <f>TEXT($G$1, "[$-ko-KR]yyyy-mm-dd(ddd) ") &amp; "오후 14:00"</f>
        <v>2021-09-09(목) 오후 14:00</v>
      </c>
      <c r="E150" s="225"/>
      <c r="F150" s="226"/>
      <c r="G150" s="224" t="str">
        <f>TEXT($G$1, "[$-ko-KR]yyyy-mm-dd(ddd) ") &amp; "오후 19:00"</f>
        <v>2021-09-09(목) 오후 19:00</v>
      </c>
      <c r="H150" s="225"/>
      <c r="I150" s="226"/>
      <c r="J150" s="224" t="str">
        <f>TEXT($G$1, "[$-ko-KR]yyyy-mm-dd(ddd) ") &amp; "오후 21:00"</f>
        <v>2021-09-09(목) 오후 21:00</v>
      </c>
      <c r="K150" s="225"/>
      <c r="L150" s="226"/>
      <c r="M150" s="224" t="str">
        <f>TEXT($G$1+1, "[$-ko-KR]yyyy-mm-dd(ddd) ") &amp; "오전 00:00"</f>
        <v>2021-09-10(금)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7"/>
      <c r="R151" s="227"/>
      <c r="S151" s="227"/>
    </row>
    <row r="152" spans="1:19" ht="17.25" thickBot="1">
      <c r="A152" s="123" t="s">
        <v>266</v>
      </c>
      <c r="B152" s="124">
        <v>294</v>
      </c>
      <c r="C152" s="76">
        <v>-4.5454545499999999E-2</v>
      </c>
      <c r="D152" s="13">
        <v>304</v>
      </c>
      <c r="E152" s="14">
        <f>IF(ISNUMBER(D152), (D152 - $B152) / $B152, "")</f>
        <v>3.4013605442176874E-2</v>
      </c>
      <c r="F152" s="16">
        <f>IF(ISNUMBER(D152), $B172 * E152, "")</f>
        <v>3401.3605442176872</v>
      </c>
      <c r="G152" s="29">
        <v>303</v>
      </c>
      <c r="H152" s="14">
        <f>IF(ISNUMBER(G152), (G152 - $B152) / $B152, "")</f>
        <v>3.0612244897959183E-2</v>
      </c>
      <c r="I152" s="100">
        <f>IF(ISNUMBER(G152), $B172 * H152, "")</f>
        <v>3061.2244897959181</v>
      </c>
      <c r="J152" s="13">
        <v>306</v>
      </c>
      <c r="K152" s="14">
        <f>IF(ISNUMBER(J152), (J152 - $B152) / $B152, "")</f>
        <v>4.0816326530612242E-2</v>
      </c>
      <c r="L152" s="16">
        <f>IF(ISNUMBER(J152), $B172 * K152, "")</f>
        <v>4081.6326530612241</v>
      </c>
      <c r="M152" s="29">
        <v>305</v>
      </c>
      <c r="N152" s="14">
        <f>IF(ISNUMBER(M152), (M152 - $B152) / $B152, "")</f>
        <v>3.7414965986394558E-2</v>
      </c>
      <c r="O152" s="16">
        <f>IF(ISNUMBER(M152), $B172 * N152, "")</f>
        <v>3741.4965986394559</v>
      </c>
      <c r="Q152" s="222"/>
      <c r="R152" s="222"/>
      <c r="S152" s="222"/>
    </row>
    <row r="153" spans="1:19" ht="17.25" thickBot="1">
      <c r="A153" s="125" t="s">
        <v>80</v>
      </c>
      <c r="B153" s="126">
        <v>890</v>
      </c>
      <c r="C153" s="77">
        <v>-5.31914894E-2</v>
      </c>
      <c r="D153" s="15">
        <v>931</v>
      </c>
      <c r="E153" s="32">
        <f t="shared" ref="E153:E156" si="78">IF(ISNUMBER(D153), (D153 - $B153) / $B153, "")</f>
        <v>4.6067415730337076E-2</v>
      </c>
      <c r="F153" s="18">
        <f>IF(ISNUMBER(D153), $B172 * E153, "")</f>
        <v>4606.7415730337079</v>
      </c>
      <c r="G153" s="31">
        <v>934</v>
      </c>
      <c r="H153" s="32">
        <f t="shared" ref="H153:H156" si="79">IF(ISNUMBER(G153), (G153 - $B153) / $B153, "")</f>
        <v>4.9438202247191011E-2</v>
      </c>
      <c r="I153" s="101">
        <f>IF(ISNUMBER(G153), $B172 * H153, "")</f>
        <v>4943.8202247191011</v>
      </c>
      <c r="J153" s="15">
        <v>976</v>
      </c>
      <c r="K153" s="32">
        <f t="shared" ref="K153:K156" si="80">IF(ISNUMBER(J153), (J153 - $B153) / $B153, "")</f>
        <v>9.662921348314607E-2</v>
      </c>
      <c r="L153" s="18">
        <f>IF(ISNUMBER(J153), $B172 * K153, "")</f>
        <v>9662.9213483146068</v>
      </c>
      <c r="M153" s="31">
        <v>976</v>
      </c>
      <c r="N153" s="32">
        <f t="shared" ref="N153:N156" si="81">IF(ISNUMBER(M153), (M153 - $B153) / $B153, "")</f>
        <v>9.662921348314607E-2</v>
      </c>
      <c r="O153" s="18">
        <f>IF(ISNUMBER(M153), $B172 * N153, "")</f>
        <v>9662.9213483146068</v>
      </c>
      <c r="Q153" s="222"/>
      <c r="R153" s="222"/>
      <c r="S153" s="222"/>
    </row>
    <row r="154" spans="1:19" ht="17.25" thickBot="1">
      <c r="A154" s="125" t="s">
        <v>57</v>
      </c>
      <c r="B154" s="126">
        <v>217</v>
      </c>
      <c r="C154" s="77">
        <v>-5.6521739100000003E-2</v>
      </c>
      <c r="D154" s="15">
        <v>226</v>
      </c>
      <c r="E154" s="32">
        <f t="shared" si="78"/>
        <v>4.1474654377880185E-2</v>
      </c>
      <c r="F154" s="18">
        <f>IF(ISNUMBER(D154), $B172 * E154, "")</f>
        <v>4147.4654377880188</v>
      </c>
      <c r="G154" s="31">
        <v>224</v>
      </c>
      <c r="H154" s="32">
        <f t="shared" si="79"/>
        <v>3.2258064516129031E-2</v>
      </c>
      <c r="I154" s="101">
        <f>IF(ISNUMBER(G154), $B172 * H154, "")</f>
        <v>3225.8064516129029</v>
      </c>
      <c r="J154" s="15">
        <v>227</v>
      </c>
      <c r="K154" s="32">
        <f t="shared" si="80"/>
        <v>4.6082949308755762E-2</v>
      </c>
      <c r="L154" s="18">
        <f>IF(ISNUMBER(J154), $B172 * K154, "")</f>
        <v>4608.294930875576</v>
      </c>
      <c r="M154" s="31">
        <v>227</v>
      </c>
      <c r="N154" s="32">
        <f t="shared" si="81"/>
        <v>4.6082949308755762E-2</v>
      </c>
      <c r="O154" s="18">
        <f>IF(ISNUMBER(M154), $B172 * N154, "")</f>
        <v>4608.294930875576</v>
      </c>
      <c r="Q154" s="227"/>
      <c r="R154" s="227"/>
      <c r="S154" s="227"/>
    </row>
    <row r="155" spans="1:19" ht="17.25" thickBot="1">
      <c r="A155" s="125" t="s">
        <v>144</v>
      </c>
      <c r="B155" s="126">
        <v>113</v>
      </c>
      <c r="C155" s="77">
        <v>-5.8333333299999998E-2</v>
      </c>
      <c r="D155" s="15">
        <v>122</v>
      </c>
      <c r="E155" s="32">
        <f t="shared" si="78"/>
        <v>7.9646017699115043E-2</v>
      </c>
      <c r="F155" s="18">
        <f>IF(ISNUMBER(D155), $B172 * E155, "")</f>
        <v>7964.6017699115046</v>
      </c>
      <c r="G155" s="31">
        <v>121</v>
      </c>
      <c r="H155" s="32">
        <f t="shared" si="79"/>
        <v>7.0796460176991149E-2</v>
      </c>
      <c r="I155" s="101">
        <f>IF(ISNUMBER(G155), $B172 * H155, "")</f>
        <v>7079.646017699115</v>
      </c>
      <c r="J155" s="15">
        <v>123</v>
      </c>
      <c r="K155" s="32">
        <f t="shared" si="80"/>
        <v>8.8495575221238937E-2</v>
      </c>
      <c r="L155" s="18">
        <f>IF(ISNUMBER(J155), $B172 * K155, "")</f>
        <v>8849.5575221238942</v>
      </c>
      <c r="M155" s="31">
        <v>121</v>
      </c>
      <c r="N155" s="32">
        <f t="shared" si="81"/>
        <v>7.0796460176991149E-2</v>
      </c>
      <c r="O155" s="18">
        <f>IF(ISNUMBER(M155), $B172 * N155, "")</f>
        <v>7079.646017699115</v>
      </c>
      <c r="Q155" s="227"/>
      <c r="R155" s="227"/>
      <c r="S155" s="227"/>
    </row>
    <row r="156" spans="1:19" ht="17.25" thickBot="1">
      <c r="A156" s="127" t="s">
        <v>218</v>
      </c>
      <c r="B156" s="128">
        <v>131</v>
      </c>
      <c r="C156" s="78">
        <v>-6.4285714300000005E-2</v>
      </c>
      <c r="D156" s="20">
        <v>144</v>
      </c>
      <c r="E156" s="21">
        <f t="shared" si="78"/>
        <v>9.9236641221374045E-2</v>
      </c>
      <c r="F156" s="22">
        <f>IF(ISNUMBER(D156), $B172 * E156, "")</f>
        <v>9923.6641221374048</v>
      </c>
      <c r="G156" s="30">
        <v>143</v>
      </c>
      <c r="H156" s="21">
        <f t="shared" si="79"/>
        <v>9.1603053435114504E-2</v>
      </c>
      <c r="I156" s="105">
        <f>IF(ISNUMBER(G156), $B172 * H156, "")</f>
        <v>9160.3053435114507</v>
      </c>
      <c r="J156" s="20">
        <v>147</v>
      </c>
      <c r="K156" s="21">
        <f t="shared" si="80"/>
        <v>0.12213740458015267</v>
      </c>
      <c r="L156" s="22">
        <f>IF(ISNUMBER(J156), $B172 * K156, "")</f>
        <v>12213.740458015267</v>
      </c>
      <c r="M156" s="30">
        <v>150</v>
      </c>
      <c r="N156" s="21">
        <f t="shared" si="81"/>
        <v>0.14503816793893129</v>
      </c>
      <c r="O156" s="22">
        <f>IF(ISNUMBER(M156), $B172 * N156, "")</f>
        <v>14503.816793893129</v>
      </c>
      <c r="Q156" s="227"/>
      <c r="R156" s="227"/>
      <c r="S156" s="227"/>
    </row>
    <row r="157" spans="1:19" ht="17.25" thickBot="1">
      <c r="A157" s="125" t="s">
        <v>138</v>
      </c>
      <c r="B157" s="129">
        <v>383</v>
      </c>
      <c r="C157" s="80">
        <v>-6.5853658499999995E-2</v>
      </c>
      <c r="D157" s="106">
        <v>389</v>
      </c>
      <c r="E157" s="107">
        <f>IF(ISNUMBER(D157), (D157 - $B157) / $B157, "")</f>
        <v>1.5665796344647518E-2</v>
      </c>
      <c r="F157" s="108">
        <f>IF(ISNUMBER(D157), $B172 * E157, "")</f>
        <v>1566.5796344647517</v>
      </c>
      <c r="G157" s="109">
        <v>389</v>
      </c>
      <c r="H157" s="107">
        <f>IF(ISNUMBER(G157), (G157 - $B157) / $B157, "")</f>
        <v>1.5665796344647518E-2</v>
      </c>
      <c r="I157" s="110">
        <f>IF(ISNUMBER(G157), $B172 * H157, "")</f>
        <v>1566.5796344647517</v>
      </c>
      <c r="J157" s="106">
        <v>397</v>
      </c>
      <c r="K157" s="107">
        <f>IF(ISNUMBER(J157), (J157 - $B157) / $B157, "")</f>
        <v>3.6553524804177548E-2</v>
      </c>
      <c r="L157" s="108">
        <f>IF(ISNUMBER(J157), $B172 * K157, "")</f>
        <v>3655.3524804177546</v>
      </c>
      <c r="M157" s="109">
        <v>394</v>
      </c>
      <c r="N157" s="107">
        <f>IF(ISNUMBER(M157), (M157 - $B157) / $B157, "")</f>
        <v>2.8720626631853787E-2</v>
      </c>
      <c r="O157" s="108">
        <f>IF(ISNUMBER(M157), $B172 * N157, "")</f>
        <v>2872.0626631853788</v>
      </c>
      <c r="Q157" s="227"/>
      <c r="R157" s="227"/>
      <c r="S157" s="227"/>
    </row>
    <row r="158" spans="1:19" ht="17.25" thickBot="1">
      <c r="A158" s="125" t="s">
        <v>236</v>
      </c>
      <c r="B158" s="126">
        <v>676</v>
      </c>
      <c r="C158" s="77">
        <v>-6.6298342499999996E-2</v>
      </c>
      <c r="D158" s="15">
        <v>711</v>
      </c>
      <c r="E158" s="32">
        <f t="shared" ref="E158:E161" si="82">IF(ISNUMBER(D158), (D158 - $B158) / $B158, "")</f>
        <v>5.1775147928994084E-2</v>
      </c>
      <c r="F158" s="18">
        <f>IF(ISNUMBER(D158), $B172 * E158, "")</f>
        <v>5177.5147928994083</v>
      </c>
      <c r="G158" s="31">
        <v>713</v>
      </c>
      <c r="H158" s="32">
        <f t="shared" ref="H158:H161" si="83">IF(ISNUMBER(G158), (G158 - $B158) / $B158, "")</f>
        <v>5.473372781065089E-2</v>
      </c>
      <c r="I158" s="101">
        <f>IF(ISNUMBER(G158), $B172 * H158, "")</f>
        <v>5473.3727810650889</v>
      </c>
      <c r="J158" s="15">
        <v>726</v>
      </c>
      <c r="K158" s="32">
        <f t="shared" ref="K158:K161" si="84">IF(ISNUMBER(J158), (J158 - $B158) / $B158, "")</f>
        <v>7.3964497041420121E-2</v>
      </c>
      <c r="L158" s="18">
        <f>IF(ISNUMBER(J158), $B172 * K158, "")</f>
        <v>7396.4497041420118</v>
      </c>
      <c r="M158" s="31">
        <v>728</v>
      </c>
      <c r="N158" s="32">
        <f t="shared" ref="N158:N161" si="85">IF(ISNUMBER(M158), (M158 - $B158) / $B158, "")</f>
        <v>7.6923076923076927E-2</v>
      </c>
      <c r="O158" s="18">
        <f>IF(ISNUMBER(M158), $B172 * N158, "")</f>
        <v>7692.3076923076924</v>
      </c>
      <c r="Q158" s="227"/>
      <c r="R158" s="227"/>
      <c r="S158" s="227"/>
    </row>
    <row r="159" spans="1:19" ht="17.25" thickBot="1">
      <c r="A159" s="125" t="s">
        <v>166</v>
      </c>
      <c r="B159" s="126">
        <v>224</v>
      </c>
      <c r="C159" s="77">
        <v>-6.6666666700000002E-2</v>
      </c>
      <c r="D159" s="15">
        <v>243</v>
      </c>
      <c r="E159" s="32">
        <f t="shared" si="82"/>
        <v>8.4821428571428575E-2</v>
      </c>
      <c r="F159" s="18">
        <f>IF(ISNUMBER(D159), $B172 * E159, "")</f>
        <v>8482.1428571428569</v>
      </c>
      <c r="G159" s="31">
        <v>241</v>
      </c>
      <c r="H159" s="32">
        <f t="shared" si="83"/>
        <v>7.5892857142857137E-2</v>
      </c>
      <c r="I159" s="101">
        <f>IF(ISNUMBER(G159), $B172 * H159, "")</f>
        <v>7589.2857142857138</v>
      </c>
      <c r="J159" s="15">
        <v>244</v>
      </c>
      <c r="K159" s="32">
        <f t="shared" si="84"/>
        <v>8.9285714285714288E-2</v>
      </c>
      <c r="L159" s="18">
        <f>IF(ISNUMBER(J159), $B172 * K159, "")</f>
        <v>8928.5714285714294</v>
      </c>
      <c r="M159" s="31">
        <v>243</v>
      </c>
      <c r="N159" s="32">
        <f t="shared" si="85"/>
        <v>8.4821428571428575E-2</v>
      </c>
      <c r="O159" s="18">
        <f>IF(ISNUMBER(M159), $B172 * N159, "")</f>
        <v>8482.1428571428569</v>
      </c>
      <c r="Q159" s="227"/>
      <c r="R159" s="227"/>
      <c r="S159" s="227"/>
    </row>
    <row r="160" spans="1:19" ht="17.25" thickBot="1">
      <c r="A160" s="125" t="s">
        <v>128</v>
      </c>
      <c r="B160" s="126">
        <v>138</v>
      </c>
      <c r="C160" s="77">
        <v>-6.7567567600000003E-2</v>
      </c>
      <c r="D160" s="15">
        <v>144</v>
      </c>
      <c r="E160" s="32">
        <f t="shared" si="82"/>
        <v>4.3478260869565216E-2</v>
      </c>
      <c r="F160" s="18">
        <f>IF(ISNUMBER(D160), $B172 * E160, "")</f>
        <v>4347.826086956522</v>
      </c>
      <c r="G160" s="31">
        <v>147</v>
      </c>
      <c r="H160" s="32">
        <f t="shared" si="83"/>
        <v>6.5217391304347824E-2</v>
      </c>
      <c r="I160" s="101">
        <f>IF(ISNUMBER(G160), $B172 * H160, "")</f>
        <v>6521.7391304347821</v>
      </c>
      <c r="J160" s="15">
        <v>149</v>
      </c>
      <c r="K160" s="32">
        <f t="shared" si="84"/>
        <v>7.9710144927536225E-2</v>
      </c>
      <c r="L160" s="18">
        <f>IF(ISNUMBER(J160), $B172 * K160, "")</f>
        <v>7971.0144927536221</v>
      </c>
      <c r="M160" s="31">
        <v>147</v>
      </c>
      <c r="N160" s="32">
        <f t="shared" si="85"/>
        <v>6.5217391304347824E-2</v>
      </c>
      <c r="O160" s="18">
        <f>IF(ISNUMBER(M160), $B172 * N160, "")</f>
        <v>6521.7391304347821</v>
      </c>
      <c r="Q160" s="33"/>
      <c r="R160" s="33"/>
    </row>
    <row r="161" spans="1:19" ht="17.25" thickBot="1">
      <c r="A161" s="130" t="s">
        <v>110</v>
      </c>
      <c r="B161" s="131">
        <v>179</v>
      </c>
      <c r="C161" s="79">
        <v>-6.7708333300000006E-2</v>
      </c>
      <c r="D161" s="24">
        <v>190</v>
      </c>
      <c r="E161" s="25">
        <f t="shared" si="82"/>
        <v>6.1452513966480445E-2</v>
      </c>
      <c r="F161" s="104">
        <f>IF(ISNUMBER(D161), $B172 * E161, "")</f>
        <v>6145.2513966480446</v>
      </c>
      <c r="G161" s="102">
        <v>192</v>
      </c>
      <c r="H161" s="25">
        <f t="shared" si="83"/>
        <v>7.2625698324022353E-2</v>
      </c>
      <c r="I161" s="103">
        <f>IF(ISNUMBER(G161), $B172 * H161, "")</f>
        <v>7262.5698324022351</v>
      </c>
      <c r="J161" s="24">
        <v>193</v>
      </c>
      <c r="K161" s="25">
        <f t="shared" si="84"/>
        <v>7.8212290502793297E-2</v>
      </c>
      <c r="L161" s="104">
        <f>IF(ISNUMBER(J161), $B172 * K161, "")</f>
        <v>7821.2290502793294</v>
      </c>
      <c r="M161" s="102">
        <v>192</v>
      </c>
      <c r="N161" s="25">
        <f t="shared" si="85"/>
        <v>7.2625698324022353E-2</v>
      </c>
      <c r="O161" s="104">
        <f>IF(ISNUMBER(M161), $B172 * N161, "")</f>
        <v>7262.5698324022351</v>
      </c>
      <c r="Q161" s="236"/>
      <c r="R161" s="237"/>
      <c r="S161" s="238"/>
    </row>
    <row r="162" spans="1:19">
      <c r="A162" s="123" t="s">
        <v>130</v>
      </c>
      <c r="B162" s="124">
        <v>142</v>
      </c>
      <c r="C162" s="76">
        <v>-7.1895424799999996E-2</v>
      </c>
      <c r="D162" s="13">
        <v>148</v>
      </c>
      <c r="E162" s="14">
        <f>IF(ISNUMBER(D162), (D162 - $B162) / $B162, "")</f>
        <v>4.2253521126760563E-2</v>
      </c>
      <c r="F162" s="16">
        <f>IF(ISNUMBER(D162), $B172 * E162, "")</f>
        <v>4225.3521126760561</v>
      </c>
      <c r="G162" s="29">
        <v>161</v>
      </c>
      <c r="H162" s="14">
        <f>IF(ISNUMBER(G162), (G162 - $B162) / $B162, "")</f>
        <v>0.13380281690140844</v>
      </c>
      <c r="I162" s="100">
        <f>IF(ISNUMBER(G162), $B172 * H162, "")</f>
        <v>13380.281690140844</v>
      </c>
      <c r="J162" s="13">
        <v>169</v>
      </c>
      <c r="K162" s="14">
        <f>IF(ISNUMBER(J162), (J162 - $B162) / $B162, "")</f>
        <v>0.19014084507042253</v>
      </c>
      <c r="L162" s="16">
        <f>IF(ISNUMBER(J162), $B172 * K162, "")</f>
        <v>19014.084507042255</v>
      </c>
      <c r="M162" s="29">
        <v>176</v>
      </c>
      <c r="N162" s="14">
        <f>IF(ISNUMBER(M162), (M162 - $B162) / $B162, "")</f>
        <v>0.23943661971830985</v>
      </c>
      <c r="O162" s="16">
        <f>IF(ISNUMBER(M162), $B172 * N162, "")</f>
        <v>23943.661971830985</v>
      </c>
      <c r="Q162" s="239"/>
      <c r="R162" s="240"/>
      <c r="S162" s="241"/>
    </row>
    <row r="163" spans="1:19" ht="17.25" thickBot="1">
      <c r="A163" s="125" t="s">
        <v>206</v>
      </c>
      <c r="B163" s="126">
        <v>850</v>
      </c>
      <c r="C163" s="77">
        <v>-7.7090119400000004E-2</v>
      </c>
      <c r="D163" s="15">
        <v>904</v>
      </c>
      <c r="E163" s="32">
        <f t="shared" ref="E163:E166" si="86">IF(ISNUMBER(D163), (D163 - $B163) / $B163, "")</f>
        <v>6.3529411764705876E-2</v>
      </c>
      <c r="F163" s="18">
        <f>IF(ISNUMBER(D163), $B172 * E163, "")</f>
        <v>6352.9411764705874</v>
      </c>
      <c r="G163" s="31">
        <v>872</v>
      </c>
      <c r="H163" s="32">
        <f t="shared" ref="H163:H166" si="87">IF(ISNUMBER(G163), (G163 - $B163) / $B163, "")</f>
        <v>2.5882352941176471E-2</v>
      </c>
      <c r="I163" s="101">
        <f>IF(ISNUMBER(G163), $B172 * H163, "")</f>
        <v>2588.2352941176473</v>
      </c>
      <c r="J163" s="15">
        <v>893</v>
      </c>
      <c r="K163" s="32">
        <f t="shared" ref="K163:K166" si="88">IF(ISNUMBER(J163), (J163 - $B163) / $B163, "")</f>
        <v>5.0588235294117649E-2</v>
      </c>
      <c r="L163" s="18">
        <f>IF(ISNUMBER(J163), $B172 * K163, "")</f>
        <v>5058.8235294117649</v>
      </c>
      <c r="M163" s="31">
        <v>890</v>
      </c>
      <c r="N163" s="32">
        <f t="shared" ref="N163:N166" si="89">IF(ISNUMBER(M163), (M163 - $B163) / $B163, "")</f>
        <v>4.7058823529411764E-2</v>
      </c>
      <c r="O163" s="18">
        <f>IF(ISNUMBER(M163), $B172 * N163, "")</f>
        <v>4705.8823529411766</v>
      </c>
      <c r="Q163" s="242"/>
      <c r="R163" s="243"/>
      <c r="S163" s="244"/>
    </row>
    <row r="164" spans="1:19" ht="17.25" thickBot="1">
      <c r="A164" s="125" t="s">
        <v>238</v>
      </c>
      <c r="B164" s="126">
        <v>119</v>
      </c>
      <c r="C164" s="77">
        <v>-7.7519379799999996E-2</v>
      </c>
      <c r="D164" s="15">
        <v>127</v>
      </c>
      <c r="E164" s="32">
        <f t="shared" si="86"/>
        <v>6.7226890756302518E-2</v>
      </c>
      <c r="F164" s="18">
        <f>IF(ISNUMBER(D164), $B172 * E164, "")</f>
        <v>6722.6890756302519</v>
      </c>
      <c r="G164" s="31">
        <v>128</v>
      </c>
      <c r="H164" s="32">
        <f t="shared" si="87"/>
        <v>7.5630252100840331E-2</v>
      </c>
      <c r="I164" s="101">
        <f>IF(ISNUMBER(G164), $B172 * H164, "")</f>
        <v>7563.0252100840335</v>
      </c>
      <c r="J164" s="15">
        <v>130</v>
      </c>
      <c r="K164" s="32">
        <f t="shared" si="88"/>
        <v>9.2436974789915971E-2</v>
      </c>
      <c r="L164" s="18">
        <f>IF(ISNUMBER(J164), $B172 * K164, "")</f>
        <v>9243.6974789915967</v>
      </c>
      <c r="M164" s="31">
        <v>131</v>
      </c>
      <c r="N164" s="32">
        <f t="shared" si="89"/>
        <v>0.10084033613445378</v>
      </c>
      <c r="O164" s="18">
        <f>IF(ISNUMBER(M164), $B172 * N164, "")</f>
        <v>10084.033613445379</v>
      </c>
      <c r="Q164" s="227"/>
      <c r="R164" s="227"/>
      <c r="S164" s="227"/>
    </row>
    <row r="165" spans="1:19" ht="17.25" thickBot="1">
      <c r="A165" s="125" t="s">
        <v>174</v>
      </c>
      <c r="B165" s="126">
        <v>406</v>
      </c>
      <c r="C165" s="77">
        <v>-7.9365079399999997E-2</v>
      </c>
      <c r="D165" s="15">
        <v>431</v>
      </c>
      <c r="E165" s="32">
        <f t="shared" si="86"/>
        <v>6.1576354679802957E-2</v>
      </c>
      <c r="F165" s="18">
        <f>IF(ISNUMBER(D165), $B172 * E165, "")</f>
        <v>6157.6354679802953</v>
      </c>
      <c r="G165" s="31">
        <v>442</v>
      </c>
      <c r="H165" s="32">
        <f t="shared" si="87"/>
        <v>8.8669950738916259E-2</v>
      </c>
      <c r="I165" s="101">
        <f>IF(ISNUMBER(G165), $B172 * H165, "")</f>
        <v>8866.995073891625</v>
      </c>
      <c r="J165" s="15">
        <v>460</v>
      </c>
      <c r="K165" s="32">
        <f t="shared" si="88"/>
        <v>0.13300492610837439</v>
      </c>
      <c r="L165" s="18">
        <f>IF(ISNUMBER(J165), $B172 * K165, "")</f>
        <v>13300.492610837438</v>
      </c>
      <c r="M165" s="31">
        <v>454</v>
      </c>
      <c r="N165" s="32">
        <f t="shared" si="89"/>
        <v>0.11822660098522167</v>
      </c>
      <c r="O165" s="18">
        <f>IF(ISNUMBER(M165), $B172 * N165, "")</f>
        <v>11822.660098522167</v>
      </c>
      <c r="Q165" s="222"/>
      <c r="R165" s="222"/>
      <c r="S165" s="222"/>
    </row>
    <row r="166" spans="1:19" ht="17.25" thickBot="1">
      <c r="A166" s="127" t="s">
        <v>194</v>
      </c>
      <c r="B166" s="128">
        <v>127</v>
      </c>
      <c r="C166" s="78">
        <v>-7.9710144900000002E-2</v>
      </c>
      <c r="D166" s="20">
        <v>136</v>
      </c>
      <c r="E166" s="21">
        <f t="shared" si="86"/>
        <v>7.0866141732283464E-2</v>
      </c>
      <c r="F166" s="22">
        <f>IF(ISNUMBER(D166), $B172 * E166, "")</f>
        <v>7086.6141732283468</v>
      </c>
      <c r="G166" s="30">
        <v>136</v>
      </c>
      <c r="H166" s="21">
        <f t="shared" si="87"/>
        <v>7.0866141732283464E-2</v>
      </c>
      <c r="I166" s="105">
        <f>IF(ISNUMBER(G166), $B172 * H166, "")</f>
        <v>7086.6141732283468</v>
      </c>
      <c r="J166" s="20">
        <v>138</v>
      </c>
      <c r="K166" s="21">
        <f t="shared" si="88"/>
        <v>8.6614173228346455E-2</v>
      </c>
      <c r="L166" s="22">
        <f>IF(ISNUMBER(J166), $B172 * K166, "")</f>
        <v>8661.4173228346463</v>
      </c>
      <c r="M166" s="30">
        <v>138</v>
      </c>
      <c r="N166" s="21">
        <f t="shared" si="89"/>
        <v>8.6614173228346455E-2</v>
      </c>
      <c r="O166" s="22">
        <f>IF(ISNUMBER(M166), $B172 * N166, "")</f>
        <v>8661.4173228346463</v>
      </c>
      <c r="Q166" s="222"/>
      <c r="R166" s="222"/>
      <c r="S166" s="222"/>
    </row>
    <row r="167" spans="1:19" ht="17.25" thickBot="1">
      <c r="A167" s="125" t="s">
        <v>220</v>
      </c>
      <c r="B167" s="129">
        <v>227</v>
      </c>
      <c r="C167" s="80">
        <v>-8.0971659900000006E-2</v>
      </c>
      <c r="D167" s="106">
        <v>243</v>
      </c>
      <c r="E167" s="107">
        <f>IF(ISNUMBER(D167), (D167 - $B167) / $B167, "")</f>
        <v>7.0484581497797363E-2</v>
      </c>
      <c r="F167" s="108">
        <f>IF(ISNUMBER(D167), $B172 * E167, "")</f>
        <v>7048.4581497797362</v>
      </c>
      <c r="G167" s="109">
        <v>244</v>
      </c>
      <c r="H167" s="107">
        <f>IF(ISNUMBER(G167), (G167 - $B167) / $B167, "")</f>
        <v>7.4889867841409691E-2</v>
      </c>
      <c r="I167" s="110">
        <f>IF(ISNUMBER(G167), $B172 * H167, "")</f>
        <v>7488.9867841409687</v>
      </c>
      <c r="J167" s="106">
        <v>248</v>
      </c>
      <c r="K167" s="107">
        <f>IF(ISNUMBER(J167), (J167 - $B167) / $B167, "")</f>
        <v>9.2511013215859028E-2</v>
      </c>
      <c r="L167" s="108">
        <f>IF(ISNUMBER(J167), $B172 * K167, "")</f>
        <v>9251.101321585902</v>
      </c>
      <c r="M167" s="109">
        <v>251</v>
      </c>
      <c r="N167" s="107">
        <f>IF(ISNUMBER(M167), (M167 - $B167) / $B167, "")</f>
        <v>0.10572687224669604</v>
      </c>
      <c r="O167" s="108">
        <f>IF(ISNUMBER(M167), $B172 * N167, "")</f>
        <v>10572.687224669604</v>
      </c>
      <c r="Q167" s="227"/>
      <c r="R167" s="227"/>
      <c r="S167" s="227"/>
    </row>
    <row r="168" spans="1:19" ht="17.25" thickBot="1">
      <c r="A168" s="125" t="s">
        <v>200</v>
      </c>
      <c r="B168" s="126">
        <v>207</v>
      </c>
      <c r="C168" s="77">
        <v>-9.6069869000000002E-2</v>
      </c>
      <c r="D168" s="15">
        <v>217</v>
      </c>
      <c r="E168" s="32">
        <f t="shared" ref="E168:E171" si="90">IF(ISNUMBER(D168), (D168 - $B168) / $B168, "")</f>
        <v>4.8309178743961352E-2</v>
      </c>
      <c r="F168" s="18">
        <f>IF(ISNUMBER(D168), $B172 * E168, "")</f>
        <v>4830.9178743961356</v>
      </c>
      <c r="G168" s="31">
        <v>237</v>
      </c>
      <c r="H168" s="32">
        <f t="shared" ref="H168:H171" si="91">IF(ISNUMBER(G168), (G168 - $B168) / $B168, "")</f>
        <v>0.14492753623188406</v>
      </c>
      <c r="I168" s="101">
        <f>IF(ISNUMBER(G168), $B172 * H168, "")</f>
        <v>14492.753623188406</v>
      </c>
      <c r="J168" s="15">
        <v>246</v>
      </c>
      <c r="K168" s="32">
        <f t="shared" ref="K168:K171" si="92">IF(ISNUMBER(J168), (J168 - $B168) / $B168, "")</f>
        <v>0.18840579710144928</v>
      </c>
      <c r="L168" s="18">
        <f>IF(ISNUMBER(J168), $B172 * K168, "")</f>
        <v>18840.579710144928</v>
      </c>
      <c r="M168" s="31">
        <v>248</v>
      </c>
      <c r="N168" s="32">
        <f t="shared" ref="N168:N171" si="93">IF(ISNUMBER(M168), (M168 - $B168) / $B168, "")</f>
        <v>0.19806763285024154</v>
      </c>
      <c r="O168" s="18">
        <f>IF(ISNUMBER(M168), $B172 * N168, "")</f>
        <v>19806.763285024153</v>
      </c>
      <c r="Q168" s="227"/>
      <c r="R168" s="227"/>
      <c r="S168" s="227"/>
    </row>
    <row r="169" spans="1:19" ht="17.25" thickBot="1">
      <c r="A169" s="125" t="s">
        <v>192</v>
      </c>
      <c r="B169" s="126">
        <v>335</v>
      </c>
      <c r="C169" s="77">
        <v>-9.9462365600000005E-2</v>
      </c>
      <c r="D169" s="15">
        <v>353</v>
      </c>
      <c r="E169" s="32">
        <f t="shared" si="90"/>
        <v>5.3731343283582089E-2</v>
      </c>
      <c r="F169" s="18">
        <f>IF(ISNUMBER(D169), $B172 * E169, "")</f>
        <v>5373.1343283582091</v>
      </c>
      <c r="G169" s="31">
        <v>359</v>
      </c>
      <c r="H169" s="32">
        <f t="shared" si="91"/>
        <v>7.1641791044776124E-2</v>
      </c>
      <c r="I169" s="101">
        <f>IF(ISNUMBER(G169), $B172 * H169, "")</f>
        <v>7164.1791044776128</v>
      </c>
      <c r="J169" s="15">
        <v>368</v>
      </c>
      <c r="K169" s="32">
        <f t="shared" si="92"/>
        <v>9.8507462686567168E-2</v>
      </c>
      <c r="L169" s="18">
        <f>IF(ISNUMBER(J169), $B172 * K169, "")</f>
        <v>9850.746268656716</v>
      </c>
      <c r="M169" s="31">
        <v>366</v>
      </c>
      <c r="N169" s="32">
        <f t="shared" si="93"/>
        <v>9.2537313432835819E-2</v>
      </c>
      <c r="O169" s="18">
        <f>IF(ISNUMBER(M169), $B172 * N169, "")</f>
        <v>9253.7313432835817</v>
      </c>
      <c r="Q169" s="227"/>
      <c r="R169" s="227"/>
      <c r="S169" s="227"/>
    </row>
    <row r="170" spans="1:19">
      <c r="A170" s="125" t="s">
        <v>232</v>
      </c>
      <c r="B170" s="126">
        <v>950</v>
      </c>
      <c r="C170" s="77">
        <v>-0.13636363639999999</v>
      </c>
      <c r="D170" s="15">
        <v>956</v>
      </c>
      <c r="E170" s="32">
        <f t="shared" si="90"/>
        <v>6.3157894736842104E-3</v>
      </c>
      <c r="F170" s="18">
        <f>IF(ISNUMBER(D170), $B172 * E170, "")</f>
        <v>631.57894736842104</v>
      </c>
      <c r="G170" s="31">
        <v>975</v>
      </c>
      <c r="H170" s="32">
        <f t="shared" si="91"/>
        <v>2.6315789473684209E-2</v>
      </c>
      <c r="I170" s="101">
        <f>IF(ISNUMBER(G170), $B172 * H170, "")</f>
        <v>2631.5789473684208</v>
      </c>
      <c r="J170" s="15">
        <v>988</v>
      </c>
      <c r="K170" s="32">
        <f t="shared" si="92"/>
        <v>0.04</v>
      </c>
      <c r="L170" s="18">
        <f>IF(ISNUMBER(J170), $B172 * K170, "")</f>
        <v>4000</v>
      </c>
      <c r="M170" s="31">
        <v>988</v>
      </c>
      <c r="N170" s="32">
        <f t="shared" si="93"/>
        <v>0.04</v>
      </c>
      <c r="O170" s="18">
        <f>IF(ISNUMBER(M170), $B172 * N170, "")</f>
        <v>4000</v>
      </c>
      <c r="Q170" s="249"/>
      <c r="R170" s="250"/>
      <c r="S170" s="251"/>
    </row>
    <row r="171" spans="1:19" ht="17.25" thickBot="1">
      <c r="A171" s="130" t="s">
        <v>228</v>
      </c>
      <c r="B171" s="131">
        <v>995</v>
      </c>
      <c r="C171" s="79">
        <v>-0.1422413793</v>
      </c>
      <c r="D171" s="24">
        <v>1020</v>
      </c>
      <c r="E171" s="25">
        <f t="shared" si="90"/>
        <v>2.5125628140703519E-2</v>
      </c>
      <c r="F171" s="104">
        <f>IF(ISNUMBER(D171), $B172 * E171, "")</f>
        <v>2512.562814070352</v>
      </c>
      <c r="G171" s="102">
        <v>1050</v>
      </c>
      <c r="H171" s="25">
        <f t="shared" si="91"/>
        <v>5.5276381909547742E-2</v>
      </c>
      <c r="I171" s="103">
        <f>IF(ISNUMBER(G171), $B172 * H171, "")</f>
        <v>5527.6381909547745</v>
      </c>
      <c r="J171" s="24">
        <v>1065</v>
      </c>
      <c r="K171" s="25">
        <f t="shared" si="92"/>
        <v>7.0351758793969849E-2</v>
      </c>
      <c r="L171" s="104">
        <f>IF(ISNUMBER(J171), $B172 * K171, "")</f>
        <v>7035.1758793969848</v>
      </c>
      <c r="M171" s="102">
        <v>1055</v>
      </c>
      <c r="N171" s="25">
        <f t="shared" si="93"/>
        <v>6.030150753768844E-2</v>
      </c>
      <c r="O171" s="104">
        <f>IF(ISNUMBER(M171), $B172 * N171, "")</f>
        <v>6030.150753768844</v>
      </c>
      <c r="Q171" s="252"/>
      <c r="R171" s="253"/>
      <c r="S171" s="254"/>
    </row>
    <row r="172" spans="1:19" ht="17.25" thickBot="1">
      <c r="A172" s="132" t="s">
        <v>270</v>
      </c>
      <c r="B172" s="260">
        <f>$B$37</f>
        <v>100000</v>
      </c>
      <c r="C172" s="261"/>
      <c r="D172" s="26" t="s">
        <v>271</v>
      </c>
      <c r="E172" s="27">
        <f>IF(COUNT(E152:E171), SUM(E152:E171) / COUNT(E152:E171), 0)</f>
        <v>5.3352516167579134E-2</v>
      </c>
      <c r="F172" s="28">
        <f>SUM(F152:F171)</f>
        <v>106705.03233515829</v>
      </c>
      <c r="G172" s="26" t="s">
        <v>271</v>
      </c>
      <c r="H172" s="27">
        <f>IF(COUNT(H152:H171), SUM(H152:H171) / COUNT(H152:H171), 0)</f>
        <v>6.6337318855791874E-2</v>
      </c>
      <c r="I172" s="28">
        <f>SUM(I152:I171)</f>
        <v>132674.63771158372</v>
      </c>
      <c r="J172" s="26" t="s">
        <v>271</v>
      </c>
      <c r="K172" s="27">
        <f>IF(COUNT(K152:K171), SUM(K152:K171) / COUNT(K152:K171), 0)</f>
        <v>8.9722441348728477E-2</v>
      </c>
      <c r="L172" s="28">
        <f>SUM(L152:L171)</f>
        <v>179444.88269745695</v>
      </c>
      <c r="M172" s="26" t="s">
        <v>271</v>
      </c>
      <c r="N172" s="27">
        <f>IF(COUNT(N152:N171), SUM(N152:N171) / COUNT(N152:N171), 0)</f>
        <v>9.065399291560769E-2</v>
      </c>
      <c r="O172" s="28">
        <f>SUM(O152:O171)</f>
        <v>181307.98583121534</v>
      </c>
      <c r="Q172" s="255"/>
      <c r="R172" s="256"/>
      <c r="S172" s="257"/>
    </row>
    <row r="174" spans="1:19" ht="17.25" thickBot="1"/>
    <row r="175" spans="1:19" ht="17.25" thickBot="1">
      <c r="A175" s="201" t="s">
        <v>255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89" t="s">
        <v>267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55149000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2.1442459999999998E-3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2021-09-09(목) 오전 00:00</v>
      </c>
      <c r="C177" s="265"/>
      <c r="D177" s="224" t="str">
        <f>TEXT($G$1, "[$-ko-KR]yyyy-mm-dd(ddd) ") &amp; "오후 14:00"</f>
        <v>2021-09-09(목) 오후 14:00</v>
      </c>
      <c r="E177" s="225"/>
      <c r="F177" s="226"/>
      <c r="G177" s="224" t="str">
        <f>TEXT($G$1, "[$-ko-KR]yyyy-mm-dd(ddd) ") &amp; "오후 19:00"</f>
        <v>2021-09-09(목) 오후 19:00</v>
      </c>
      <c r="H177" s="225"/>
      <c r="I177" s="226"/>
      <c r="J177" s="224" t="str">
        <f>TEXT($G$1, "[$-ko-KR]yyyy-mm-dd(ddd) ") &amp; "오후 21:00"</f>
        <v>2021-09-09(목) 오후 21:00</v>
      </c>
      <c r="K177" s="225"/>
      <c r="L177" s="226"/>
      <c r="M177" s="224" t="str">
        <f>TEXT($G$1+1, "[$-ko-KR]yyyy-mm-dd(ddd) ") &amp; "오전 00:00"</f>
        <v>2021-09-10(금)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7"/>
      <c r="R178" s="227"/>
      <c r="S178" s="227"/>
    </row>
    <row r="179" spans="1:19" ht="17.25" thickBot="1">
      <c r="A179" s="123" t="s">
        <v>112</v>
      </c>
      <c r="B179" s="124">
        <v>7900</v>
      </c>
      <c r="C179" s="76">
        <v>-7.0588235299999996E-2</v>
      </c>
      <c r="D179" s="13">
        <v>8265</v>
      </c>
      <c r="E179" s="14">
        <f>IF(ISNUMBER(D179), (D179 - $B179) / $B179, "")</f>
        <v>4.6202531645569624E-2</v>
      </c>
      <c r="F179" s="16">
        <f>IF(ISNUMBER(D179), $B199 * E179, "")</f>
        <v>4620.2531645569625</v>
      </c>
      <c r="G179" s="29">
        <v>8215</v>
      </c>
      <c r="H179" s="14">
        <f>IF(ISNUMBER(G179), (G179 - $B179) / $B179, "")</f>
        <v>3.9873417721518985E-2</v>
      </c>
      <c r="I179" s="100">
        <f>IF(ISNUMBER(G179), $B199 * H179, "")</f>
        <v>3987.3417721518986</v>
      </c>
      <c r="J179" s="13">
        <v>8415</v>
      </c>
      <c r="K179" s="14">
        <f>IF(ISNUMBER(J179), (J179 - $B179) / $B179, "")</f>
        <v>6.5189873417721519E-2</v>
      </c>
      <c r="L179" s="16">
        <f>IF(ISNUMBER(J179), $B199 * K179, "")</f>
        <v>6518.9873417721519</v>
      </c>
      <c r="M179" s="29">
        <v>8265</v>
      </c>
      <c r="N179" s="14">
        <f>IF(ISNUMBER(M179), (M179 - $B179) / $B179, "")</f>
        <v>4.6202531645569624E-2</v>
      </c>
      <c r="O179" s="16">
        <f>IF(ISNUMBER(M179), $B199 * N179, "")</f>
        <v>4620.2531645569625</v>
      </c>
      <c r="Q179" s="222"/>
      <c r="R179" s="222"/>
      <c r="S179" s="222"/>
    </row>
    <row r="180" spans="1:19" ht="17.25" thickBot="1">
      <c r="A180" s="125" t="s">
        <v>170</v>
      </c>
      <c r="B180" s="126">
        <v>29080</v>
      </c>
      <c r="C180" s="77">
        <v>-7.0926517600000002E-2</v>
      </c>
      <c r="D180" s="15">
        <v>30780</v>
      </c>
      <c r="E180" s="32">
        <f t="shared" ref="E180:E183" si="94">IF(ISNUMBER(D180), (D180 - $B180) / $B180, "")</f>
        <v>5.8459422283356259E-2</v>
      </c>
      <c r="F180" s="18">
        <f>IF(ISNUMBER(D180), $B199 * E180, "")</f>
        <v>5845.9422283356262</v>
      </c>
      <c r="G180" s="31">
        <v>31450</v>
      </c>
      <c r="H180" s="32">
        <f t="shared" ref="H180:H183" si="95">IF(ISNUMBER(G180), (G180 - $B180) / $B180, "")</f>
        <v>8.1499312242090782E-2</v>
      </c>
      <c r="I180" s="101">
        <f>IF(ISNUMBER(G180), $B199 * H180, "")</f>
        <v>8149.9312242090782</v>
      </c>
      <c r="J180" s="15">
        <v>31850</v>
      </c>
      <c r="K180" s="32">
        <f t="shared" ref="K180:K183" si="96">IF(ISNUMBER(J180), (J180 - $B180) / $B180, "")</f>
        <v>9.5254470426409901E-2</v>
      </c>
      <c r="L180" s="18">
        <f>IF(ISNUMBER(J180), $B199 * K180, "")</f>
        <v>9525.4470426409898</v>
      </c>
      <c r="M180" s="31">
        <v>32410</v>
      </c>
      <c r="N180" s="32">
        <f t="shared" ref="N180:N183" si="97">IF(ISNUMBER(M180), (M180 - $B180) / $B180, "")</f>
        <v>0.11451169188445667</v>
      </c>
      <c r="O180" s="18">
        <f>IF(ISNUMBER(M180), $B199 * N180, "")</f>
        <v>11451.169188445667</v>
      </c>
      <c r="Q180" s="222"/>
      <c r="R180" s="222"/>
      <c r="S180" s="222"/>
    </row>
    <row r="181" spans="1:19" ht="17.25" thickBot="1">
      <c r="A181" s="125" t="s">
        <v>130</v>
      </c>
      <c r="B181" s="126">
        <v>142</v>
      </c>
      <c r="C181" s="77">
        <v>-7.1895424799999996E-2</v>
      </c>
      <c r="D181" s="15">
        <v>148</v>
      </c>
      <c r="E181" s="32">
        <f t="shared" si="94"/>
        <v>4.2253521126760563E-2</v>
      </c>
      <c r="F181" s="18">
        <f>IF(ISNUMBER(D181), $B199 * E181, "")</f>
        <v>4225.3521126760561</v>
      </c>
      <c r="G181" s="31">
        <v>161</v>
      </c>
      <c r="H181" s="32">
        <f t="shared" si="95"/>
        <v>0.13380281690140844</v>
      </c>
      <c r="I181" s="101">
        <f>IF(ISNUMBER(G181), $B199 * H181, "")</f>
        <v>13380.281690140844</v>
      </c>
      <c r="J181" s="15">
        <v>169</v>
      </c>
      <c r="K181" s="32">
        <f t="shared" si="96"/>
        <v>0.19014084507042253</v>
      </c>
      <c r="L181" s="18">
        <f>IF(ISNUMBER(J181), $B199 * K181, "")</f>
        <v>19014.084507042255</v>
      </c>
      <c r="M181" s="31">
        <v>176</v>
      </c>
      <c r="N181" s="32">
        <f t="shared" si="97"/>
        <v>0.23943661971830985</v>
      </c>
      <c r="O181" s="18">
        <f>IF(ISNUMBER(M181), $B199 * N181, "")</f>
        <v>23943.661971830985</v>
      </c>
      <c r="Q181" s="227"/>
      <c r="R181" s="227"/>
      <c r="S181" s="227"/>
    </row>
    <row r="182" spans="1:19" ht="17.25" thickBot="1">
      <c r="A182" s="125" t="s">
        <v>188</v>
      </c>
      <c r="B182" s="126">
        <v>13.7</v>
      </c>
      <c r="C182" s="77">
        <v>-7.4324324299999994E-2</v>
      </c>
      <c r="D182" s="15">
        <v>14.8</v>
      </c>
      <c r="E182" s="32">
        <f t="shared" si="94"/>
        <v>8.0291970802919818E-2</v>
      </c>
      <c r="F182" s="18">
        <f>IF(ISNUMBER(D182), $B199 * E182, "")</f>
        <v>8029.1970802919814</v>
      </c>
      <c r="G182" s="31">
        <v>14.8</v>
      </c>
      <c r="H182" s="32">
        <f t="shared" si="95"/>
        <v>8.0291970802919818E-2</v>
      </c>
      <c r="I182" s="101">
        <f>IF(ISNUMBER(G182), $B199 * H182, "")</f>
        <v>8029.1970802919814</v>
      </c>
      <c r="J182" s="15">
        <v>15</v>
      </c>
      <c r="K182" s="32">
        <f t="shared" si="96"/>
        <v>9.489051094890516E-2</v>
      </c>
      <c r="L182" s="18">
        <f>IF(ISNUMBER(J182), $B199 * K182, "")</f>
        <v>9489.0510948905157</v>
      </c>
      <c r="M182" s="31">
        <v>15.5</v>
      </c>
      <c r="N182" s="32">
        <f t="shared" si="97"/>
        <v>0.13138686131386867</v>
      </c>
      <c r="O182" s="18">
        <f>IF(ISNUMBER(M182), $B199 * N182, "")</f>
        <v>13138.686131386867</v>
      </c>
      <c r="Q182" s="227"/>
      <c r="R182" s="227"/>
      <c r="S182" s="227"/>
    </row>
    <row r="183" spans="1:19" ht="17.25" thickBot="1">
      <c r="A183" s="127" t="s">
        <v>160</v>
      </c>
      <c r="B183" s="128">
        <v>1605</v>
      </c>
      <c r="C183" s="78">
        <v>-7.4927953899999997E-2</v>
      </c>
      <c r="D183" s="20">
        <v>1775</v>
      </c>
      <c r="E183" s="21">
        <f t="shared" si="94"/>
        <v>0.1059190031152648</v>
      </c>
      <c r="F183" s="22">
        <f>IF(ISNUMBER(D183), $B199 * E183, "")</f>
        <v>10591.90031152648</v>
      </c>
      <c r="G183" s="30">
        <v>1795</v>
      </c>
      <c r="H183" s="21">
        <f t="shared" si="95"/>
        <v>0.11838006230529595</v>
      </c>
      <c r="I183" s="105">
        <f>IF(ISNUMBER(G183), $B199 * H183, "")</f>
        <v>11838.006230529594</v>
      </c>
      <c r="J183" s="20">
        <v>1820</v>
      </c>
      <c r="K183" s="21">
        <f t="shared" si="96"/>
        <v>0.13395638629283488</v>
      </c>
      <c r="L183" s="22">
        <f>IF(ISNUMBER(J183), $B199 * K183, "")</f>
        <v>13395.638629283489</v>
      </c>
      <c r="M183" s="30">
        <v>1825</v>
      </c>
      <c r="N183" s="21">
        <f t="shared" si="97"/>
        <v>0.13707165109034267</v>
      </c>
      <c r="O183" s="22">
        <f>IF(ISNUMBER(M183), $B199 * N183, "")</f>
        <v>13707.165109034268</v>
      </c>
      <c r="Q183" s="227"/>
      <c r="R183" s="227"/>
      <c r="S183" s="227"/>
    </row>
    <row r="184" spans="1:19" ht="17.25" thickBot="1">
      <c r="A184" s="125" t="s">
        <v>206</v>
      </c>
      <c r="B184" s="129">
        <v>850</v>
      </c>
      <c r="C184" s="80">
        <v>-7.7090119400000004E-2</v>
      </c>
      <c r="D184" s="106">
        <v>904</v>
      </c>
      <c r="E184" s="107">
        <f>IF(ISNUMBER(D184), (D184 - $B184) / $B184, "")</f>
        <v>6.3529411764705876E-2</v>
      </c>
      <c r="F184" s="108">
        <f>IF(ISNUMBER(D184), $B199 * E184, "")</f>
        <v>6352.9411764705874</v>
      </c>
      <c r="G184" s="109">
        <v>872</v>
      </c>
      <c r="H184" s="107">
        <f>IF(ISNUMBER(G184), (G184 - $B184) / $B184, "")</f>
        <v>2.5882352941176471E-2</v>
      </c>
      <c r="I184" s="110">
        <f>IF(ISNUMBER(G184), $B199 * H184, "")</f>
        <v>2588.2352941176473</v>
      </c>
      <c r="J184" s="106">
        <v>893</v>
      </c>
      <c r="K184" s="107">
        <f>IF(ISNUMBER(J184), (J184 - $B184) / $B184, "")</f>
        <v>5.0588235294117649E-2</v>
      </c>
      <c r="L184" s="108">
        <f>IF(ISNUMBER(J184), $B199 * K184, "")</f>
        <v>5058.8235294117649</v>
      </c>
      <c r="M184" s="109">
        <v>890</v>
      </c>
      <c r="N184" s="107">
        <f>IF(ISNUMBER(M184), (M184 - $B184) / $B184, "")</f>
        <v>4.7058823529411764E-2</v>
      </c>
      <c r="O184" s="108">
        <f>IF(ISNUMBER(M184), $B199 * N184, "")</f>
        <v>4705.8823529411766</v>
      </c>
      <c r="Q184" s="227"/>
      <c r="R184" s="227"/>
      <c r="S184" s="227"/>
    </row>
    <row r="185" spans="1:19" ht="17.25" thickBot="1">
      <c r="A185" s="125" t="s">
        <v>238</v>
      </c>
      <c r="B185" s="126">
        <v>119</v>
      </c>
      <c r="C185" s="77">
        <v>-7.7519379799999996E-2</v>
      </c>
      <c r="D185" s="15">
        <v>127</v>
      </c>
      <c r="E185" s="32">
        <f t="shared" ref="E185:E188" si="98">IF(ISNUMBER(D185), (D185 - $B185) / $B185, "")</f>
        <v>6.7226890756302518E-2</v>
      </c>
      <c r="F185" s="18">
        <f>IF(ISNUMBER(D185), $B199 * E185, "")</f>
        <v>6722.6890756302519</v>
      </c>
      <c r="G185" s="31">
        <v>128</v>
      </c>
      <c r="H185" s="32">
        <f t="shared" ref="H185:H188" si="99">IF(ISNUMBER(G185), (G185 - $B185) / $B185, "")</f>
        <v>7.5630252100840331E-2</v>
      </c>
      <c r="I185" s="101">
        <f>IF(ISNUMBER(G185), $B199 * H185, "")</f>
        <v>7563.0252100840335</v>
      </c>
      <c r="J185" s="15">
        <v>130</v>
      </c>
      <c r="K185" s="32">
        <f t="shared" ref="K185:K188" si="100">IF(ISNUMBER(J185), (J185 - $B185) / $B185, "")</f>
        <v>9.2436974789915971E-2</v>
      </c>
      <c r="L185" s="18">
        <f>IF(ISNUMBER(J185), $B199 * K185, "")</f>
        <v>9243.6974789915967</v>
      </c>
      <c r="M185" s="31">
        <v>131</v>
      </c>
      <c r="N185" s="32">
        <f t="shared" ref="N185:N188" si="101">IF(ISNUMBER(M185), (M185 - $B185) / $B185, "")</f>
        <v>0.10084033613445378</v>
      </c>
      <c r="O185" s="18">
        <f>IF(ISNUMBER(M185), $B199 * N185, "")</f>
        <v>10084.033613445379</v>
      </c>
      <c r="Q185" s="227"/>
      <c r="R185" s="227"/>
      <c r="S185" s="227"/>
    </row>
    <row r="186" spans="1:19" ht="17.25" thickBot="1">
      <c r="A186" s="125" t="s">
        <v>198</v>
      </c>
      <c r="B186" s="126">
        <v>23900</v>
      </c>
      <c r="C186" s="77">
        <v>-7.7576225400000004E-2</v>
      </c>
      <c r="D186" s="15">
        <v>25100</v>
      </c>
      <c r="E186" s="32">
        <f t="shared" si="98"/>
        <v>5.0209205020920501E-2</v>
      </c>
      <c r="F186" s="18">
        <f>IF(ISNUMBER(D186), $B199 * E186, "")</f>
        <v>5020.9205020920499</v>
      </c>
      <c r="G186" s="31">
        <v>25080</v>
      </c>
      <c r="H186" s="32">
        <f t="shared" si="99"/>
        <v>4.9372384937238493E-2</v>
      </c>
      <c r="I186" s="101">
        <f>IF(ISNUMBER(G186), $B199 * H186, "")</f>
        <v>4937.2384937238494</v>
      </c>
      <c r="J186" s="15">
        <v>25860</v>
      </c>
      <c r="K186" s="32">
        <f t="shared" si="100"/>
        <v>8.2008368200836818E-2</v>
      </c>
      <c r="L186" s="18">
        <f>IF(ISNUMBER(J186), $B199 * K186, "")</f>
        <v>8200.8368200836812</v>
      </c>
      <c r="M186" s="31">
        <v>25670</v>
      </c>
      <c r="N186" s="32">
        <f t="shared" si="101"/>
        <v>7.4058577405857737E-2</v>
      </c>
      <c r="O186" s="18">
        <f>IF(ISNUMBER(M186), $B199 * N186, "")</f>
        <v>7405.8577405857741</v>
      </c>
      <c r="Q186" s="227"/>
      <c r="R186" s="227"/>
      <c r="S186" s="227"/>
    </row>
    <row r="187" spans="1:19" ht="17.25" thickBot="1">
      <c r="A187" s="125" t="s">
        <v>224</v>
      </c>
      <c r="B187" s="126">
        <v>4560</v>
      </c>
      <c r="C187" s="77">
        <v>-7.8787878800000002E-2</v>
      </c>
      <c r="D187" s="15">
        <v>4810</v>
      </c>
      <c r="E187" s="32">
        <f t="shared" si="98"/>
        <v>5.4824561403508769E-2</v>
      </c>
      <c r="F187" s="18">
        <f>IF(ISNUMBER(D187), $B199 * E187, "")</f>
        <v>5482.4561403508769</v>
      </c>
      <c r="G187" s="31">
        <v>4880</v>
      </c>
      <c r="H187" s="32">
        <f t="shared" si="99"/>
        <v>7.0175438596491224E-2</v>
      </c>
      <c r="I187" s="101">
        <f>IF(ISNUMBER(G187), $B199 * H187, "")</f>
        <v>7017.5438596491222</v>
      </c>
      <c r="J187" s="15">
        <v>5035</v>
      </c>
      <c r="K187" s="32">
        <f t="shared" si="100"/>
        <v>0.10416666666666667</v>
      </c>
      <c r="L187" s="18">
        <f>IF(ISNUMBER(J187), $B199 * K187, "")</f>
        <v>10416.666666666668</v>
      </c>
      <c r="M187" s="31">
        <v>5005</v>
      </c>
      <c r="N187" s="32">
        <f t="shared" si="101"/>
        <v>9.7587719298245612E-2</v>
      </c>
      <c r="O187" s="18">
        <f>IF(ISNUMBER(M187), $B199 * N187, "")</f>
        <v>9758.7719298245611</v>
      </c>
      <c r="Q187" s="33"/>
      <c r="R187" s="33"/>
    </row>
    <row r="188" spans="1:19" ht="17.25" thickBot="1">
      <c r="A188" s="130" t="s">
        <v>174</v>
      </c>
      <c r="B188" s="131">
        <v>406</v>
      </c>
      <c r="C188" s="79">
        <v>-7.9365079399999997E-2</v>
      </c>
      <c r="D188" s="24">
        <v>431</v>
      </c>
      <c r="E188" s="25">
        <f t="shared" si="98"/>
        <v>6.1576354679802957E-2</v>
      </c>
      <c r="F188" s="104">
        <f>IF(ISNUMBER(D188), $B199 * E188, "")</f>
        <v>6157.6354679802953</v>
      </c>
      <c r="G188" s="102">
        <v>442</v>
      </c>
      <c r="H188" s="25">
        <f t="shared" si="99"/>
        <v>8.8669950738916259E-2</v>
      </c>
      <c r="I188" s="103">
        <f>IF(ISNUMBER(G188), $B199 * H188, "")</f>
        <v>8866.995073891625</v>
      </c>
      <c r="J188" s="24">
        <v>460</v>
      </c>
      <c r="K188" s="25">
        <f t="shared" si="100"/>
        <v>0.13300492610837439</v>
      </c>
      <c r="L188" s="104">
        <f>IF(ISNUMBER(J188), $B199 * K188, "")</f>
        <v>13300.492610837438</v>
      </c>
      <c r="M188" s="102">
        <v>454</v>
      </c>
      <c r="N188" s="25">
        <f t="shared" si="101"/>
        <v>0.11822660098522167</v>
      </c>
      <c r="O188" s="104">
        <f>IF(ISNUMBER(M188), $B199 * N188, "")</f>
        <v>11822.660098522167</v>
      </c>
      <c r="Q188" s="236"/>
      <c r="R188" s="237"/>
      <c r="S188" s="238"/>
    </row>
    <row r="189" spans="1:19">
      <c r="A189" s="123" t="s">
        <v>194</v>
      </c>
      <c r="B189" s="124">
        <v>127</v>
      </c>
      <c r="C189" s="76">
        <v>-7.9710144900000002E-2</v>
      </c>
      <c r="D189" s="13">
        <v>136</v>
      </c>
      <c r="E189" s="14">
        <f>IF(ISNUMBER(D189), (D189 - $B189) / $B189, "")</f>
        <v>7.0866141732283464E-2</v>
      </c>
      <c r="F189" s="16">
        <f>IF(ISNUMBER(D189), $B199 * E189, "")</f>
        <v>7086.6141732283468</v>
      </c>
      <c r="G189" s="29">
        <v>136</v>
      </c>
      <c r="H189" s="14">
        <f>IF(ISNUMBER(G189), (G189 - $B189) / $B189, "")</f>
        <v>7.0866141732283464E-2</v>
      </c>
      <c r="I189" s="100">
        <f>IF(ISNUMBER(G189), $B199 * H189, "")</f>
        <v>7086.6141732283468</v>
      </c>
      <c r="J189" s="13">
        <v>138</v>
      </c>
      <c r="K189" s="14">
        <f>IF(ISNUMBER(J189), (J189 - $B189) / $B189, "")</f>
        <v>8.6614173228346455E-2</v>
      </c>
      <c r="L189" s="16">
        <f>IF(ISNUMBER(J189), $B199 * K189, "")</f>
        <v>8661.4173228346463</v>
      </c>
      <c r="M189" s="29">
        <v>138</v>
      </c>
      <c r="N189" s="14">
        <f>IF(ISNUMBER(M189), (M189 - $B189) / $B189, "")</f>
        <v>8.6614173228346455E-2</v>
      </c>
      <c r="O189" s="16">
        <f>IF(ISNUMBER(M189), $B199 * N189, "")</f>
        <v>8661.4173228346463</v>
      </c>
      <c r="Q189" s="239"/>
      <c r="R189" s="240"/>
      <c r="S189" s="241"/>
    </row>
    <row r="190" spans="1:19" ht="17.25" thickBot="1">
      <c r="A190" s="125" t="s">
        <v>220</v>
      </c>
      <c r="B190" s="126">
        <v>227</v>
      </c>
      <c r="C190" s="77">
        <v>-8.0971659900000006E-2</v>
      </c>
      <c r="D190" s="15">
        <v>243</v>
      </c>
      <c r="E190" s="32">
        <f t="shared" ref="E190:E193" si="102">IF(ISNUMBER(D190), (D190 - $B190) / $B190, "")</f>
        <v>7.0484581497797363E-2</v>
      </c>
      <c r="F190" s="18">
        <f>IF(ISNUMBER(D190), $B199 * E190, "")</f>
        <v>7048.4581497797362</v>
      </c>
      <c r="G190" s="31">
        <v>244</v>
      </c>
      <c r="H190" s="32">
        <f t="shared" ref="H190:H193" si="103">IF(ISNUMBER(G190), (G190 - $B190) / $B190, "")</f>
        <v>7.4889867841409691E-2</v>
      </c>
      <c r="I190" s="101">
        <f>IF(ISNUMBER(G190), $B199 * H190, "")</f>
        <v>7488.9867841409687</v>
      </c>
      <c r="J190" s="15">
        <v>248</v>
      </c>
      <c r="K190" s="32">
        <f t="shared" ref="K190:K193" si="104">IF(ISNUMBER(J190), (J190 - $B190) / $B190, "")</f>
        <v>9.2511013215859028E-2</v>
      </c>
      <c r="L190" s="18">
        <f>IF(ISNUMBER(J190), $B199 * K190, "")</f>
        <v>9251.101321585902</v>
      </c>
      <c r="M190" s="31">
        <v>251</v>
      </c>
      <c r="N190" s="32">
        <f t="shared" ref="N190:N193" si="105">IF(ISNUMBER(M190), (M190 - $B190) / $B190, "")</f>
        <v>0.10572687224669604</v>
      </c>
      <c r="O190" s="18">
        <f>IF(ISNUMBER(M190), $B199 * N190, "")</f>
        <v>10572.687224669604</v>
      </c>
      <c r="Q190" s="242"/>
      <c r="R190" s="243"/>
      <c r="S190" s="244"/>
    </row>
    <row r="191" spans="1:19" ht="17.25" thickBot="1">
      <c r="A191" s="125" t="s">
        <v>234</v>
      </c>
      <c r="B191" s="126">
        <v>84.6</v>
      </c>
      <c r="C191" s="77">
        <v>-8.3423618599999999E-2</v>
      </c>
      <c r="D191" s="15">
        <v>89.6</v>
      </c>
      <c r="E191" s="32">
        <f t="shared" si="102"/>
        <v>5.9101654846335699E-2</v>
      </c>
      <c r="F191" s="18">
        <f>IF(ISNUMBER(D191), $B199 * E191, "")</f>
        <v>5910.1654846335696</v>
      </c>
      <c r="G191" s="31">
        <v>90.3</v>
      </c>
      <c r="H191" s="32">
        <f t="shared" si="103"/>
        <v>6.7375886524822737E-2</v>
      </c>
      <c r="I191" s="101">
        <f>IF(ISNUMBER(G191), $B199 * H191, "")</f>
        <v>6737.5886524822736</v>
      </c>
      <c r="J191" s="15">
        <v>92</v>
      </c>
      <c r="K191" s="32">
        <f t="shared" si="104"/>
        <v>8.7470449172576903E-2</v>
      </c>
      <c r="L191" s="18">
        <f>IF(ISNUMBER(J191), $B199 * K191, "")</f>
        <v>8747.04491725769</v>
      </c>
      <c r="M191" s="31">
        <v>91.7</v>
      </c>
      <c r="N191" s="32">
        <f t="shared" si="105"/>
        <v>8.3924349881796798E-2</v>
      </c>
      <c r="O191" s="18">
        <f>IF(ISNUMBER(M191), $B199 * N191, "")</f>
        <v>8392.4349881796807</v>
      </c>
      <c r="Q191" s="227"/>
      <c r="R191" s="227"/>
      <c r="S191" s="227"/>
    </row>
    <row r="192" spans="1:19" ht="17.25" thickBot="1">
      <c r="A192" s="125" t="s">
        <v>69</v>
      </c>
      <c r="B192" s="126">
        <v>9180</v>
      </c>
      <c r="C192" s="77">
        <v>-8.5657370499999996E-2</v>
      </c>
      <c r="D192" s="15">
        <v>11630</v>
      </c>
      <c r="E192" s="32">
        <f t="shared" si="102"/>
        <v>0.26688453159041392</v>
      </c>
      <c r="F192" s="18">
        <f>IF(ISNUMBER(D192), $B199 * E192, "")</f>
        <v>26688.453159041394</v>
      </c>
      <c r="G192" s="31">
        <v>13500</v>
      </c>
      <c r="H192" s="32">
        <f t="shared" si="103"/>
        <v>0.47058823529411764</v>
      </c>
      <c r="I192" s="101">
        <f>IF(ISNUMBER(G192), $B199 * H192, "")</f>
        <v>47058.823529411762</v>
      </c>
      <c r="J192" s="15">
        <v>13680</v>
      </c>
      <c r="K192" s="32">
        <f t="shared" si="104"/>
        <v>0.49019607843137253</v>
      </c>
      <c r="L192" s="18">
        <f>IF(ISNUMBER(J192), $B199 * K192, "")</f>
        <v>49019.607843137252</v>
      </c>
      <c r="M192" s="31">
        <v>13490</v>
      </c>
      <c r="N192" s="32">
        <f t="shared" si="105"/>
        <v>0.46949891067538124</v>
      </c>
      <c r="O192" s="18">
        <f>IF(ISNUMBER(M192), $B199 * N192, "")</f>
        <v>46949.891067538127</v>
      </c>
      <c r="Q192" s="222"/>
      <c r="R192" s="222"/>
      <c r="S192" s="222"/>
    </row>
    <row r="193" spans="1:19" ht="17.25" thickBot="1">
      <c r="A193" s="127" t="s">
        <v>252</v>
      </c>
      <c r="B193" s="128">
        <v>1095</v>
      </c>
      <c r="C193" s="78">
        <v>-8.7499999999999994E-2</v>
      </c>
      <c r="D193" s="20">
        <v>1170</v>
      </c>
      <c r="E193" s="21">
        <f t="shared" si="102"/>
        <v>6.8493150684931503E-2</v>
      </c>
      <c r="F193" s="22">
        <f>IF(ISNUMBER(D193), $B199 * E193, "")</f>
        <v>6849.3150684931506</v>
      </c>
      <c r="G193" s="30">
        <v>1190</v>
      </c>
      <c r="H193" s="21">
        <f t="shared" si="103"/>
        <v>8.6757990867579904E-2</v>
      </c>
      <c r="I193" s="105">
        <f>IF(ISNUMBER(G193), $B199 * H193, "")</f>
        <v>8675.7990867579902</v>
      </c>
      <c r="J193" s="20">
        <v>1215</v>
      </c>
      <c r="K193" s="21">
        <f t="shared" si="104"/>
        <v>0.1095890410958904</v>
      </c>
      <c r="L193" s="22">
        <f>IF(ISNUMBER(J193), $B199 * K193, "")</f>
        <v>10958.904109589041</v>
      </c>
      <c r="M193" s="30">
        <v>1215</v>
      </c>
      <c r="N193" s="21">
        <f t="shared" si="105"/>
        <v>0.1095890410958904</v>
      </c>
      <c r="O193" s="22">
        <f>IF(ISNUMBER(M193), $B199 * N193, "")</f>
        <v>10958.904109589041</v>
      </c>
      <c r="Q193" s="222"/>
      <c r="R193" s="222"/>
      <c r="S193" s="222"/>
    </row>
    <row r="194" spans="1:19" ht="17.25" thickBot="1">
      <c r="A194" s="125" t="s">
        <v>210</v>
      </c>
      <c r="B194" s="129">
        <v>15</v>
      </c>
      <c r="C194" s="80">
        <v>-9.0909090900000003E-2</v>
      </c>
      <c r="D194" s="106">
        <v>15.8</v>
      </c>
      <c r="E194" s="107">
        <f>IF(ISNUMBER(D194), (D194 - $B194) / $B194, "")</f>
        <v>5.3333333333333378E-2</v>
      </c>
      <c r="F194" s="108">
        <f>IF(ISNUMBER(D194), $B199 * E194, "")</f>
        <v>5333.3333333333376</v>
      </c>
      <c r="G194" s="109">
        <v>15.9</v>
      </c>
      <c r="H194" s="107">
        <f>IF(ISNUMBER(G194), (G194 - $B194) / $B194, "")</f>
        <v>6.0000000000000026E-2</v>
      </c>
      <c r="I194" s="110">
        <f>IF(ISNUMBER(G194), $B199 * H194, "")</f>
        <v>6000.0000000000027</v>
      </c>
      <c r="J194" s="106">
        <v>16.100000000000001</v>
      </c>
      <c r="K194" s="107">
        <f>IF(ISNUMBER(J194), (J194 - $B194) / $B194, "")</f>
        <v>7.3333333333333431E-2</v>
      </c>
      <c r="L194" s="108">
        <f>IF(ISNUMBER(J194), $B199 * K194, "")</f>
        <v>7333.333333333343</v>
      </c>
      <c r="M194" s="109">
        <v>16.2</v>
      </c>
      <c r="N194" s="107">
        <f>IF(ISNUMBER(M194), (M194 - $B194) / $B194, "")</f>
        <v>7.9999999999999946E-2</v>
      </c>
      <c r="O194" s="108">
        <f>IF(ISNUMBER(M194), $B199 * N194, "")</f>
        <v>7999.9999999999945</v>
      </c>
      <c r="Q194" s="227"/>
      <c r="R194" s="227"/>
      <c r="S194" s="227"/>
    </row>
    <row r="195" spans="1:19" ht="17.25" thickBot="1">
      <c r="A195" s="125" t="s">
        <v>200</v>
      </c>
      <c r="B195" s="126">
        <v>207</v>
      </c>
      <c r="C195" s="77">
        <v>-9.6069869000000002E-2</v>
      </c>
      <c r="D195" s="15">
        <v>217</v>
      </c>
      <c r="E195" s="32">
        <f t="shared" ref="E195:E198" si="106">IF(ISNUMBER(D195), (D195 - $B195) / $B195, "")</f>
        <v>4.8309178743961352E-2</v>
      </c>
      <c r="F195" s="18">
        <f>IF(ISNUMBER(D195), $B199 * E195, "")</f>
        <v>4830.9178743961356</v>
      </c>
      <c r="G195" s="31">
        <v>237</v>
      </c>
      <c r="H195" s="32">
        <f t="shared" ref="H195:H198" si="107">IF(ISNUMBER(G195), (G195 - $B195) / $B195, "")</f>
        <v>0.14492753623188406</v>
      </c>
      <c r="I195" s="101">
        <f>IF(ISNUMBER(G195), $B199 * H195, "")</f>
        <v>14492.753623188406</v>
      </c>
      <c r="J195" s="15">
        <v>246</v>
      </c>
      <c r="K195" s="32">
        <f t="shared" ref="K195:K198" si="108">IF(ISNUMBER(J195), (J195 - $B195) / $B195, "")</f>
        <v>0.18840579710144928</v>
      </c>
      <c r="L195" s="18">
        <f>IF(ISNUMBER(J195), $B199 * K195, "")</f>
        <v>18840.579710144928</v>
      </c>
      <c r="M195" s="31">
        <v>248</v>
      </c>
      <c r="N195" s="32">
        <f t="shared" ref="N195:N198" si="109">IF(ISNUMBER(M195), (M195 - $B195) / $B195, "")</f>
        <v>0.19806763285024154</v>
      </c>
      <c r="O195" s="18">
        <f>IF(ISNUMBER(M195), $B199 * N195, "")</f>
        <v>19806.763285024153</v>
      </c>
      <c r="Q195" s="227"/>
      <c r="R195" s="227"/>
      <c r="S195" s="227"/>
    </row>
    <row r="196" spans="1:19" ht="17.25" thickBot="1">
      <c r="A196" s="125" t="s">
        <v>192</v>
      </c>
      <c r="B196" s="126">
        <v>335</v>
      </c>
      <c r="C196" s="77">
        <v>-9.9462365600000005E-2</v>
      </c>
      <c r="D196" s="15">
        <v>353</v>
      </c>
      <c r="E196" s="32">
        <f t="shared" si="106"/>
        <v>5.3731343283582089E-2</v>
      </c>
      <c r="F196" s="18">
        <f>IF(ISNUMBER(D196), $B199 * E196, "")</f>
        <v>5373.1343283582091</v>
      </c>
      <c r="G196" s="31">
        <v>359</v>
      </c>
      <c r="H196" s="32">
        <f t="shared" si="107"/>
        <v>7.1641791044776124E-2</v>
      </c>
      <c r="I196" s="101">
        <f>IF(ISNUMBER(G196), $B199 * H196, "")</f>
        <v>7164.1791044776128</v>
      </c>
      <c r="J196" s="15">
        <v>368</v>
      </c>
      <c r="K196" s="32">
        <f t="shared" si="108"/>
        <v>9.8507462686567168E-2</v>
      </c>
      <c r="L196" s="18">
        <f>IF(ISNUMBER(J196), $B199 * K196, "")</f>
        <v>9850.746268656716</v>
      </c>
      <c r="M196" s="31">
        <v>366</v>
      </c>
      <c r="N196" s="32">
        <f t="shared" si="109"/>
        <v>9.2537313432835819E-2</v>
      </c>
      <c r="O196" s="18">
        <f>IF(ISNUMBER(M196), $B199 * N196, "")</f>
        <v>9253.7313432835817</v>
      </c>
      <c r="Q196" s="227"/>
      <c r="R196" s="227"/>
      <c r="S196" s="227"/>
    </row>
    <row r="197" spans="1:19">
      <c r="A197" s="125" t="s">
        <v>232</v>
      </c>
      <c r="B197" s="126">
        <v>950</v>
      </c>
      <c r="C197" s="77">
        <v>-0.13636363639999999</v>
      </c>
      <c r="D197" s="15">
        <v>956</v>
      </c>
      <c r="E197" s="32">
        <f t="shared" si="106"/>
        <v>6.3157894736842104E-3</v>
      </c>
      <c r="F197" s="18">
        <f>IF(ISNUMBER(D197), $B199 * E197, "")</f>
        <v>631.57894736842104</v>
      </c>
      <c r="G197" s="31">
        <v>975</v>
      </c>
      <c r="H197" s="32">
        <f t="shared" si="107"/>
        <v>2.6315789473684209E-2</v>
      </c>
      <c r="I197" s="101">
        <f>IF(ISNUMBER(G197), $B199 * H197, "")</f>
        <v>2631.5789473684208</v>
      </c>
      <c r="J197" s="15">
        <v>988</v>
      </c>
      <c r="K197" s="32">
        <f t="shared" si="108"/>
        <v>0.04</v>
      </c>
      <c r="L197" s="18">
        <f>IF(ISNUMBER(J197), $B199 * K197, "")</f>
        <v>4000</v>
      </c>
      <c r="M197" s="31">
        <v>988</v>
      </c>
      <c r="N197" s="32">
        <f t="shared" si="109"/>
        <v>0.04</v>
      </c>
      <c r="O197" s="18">
        <f>IF(ISNUMBER(M197), $B199 * N197, "")</f>
        <v>4000</v>
      </c>
      <c r="Q197" s="249"/>
      <c r="R197" s="250"/>
      <c r="S197" s="251"/>
    </row>
    <row r="198" spans="1:19" ht="17.25" thickBot="1">
      <c r="A198" s="130" t="s">
        <v>228</v>
      </c>
      <c r="B198" s="131">
        <v>995</v>
      </c>
      <c r="C198" s="79">
        <v>-0.1422413793</v>
      </c>
      <c r="D198" s="24">
        <v>1020</v>
      </c>
      <c r="E198" s="25">
        <f t="shared" si="106"/>
        <v>2.5125628140703519E-2</v>
      </c>
      <c r="F198" s="104">
        <f>IF(ISNUMBER(D198), $B199 * E198, "")</f>
        <v>2512.562814070352</v>
      </c>
      <c r="G198" s="102">
        <v>1050</v>
      </c>
      <c r="H198" s="25">
        <f t="shared" si="107"/>
        <v>5.5276381909547742E-2</v>
      </c>
      <c r="I198" s="103">
        <f>IF(ISNUMBER(G198), $B199 * H198, "")</f>
        <v>5527.6381909547745</v>
      </c>
      <c r="J198" s="24">
        <v>1065</v>
      </c>
      <c r="K198" s="25">
        <f t="shared" si="108"/>
        <v>7.0351758793969849E-2</v>
      </c>
      <c r="L198" s="104">
        <f>IF(ISNUMBER(J198), $B199 * K198, "")</f>
        <v>7035.1758793969848</v>
      </c>
      <c r="M198" s="102">
        <v>1055</v>
      </c>
      <c r="N198" s="25">
        <f t="shared" si="109"/>
        <v>6.030150753768844E-2</v>
      </c>
      <c r="O198" s="104">
        <f>IF(ISNUMBER(M198), $B199 * N198, "")</f>
        <v>6030.150753768844</v>
      </c>
      <c r="Q198" s="252"/>
      <c r="R198" s="253"/>
      <c r="S198" s="254"/>
    </row>
    <row r="199" spans="1:19" ht="17.25" thickBot="1">
      <c r="A199" s="132" t="s">
        <v>270</v>
      </c>
      <c r="B199" s="260">
        <f>$B$37</f>
        <v>100000</v>
      </c>
      <c r="C199" s="261"/>
      <c r="D199" s="26" t="s">
        <v>271</v>
      </c>
      <c r="E199" s="27">
        <f>IF(COUNT(E179:E198), SUM(E179:E198) / COUNT(E179:E198), 0)</f>
        <v>6.7656910296306924E-2</v>
      </c>
      <c r="F199" s="28">
        <f>SUM(F179:F198)</f>
        <v>135313.82059261383</v>
      </c>
      <c r="G199" s="26" t="s">
        <v>271</v>
      </c>
      <c r="H199" s="27">
        <f>IF(COUNT(H179:H198), SUM(H179:H198) / COUNT(H179:H198), 0)</f>
        <v>9.461087901040012E-2</v>
      </c>
      <c r="I199" s="28">
        <f>SUM(I179:I198)</f>
        <v>189221.75802080025</v>
      </c>
      <c r="J199" s="26" t="s">
        <v>271</v>
      </c>
      <c r="K199" s="27">
        <f>IF(COUNT(K179:K198), SUM(K179:K198) / COUNT(K179:K198), 0)</f>
        <v>0.11893081821377853</v>
      </c>
      <c r="L199" s="28">
        <f>SUM(L179:L198)</f>
        <v>237861.63642755704</v>
      </c>
      <c r="M199" s="26" t="s">
        <v>271</v>
      </c>
      <c r="N199" s="27">
        <f>IF(COUNT(N179:N198), SUM(N179:N198) / COUNT(N179:N198), 0)</f>
        <v>0.12163206069773073</v>
      </c>
      <c r="O199" s="28">
        <f>SUM(O179:O198)</f>
        <v>243264.12139546146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E4253-6300-40B2-B969-4DE07B7F64D0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44449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320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328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-92,760 KRW (-4.64%)</v>
      </c>
      <c r="H3" s="217"/>
      <c r="I3" s="218"/>
      <c r="J3" s="4" t="s">
        <v>7</v>
      </c>
      <c r="K3" s="213" t="s">
        <v>321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322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319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-71,705 KRW (-4.48%)</v>
      </c>
      <c r="H5" s="217"/>
      <c r="I5" s="218"/>
      <c r="J5" s="4" t="s">
        <v>15</v>
      </c>
      <c r="K5" s="213" t="s">
        <v>323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324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-91,016 KRW (-4.55%)</v>
      </c>
      <c r="H7" s="217"/>
      <c r="I7" s="218"/>
      <c r="J7" s="4" t="s">
        <v>21</v>
      </c>
      <c r="K7" s="213" t="s">
        <v>325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255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-94,890 KRW (-4.74%)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326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327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318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93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55149000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2.1442459999999998E-3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2021-09-10(금) 오전 00:00</v>
      </c>
      <c r="C15" s="268"/>
      <c r="D15" s="224" t="str">
        <f>TEXT($G$1, "[$-ko-KR]yyyy-mm-dd(ddd) ") &amp; "오후 14:00"</f>
        <v>2021-09-10(금) 오후 14:00</v>
      </c>
      <c r="E15" s="225"/>
      <c r="F15" s="226"/>
      <c r="G15" s="224" t="str">
        <f>TEXT($G$1, "[$-ko-KR]yyyy-mm-dd(ddd) ") &amp; "오후 19:00"</f>
        <v>2021-09-10(금) 오후 19:00</v>
      </c>
      <c r="H15" s="225"/>
      <c r="I15" s="226"/>
      <c r="J15" s="224" t="str">
        <f>TEXT($G$1, "[$-ko-KR]yyyy-mm-dd(ddd) ") &amp; "오후 21:00"</f>
        <v>2021-09-10(금) 오후 21:00</v>
      </c>
      <c r="K15" s="225"/>
      <c r="L15" s="226"/>
      <c r="M15" s="224" t="str">
        <f>TEXT($G$1+1, "[$-ko-KR]yyyy-mm-dd(ddd) ") &amp; "오전 00:00"</f>
        <v>2021-09-11(토)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93" t="s">
        <v>267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55149000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2.1442459999999998E-3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2021-09-10(금) 오전 00:00</v>
      </c>
      <c r="C42" s="265"/>
      <c r="D42" s="224" t="str">
        <f>TEXT($G$1, "[$-ko-KR]yyyy-mm-dd(ddd) ") &amp; "오후 14:00"</f>
        <v>2021-09-10(금) 오후 14:00</v>
      </c>
      <c r="E42" s="225"/>
      <c r="F42" s="226"/>
      <c r="G42" s="224" t="str">
        <f>TEXT($G$1, "[$-ko-KR]yyyy-mm-dd(ddd) ") &amp; "오후 19:00"</f>
        <v>2021-09-10(금) 오후 19:00</v>
      </c>
      <c r="H42" s="225"/>
      <c r="I42" s="226"/>
      <c r="J42" s="224" t="str">
        <f>TEXT($G$1, "[$-ko-KR]yyyy-mm-dd(ddd) ") &amp; "오후 21:00"</f>
        <v>2021-09-10(금) 오후 21:00</v>
      </c>
      <c r="K42" s="225"/>
      <c r="L42" s="226"/>
      <c r="M42" s="224" t="str">
        <f>TEXT($G$1+1, "[$-ko-KR]yyyy-mm-dd(ddd) ") &amp; "오전 00:00"</f>
        <v>2021-09-11(토)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7"/>
      <c r="R43" s="227"/>
      <c r="S43" s="227"/>
    </row>
    <row r="44" spans="1:19" ht="17.25" customHeight="1" thickBot="1">
      <c r="A44" s="123" t="s">
        <v>204</v>
      </c>
      <c r="B44" s="124">
        <v>19.600000000000001</v>
      </c>
      <c r="C44" s="76">
        <v>0.18072289159999999</v>
      </c>
      <c r="D44" s="13">
        <v>19.8</v>
      </c>
      <c r="E44" s="14">
        <f>IF(ISNUMBER(D44), (D44 - $B44) / $B44, "")</f>
        <v>1.0204081632653024E-2</v>
      </c>
      <c r="F44" s="16">
        <f>IF(ISNUMBER(D44), $B64 * E44, "")</f>
        <v>1020.4081632653024</v>
      </c>
      <c r="G44" s="29">
        <v>18.5</v>
      </c>
      <c r="H44" s="14">
        <f>IF(ISNUMBER(G44), (G44 - $B44) / $B44, "")</f>
        <v>-5.6122448979591906E-2</v>
      </c>
      <c r="I44" s="100">
        <f>IF(ISNUMBER(G44), $B64 * H44, "")</f>
        <v>-5612.2448979591909</v>
      </c>
      <c r="J44" s="13">
        <v>18.7</v>
      </c>
      <c r="K44" s="14">
        <f>IF(ISNUMBER(J44), (J44 - $B44) / $B44, "")</f>
        <v>-4.5918367346938882E-2</v>
      </c>
      <c r="L44" s="16">
        <f>IF(ISNUMBER(J44), $B64 * K44, "")</f>
        <v>-4591.8367346938885</v>
      </c>
      <c r="M44" s="29">
        <v>18</v>
      </c>
      <c r="N44" s="14">
        <f>IF(ISNUMBER(M44), (M44 - $B44) / $B44, "")</f>
        <v>-8.1632653061224553E-2</v>
      </c>
      <c r="O44" s="16">
        <f>IF(ISNUMBER(M44), $B64 * N44, "")</f>
        <v>-8163.2653061224555</v>
      </c>
      <c r="Q44" s="222"/>
      <c r="R44" s="222"/>
      <c r="S44" s="222"/>
    </row>
    <row r="45" spans="1:19" ht="17.25" customHeight="1" thickBot="1">
      <c r="A45" s="125" t="s">
        <v>208</v>
      </c>
      <c r="B45" s="126">
        <v>15</v>
      </c>
      <c r="C45" s="77">
        <v>0.11111111110000001</v>
      </c>
      <c r="D45" s="15">
        <v>15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14.9</v>
      </c>
      <c r="H45" s="32">
        <f t="shared" ref="H45:H48" si="15">IF(ISNUMBER(G45), (G45 - $B45) / $B45, "")</f>
        <v>-6.6666666666666428E-3</v>
      </c>
      <c r="I45" s="101">
        <f>IF(ISNUMBER(G45), $B64 * H45, "")</f>
        <v>-666.66666666666424</v>
      </c>
      <c r="J45" s="15">
        <v>15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14.5</v>
      </c>
      <c r="N45" s="32">
        <f t="shared" ref="N45:N48" si="17">IF(ISNUMBER(M45), (M45 - $B45) / $B45, "")</f>
        <v>-3.3333333333333333E-2</v>
      </c>
      <c r="O45" s="18">
        <f>IF(ISNUMBER(M45), $B64 * N45, "")</f>
        <v>-3333.3333333333335</v>
      </c>
      <c r="Q45" s="222"/>
      <c r="R45" s="222"/>
      <c r="S45" s="222"/>
    </row>
    <row r="46" spans="1:19" ht="17.25" customHeight="1" thickBot="1">
      <c r="A46" s="125" t="s">
        <v>188</v>
      </c>
      <c r="B46" s="126">
        <v>15.5</v>
      </c>
      <c r="C46" s="77">
        <v>6.8965517200000007E-2</v>
      </c>
      <c r="D46" s="15">
        <v>15.5</v>
      </c>
      <c r="E46" s="32">
        <f t="shared" si="14"/>
        <v>0</v>
      </c>
      <c r="F46" s="18">
        <f>IF(ISNUMBER(D46), $B64 * E46, "")</f>
        <v>0</v>
      </c>
      <c r="G46" s="31">
        <v>15.1</v>
      </c>
      <c r="H46" s="32">
        <f t="shared" si="15"/>
        <v>-2.580645161290325E-2</v>
      </c>
      <c r="I46" s="101">
        <f>IF(ISNUMBER(G46), $B64 * H46, "")</f>
        <v>-2580.6451612903252</v>
      </c>
      <c r="J46" s="15">
        <v>15.1</v>
      </c>
      <c r="K46" s="32">
        <f t="shared" si="16"/>
        <v>-2.580645161290325E-2</v>
      </c>
      <c r="L46" s="18">
        <f>IF(ISNUMBER(J46), $B64 * K46, "")</f>
        <v>-2580.6451612903252</v>
      </c>
      <c r="M46" s="31">
        <v>14.4</v>
      </c>
      <c r="N46" s="32">
        <f t="shared" si="17"/>
        <v>-7.0967741935483844E-2</v>
      </c>
      <c r="O46" s="18">
        <f>IF(ISNUMBER(M46), $B64 * N46, "")</f>
        <v>-7096.7741935483846</v>
      </c>
      <c r="Q46" s="227"/>
      <c r="R46" s="227"/>
      <c r="S46" s="227"/>
    </row>
    <row r="47" spans="1:19" ht="17.25" customHeight="1" thickBot="1">
      <c r="A47" s="125" t="s">
        <v>190</v>
      </c>
      <c r="B47" s="126">
        <v>20</v>
      </c>
      <c r="C47" s="77">
        <v>5.2631578900000003E-2</v>
      </c>
      <c r="D47" s="15">
        <v>20.2</v>
      </c>
      <c r="E47" s="32">
        <f t="shared" si="14"/>
        <v>9.9999999999999638E-3</v>
      </c>
      <c r="F47" s="18">
        <f>IF(ISNUMBER(D47), $B64 * E47, "")</f>
        <v>999.99999999999636</v>
      </c>
      <c r="G47" s="31">
        <v>19.2</v>
      </c>
      <c r="H47" s="32">
        <f t="shared" si="15"/>
        <v>-4.0000000000000036E-2</v>
      </c>
      <c r="I47" s="101">
        <f>IF(ISNUMBER(G47), $B64 * H47, "")</f>
        <v>-4000.0000000000036</v>
      </c>
      <c r="J47" s="15">
        <v>19.399999999999999</v>
      </c>
      <c r="K47" s="32">
        <f t="shared" si="16"/>
        <v>-3.0000000000000072E-2</v>
      </c>
      <c r="L47" s="18">
        <f>IF(ISNUMBER(J47), $B64 * K47, "")</f>
        <v>-3000.0000000000073</v>
      </c>
      <c r="M47" s="31">
        <v>18.7</v>
      </c>
      <c r="N47" s="32">
        <f t="shared" si="17"/>
        <v>-6.500000000000003E-2</v>
      </c>
      <c r="O47" s="18">
        <f>IF(ISNUMBER(M47), $B64 * N47, "")</f>
        <v>-6500.0000000000027</v>
      </c>
      <c r="Q47" s="227"/>
      <c r="R47" s="227"/>
      <c r="S47" s="227"/>
    </row>
    <row r="48" spans="1:19" ht="17.25" customHeight="1" thickBot="1">
      <c r="A48" s="127" t="s">
        <v>122</v>
      </c>
      <c r="B48" s="128">
        <v>44.2</v>
      </c>
      <c r="C48" s="78">
        <v>5.23809524E-2</v>
      </c>
      <c r="D48" s="20">
        <v>44.9</v>
      </c>
      <c r="E48" s="21">
        <f t="shared" si="14"/>
        <v>1.5837104072398092E-2</v>
      </c>
      <c r="F48" s="22">
        <f>IF(ISNUMBER(D48), $B64 * E48, "")</f>
        <v>1583.7104072398092</v>
      </c>
      <c r="G48" s="30">
        <v>43.4</v>
      </c>
      <c r="H48" s="21">
        <f t="shared" si="15"/>
        <v>-1.8099547511312312E-2</v>
      </c>
      <c r="I48" s="105">
        <f>IF(ISNUMBER(G48), $B64 * H48, "")</f>
        <v>-1809.9547511312312</v>
      </c>
      <c r="J48" s="20">
        <v>43.7</v>
      </c>
      <c r="K48" s="21">
        <f t="shared" si="16"/>
        <v>-1.1312217194570135E-2</v>
      </c>
      <c r="L48" s="22">
        <f>IF(ISNUMBER(J48), $B64 * K48, "")</f>
        <v>-1131.2217194570135</v>
      </c>
      <c r="M48" s="30">
        <v>41.7</v>
      </c>
      <c r="N48" s="21">
        <f t="shared" si="17"/>
        <v>-5.6561085972850672E-2</v>
      </c>
      <c r="O48" s="22">
        <f>IF(ISNUMBER(M48), $B64 * N48, "")</f>
        <v>-5656.1085972850669</v>
      </c>
      <c r="Q48" s="227"/>
      <c r="R48" s="227"/>
      <c r="S48" s="227"/>
    </row>
    <row r="49" spans="1:19" ht="17.25" customHeight="1" thickBot="1">
      <c r="A49" s="125" t="s">
        <v>216</v>
      </c>
      <c r="B49" s="129">
        <v>12.1</v>
      </c>
      <c r="C49" s="80">
        <v>5.2173913000000002E-2</v>
      </c>
      <c r="D49" s="106">
        <v>12.2</v>
      </c>
      <c r="E49" s="107">
        <f>IF(ISNUMBER(D49), (D49 - $B49) / $B49, "")</f>
        <v>8.2644628099173261E-3</v>
      </c>
      <c r="F49" s="108">
        <f>IF(ISNUMBER(D49), $B64 * E49, "")</f>
        <v>826.44628099173258</v>
      </c>
      <c r="G49" s="109">
        <v>11.7</v>
      </c>
      <c r="H49" s="107">
        <f>IF(ISNUMBER(G49), (G49 - $B49) / $B49, "")</f>
        <v>-3.305785123966945E-2</v>
      </c>
      <c r="I49" s="110">
        <f>IF(ISNUMBER(G49), $B64 * H49, "")</f>
        <v>-3305.7851239669449</v>
      </c>
      <c r="J49" s="106">
        <v>12.1</v>
      </c>
      <c r="K49" s="107">
        <f>IF(ISNUMBER(J49), (J49 - $B49) / $B49, "")</f>
        <v>0</v>
      </c>
      <c r="L49" s="108">
        <f>IF(ISNUMBER(J49), $B64 * K49, "")</f>
        <v>0</v>
      </c>
      <c r="M49" s="109">
        <v>11.5</v>
      </c>
      <c r="N49" s="107">
        <f>IF(ISNUMBER(M49), (M49 - $B49) / $B49, "")</f>
        <v>-4.9586776859504106E-2</v>
      </c>
      <c r="O49" s="108">
        <f>IF(ISNUMBER(M49), $B64 * N49, "")</f>
        <v>-4958.6776859504107</v>
      </c>
      <c r="Q49" s="227"/>
      <c r="R49" s="227"/>
      <c r="S49" s="227"/>
    </row>
    <row r="50" spans="1:19" ht="17.25" customHeight="1" thickBot="1">
      <c r="A50" s="125" t="s">
        <v>150</v>
      </c>
      <c r="B50" s="126">
        <v>14</v>
      </c>
      <c r="C50" s="77">
        <v>4.4776119400000002E-2</v>
      </c>
      <c r="D50" s="15">
        <v>14.4</v>
      </c>
      <c r="E50" s="32">
        <f t="shared" ref="E50:E53" si="18">IF(ISNUMBER(D50), (D50 - $B50) / $B50, "")</f>
        <v>2.8571428571428598E-2</v>
      </c>
      <c r="F50" s="18">
        <f>IF(ISNUMBER(D50), $B64 * E50, "")</f>
        <v>2857.1428571428596</v>
      </c>
      <c r="G50" s="31">
        <v>13.7</v>
      </c>
      <c r="H50" s="32">
        <f t="shared" ref="H50:H53" si="19">IF(ISNUMBER(G50), (G50 - $B50) / $B50, "")</f>
        <v>-2.1428571428571481E-2</v>
      </c>
      <c r="I50" s="101">
        <f>IF(ISNUMBER(G50), $B64 * H50, "")</f>
        <v>-2142.8571428571481</v>
      </c>
      <c r="J50" s="15">
        <v>14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13.4</v>
      </c>
      <c r="N50" s="32">
        <f t="shared" ref="N50:N53" si="21">IF(ISNUMBER(M50), (M50 - $B50) / $B50, "")</f>
        <v>-4.285714285714283E-2</v>
      </c>
      <c r="O50" s="18">
        <f>IF(ISNUMBER(M50), $B64 * N50, "")</f>
        <v>-4285.7142857142826</v>
      </c>
      <c r="Q50" s="227"/>
      <c r="R50" s="227"/>
      <c r="S50" s="227"/>
    </row>
    <row r="51" spans="1:19" ht="17.25" customHeight="1" thickBot="1">
      <c r="A51" s="125" t="s">
        <v>148</v>
      </c>
      <c r="B51" s="126">
        <v>24.2</v>
      </c>
      <c r="C51" s="77">
        <v>3.8626609399999998E-2</v>
      </c>
      <c r="D51" s="15">
        <v>24.4</v>
      </c>
      <c r="E51" s="32">
        <f t="shared" si="18"/>
        <v>8.2644628099173261E-3</v>
      </c>
      <c r="F51" s="18">
        <f>IF(ISNUMBER(D51), $B64 * E51, "")</f>
        <v>826.44628099173258</v>
      </c>
      <c r="G51" s="31">
        <v>23.3</v>
      </c>
      <c r="H51" s="32">
        <f t="shared" si="19"/>
        <v>-3.7190082644628045E-2</v>
      </c>
      <c r="I51" s="101">
        <f>IF(ISNUMBER(G51), $B64 * H51, "")</f>
        <v>-3719.0082644628046</v>
      </c>
      <c r="J51" s="15">
        <v>23.4</v>
      </c>
      <c r="K51" s="32">
        <f t="shared" si="20"/>
        <v>-3.305785123966945E-2</v>
      </c>
      <c r="L51" s="18">
        <f>IF(ISNUMBER(J51), $B64 * K51, "")</f>
        <v>-3305.7851239669449</v>
      </c>
      <c r="M51" s="31">
        <v>22.3</v>
      </c>
      <c r="N51" s="32">
        <f t="shared" si="21"/>
        <v>-7.8512396694214823E-2</v>
      </c>
      <c r="O51" s="18">
        <f>IF(ISNUMBER(M51), $B64 * N51, "")</f>
        <v>-7851.2396694214822</v>
      </c>
      <c r="Q51" s="227"/>
      <c r="R51" s="227"/>
      <c r="S51" s="227"/>
    </row>
    <row r="52" spans="1:19" ht="17.25" customHeight="1" thickBot="1">
      <c r="A52" s="125" t="s">
        <v>72</v>
      </c>
      <c r="B52" s="126">
        <v>27.9</v>
      </c>
      <c r="C52" s="77">
        <v>2.57352941E-2</v>
      </c>
      <c r="D52" s="15">
        <v>32.9</v>
      </c>
      <c r="E52" s="32">
        <f t="shared" si="18"/>
        <v>0.17921146953405018</v>
      </c>
      <c r="F52" s="18">
        <f>IF(ISNUMBER(D52), $B64 * E52, "")</f>
        <v>17921.146953405019</v>
      </c>
      <c r="G52" s="31">
        <v>31</v>
      </c>
      <c r="H52" s="32">
        <f t="shared" si="19"/>
        <v>0.11111111111111117</v>
      </c>
      <c r="I52" s="101">
        <f>IF(ISNUMBER(G52), $B64 * H52, "")</f>
        <v>11111.111111111117</v>
      </c>
      <c r="J52" s="15">
        <v>30.5</v>
      </c>
      <c r="K52" s="32">
        <f t="shared" si="20"/>
        <v>9.3189964157706154E-2</v>
      </c>
      <c r="L52" s="18">
        <f>IF(ISNUMBER(J52), $B64 * K52, "")</f>
        <v>9318.9964157706145</v>
      </c>
      <c r="M52" s="31">
        <v>29.3</v>
      </c>
      <c r="N52" s="32">
        <f t="shared" si="21"/>
        <v>5.0179211469534128E-2</v>
      </c>
      <c r="O52" s="18">
        <f>IF(ISNUMBER(M52), $B64 * N52, "")</f>
        <v>5017.921146953413</v>
      </c>
      <c r="Q52" s="33"/>
      <c r="R52" s="33"/>
    </row>
    <row r="53" spans="1:19" ht="17.25" customHeight="1" thickBot="1">
      <c r="A53" s="130" t="s">
        <v>202</v>
      </c>
      <c r="B53" s="131">
        <v>93.1</v>
      </c>
      <c r="C53" s="79">
        <v>2.5330396500000001E-2</v>
      </c>
      <c r="D53" s="24">
        <v>94.7</v>
      </c>
      <c r="E53" s="25">
        <f t="shared" si="18"/>
        <v>1.7185821697099986E-2</v>
      </c>
      <c r="F53" s="104">
        <f>IF(ISNUMBER(D53), $B64 * E53, "")</f>
        <v>1718.5821697099987</v>
      </c>
      <c r="G53" s="102">
        <v>90.6</v>
      </c>
      <c r="H53" s="25">
        <f t="shared" si="19"/>
        <v>-2.6852846401718585E-2</v>
      </c>
      <c r="I53" s="103">
        <f>IF(ISNUMBER(G53), $B64 * H53, "")</f>
        <v>-2685.2846401718584</v>
      </c>
      <c r="J53" s="24">
        <v>91.1</v>
      </c>
      <c r="K53" s="25">
        <f t="shared" si="20"/>
        <v>-2.1482277121374866E-2</v>
      </c>
      <c r="L53" s="104">
        <f>IF(ISNUMBER(J53), $B64 * K53, "")</f>
        <v>-2148.2277121374864</v>
      </c>
      <c r="M53" s="102">
        <v>88.2</v>
      </c>
      <c r="N53" s="25">
        <f t="shared" si="21"/>
        <v>-5.2631578947368335E-2</v>
      </c>
      <c r="O53" s="104">
        <f>IF(ISNUMBER(M53), $B64 * N53, "")</f>
        <v>-5263.1578947368334</v>
      </c>
      <c r="Q53" s="236"/>
      <c r="R53" s="237"/>
      <c r="S53" s="238"/>
    </row>
    <row r="54" spans="1:19" ht="17.25" customHeight="1">
      <c r="A54" s="123" t="s">
        <v>210</v>
      </c>
      <c r="B54" s="124">
        <v>16.2</v>
      </c>
      <c r="C54" s="76">
        <v>2.5316455700000001E-2</v>
      </c>
      <c r="D54" s="13">
        <v>16.2</v>
      </c>
      <c r="E54" s="14">
        <f>IF(ISNUMBER(D54), (D54 - $B54) / $B54, "")</f>
        <v>0</v>
      </c>
      <c r="F54" s="16">
        <f>IF(ISNUMBER(D54), $B64 * E54, "")</f>
        <v>0</v>
      </c>
      <c r="G54" s="29">
        <v>15.8</v>
      </c>
      <c r="H54" s="14">
        <f>IF(ISNUMBER(G54), (G54 - $B54) / $B54, "")</f>
        <v>-2.469135802469127E-2</v>
      </c>
      <c r="I54" s="100">
        <f>IF(ISNUMBER(G54), $B64 * H54, "")</f>
        <v>-2469.1358024691272</v>
      </c>
      <c r="J54" s="13">
        <v>15.8</v>
      </c>
      <c r="K54" s="14">
        <f>IF(ISNUMBER(J54), (J54 - $B54) / $B54, "")</f>
        <v>-2.469135802469127E-2</v>
      </c>
      <c r="L54" s="16">
        <f>IF(ISNUMBER(J54), $B64 * K54, "")</f>
        <v>-2469.1358024691272</v>
      </c>
      <c r="M54" s="29">
        <v>15.2</v>
      </c>
      <c r="N54" s="14">
        <f>IF(ISNUMBER(M54), (M54 - $B54) / $B54, "")</f>
        <v>-6.1728395061728399E-2</v>
      </c>
      <c r="O54" s="16">
        <f>IF(ISNUMBER(M54), $B64 * N54, "")</f>
        <v>-6172.8395061728397</v>
      </c>
      <c r="Q54" s="239"/>
      <c r="R54" s="240"/>
      <c r="S54" s="241"/>
    </row>
    <row r="55" spans="1:19" ht="17.25" customHeight="1" thickBot="1">
      <c r="A55" s="125" t="s">
        <v>240</v>
      </c>
      <c r="B55" s="126">
        <v>73.8</v>
      </c>
      <c r="C55" s="77">
        <v>2.21606648E-2</v>
      </c>
      <c r="D55" s="15">
        <v>76.3</v>
      </c>
      <c r="E55" s="32">
        <f t="shared" ref="E55:E58" si="22">IF(ISNUMBER(D55), (D55 - $B55) / $B55, "")</f>
        <v>3.3875338753387538E-2</v>
      </c>
      <c r="F55" s="18">
        <f>IF(ISNUMBER(D55), $B64 * E55, "")</f>
        <v>3387.5338753387537</v>
      </c>
      <c r="G55" s="31">
        <v>72.8</v>
      </c>
      <c r="H55" s="32">
        <f t="shared" ref="H55:H58" si="23">IF(ISNUMBER(G55), (G55 - $B55) / $B55, "")</f>
        <v>-1.3550135501355014E-2</v>
      </c>
      <c r="I55" s="101">
        <f>IF(ISNUMBER(G55), $B64 * H55, "")</f>
        <v>-1355.0135501355014</v>
      </c>
      <c r="J55" s="15">
        <v>73.7</v>
      </c>
      <c r="K55" s="32">
        <f t="shared" ref="K55:K58" si="24">IF(ISNUMBER(J55), (J55 - $B55) / $B55, "")</f>
        <v>-1.3550135501354244E-3</v>
      </c>
      <c r="L55" s="18">
        <f>IF(ISNUMBER(J55), $B64 * K55, "")</f>
        <v>-135.50135501354245</v>
      </c>
      <c r="M55" s="31">
        <v>71.2</v>
      </c>
      <c r="N55" s="32">
        <f t="shared" ref="N55:N58" si="25">IF(ISNUMBER(M55), (M55 - $B55) / $B55, "")</f>
        <v>-3.5230352303522956E-2</v>
      </c>
      <c r="O55" s="18">
        <f>IF(ISNUMBER(M55), $B64 * N55, "")</f>
        <v>-3523.0352303522955</v>
      </c>
      <c r="Q55" s="242"/>
      <c r="R55" s="243"/>
      <c r="S55" s="244"/>
    </row>
    <row r="56" spans="1:19" ht="17.25" customHeight="1" thickBot="1">
      <c r="A56" s="125" t="s">
        <v>234</v>
      </c>
      <c r="B56" s="126">
        <v>91.7</v>
      </c>
      <c r="C56" s="77">
        <v>1.10253583E-2</v>
      </c>
      <c r="D56" s="15">
        <v>95.8</v>
      </c>
      <c r="E56" s="32">
        <f t="shared" si="22"/>
        <v>4.4711014176662969E-2</v>
      </c>
      <c r="F56" s="18">
        <f>IF(ISNUMBER(D56), $B64 * E56, "")</f>
        <v>4471.1014176662966</v>
      </c>
      <c r="G56" s="31">
        <v>91</v>
      </c>
      <c r="H56" s="32">
        <f t="shared" si="23"/>
        <v>-7.6335877862595729E-3</v>
      </c>
      <c r="I56" s="101">
        <f>IF(ISNUMBER(G56), $B64 * H56, "")</f>
        <v>-763.35877862595726</v>
      </c>
      <c r="J56" s="15">
        <v>92.3</v>
      </c>
      <c r="K56" s="32">
        <f t="shared" si="24"/>
        <v>6.5430752453652591E-3</v>
      </c>
      <c r="L56" s="18">
        <f>IF(ISNUMBER(J56), $B64 * K56, "")</f>
        <v>654.30752453652588</v>
      </c>
      <c r="M56" s="31">
        <v>89.5</v>
      </c>
      <c r="N56" s="32">
        <f t="shared" si="25"/>
        <v>-2.3991275899672877E-2</v>
      </c>
      <c r="O56" s="18">
        <f>IF(ISNUMBER(M56), $B64 * N56, "")</f>
        <v>-2399.1275899672878</v>
      </c>
      <c r="Q56" s="227"/>
      <c r="R56" s="227"/>
      <c r="S56" s="227"/>
    </row>
    <row r="57" spans="1:19" ht="17.25" customHeight="1" thickBot="1">
      <c r="A57" s="125" t="s">
        <v>250</v>
      </c>
      <c r="B57" s="126">
        <v>96.4</v>
      </c>
      <c r="C57" s="77">
        <v>6.2630480000000002E-3</v>
      </c>
      <c r="D57" s="15">
        <v>101</v>
      </c>
      <c r="E57" s="32">
        <f t="shared" si="22"/>
        <v>4.7717842323651394E-2</v>
      </c>
      <c r="F57" s="18">
        <f>IF(ISNUMBER(D57), $B64 * E57, "")</f>
        <v>4771.7842323651394</v>
      </c>
      <c r="G57" s="31">
        <v>97.8</v>
      </c>
      <c r="H57" s="32">
        <f t="shared" si="23"/>
        <v>1.4522821576763396E-2</v>
      </c>
      <c r="I57" s="101">
        <f>IF(ISNUMBER(G57), $B64 * H57, "")</f>
        <v>1452.2821576763395</v>
      </c>
      <c r="J57" s="15">
        <v>99.2</v>
      </c>
      <c r="K57" s="32">
        <f t="shared" si="24"/>
        <v>2.9045643153526941E-2</v>
      </c>
      <c r="L57" s="18">
        <f>IF(ISNUMBER(J57), $B64 * K57, "")</f>
        <v>2904.5643153526939</v>
      </c>
      <c r="M57" s="31">
        <v>93.7</v>
      </c>
      <c r="N57" s="32">
        <f t="shared" si="25"/>
        <v>-2.8008298755186751E-2</v>
      </c>
      <c r="O57" s="18">
        <f>IF(ISNUMBER(M57), $B64 * N57, "")</f>
        <v>-2800.8298755186752</v>
      </c>
      <c r="Q57" s="222"/>
      <c r="R57" s="222"/>
      <c r="S57" s="222"/>
    </row>
    <row r="58" spans="1:19" ht="17.25" customHeight="1" thickBot="1">
      <c r="A58" s="127" t="s">
        <v>178</v>
      </c>
      <c r="B58" s="128">
        <v>20.3</v>
      </c>
      <c r="C58" s="78">
        <v>-9.7560975999999994E-3</v>
      </c>
      <c r="D58" s="20">
        <v>20.5</v>
      </c>
      <c r="E58" s="21">
        <f t="shared" si="22"/>
        <v>9.8522167487684383E-3</v>
      </c>
      <c r="F58" s="22">
        <f>IF(ISNUMBER(D58), $B64 * E58, "")</f>
        <v>985.22167487684385</v>
      </c>
      <c r="G58" s="30">
        <v>19.600000000000001</v>
      </c>
      <c r="H58" s="21">
        <f t="shared" si="23"/>
        <v>-3.448275862068962E-2</v>
      </c>
      <c r="I58" s="105">
        <f>IF(ISNUMBER(G58), $B64 * H58, "")</f>
        <v>-3448.2758620689619</v>
      </c>
      <c r="J58" s="20">
        <v>20</v>
      </c>
      <c r="K58" s="21">
        <f t="shared" si="24"/>
        <v>-1.4778325123152743E-2</v>
      </c>
      <c r="L58" s="22">
        <f>IF(ISNUMBER(J58), $B64 * K58, "")</f>
        <v>-1477.8325123152742</v>
      </c>
      <c r="M58" s="30">
        <v>19.399999999999999</v>
      </c>
      <c r="N58" s="21">
        <f t="shared" si="25"/>
        <v>-4.4334975369458234E-2</v>
      </c>
      <c r="O58" s="22">
        <f>IF(ISNUMBER(M58), $B64 * N58, "")</f>
        <v>-4433.4975369458234</v>
      </c>
      <c r="Q58" s="222"/>
      <c r="R58" s="222"/>
      <c r="S58" s="222"/>
    </row>
    <row r="59" spans="1:19" ht="17.25" customHeight="1" thickBot="1">
      <c r="A59" s="125" t="s">
        <v>98</v>
      </c>
      <c r="B59" s="129">
        <v>4.9000000000000004</v>
      </c>
      <c r="C59" s="80">
        <v>-1.4084507E-2</v>
      </c>
      <c r="D59" s="106">
        <v>4.93</v>
      </c>
      <c r="E59" s="107">
        <f>IF(ISNUMBER(D59), (D59 - $B59) / $B59, "")</f>
        <v>6.1224489795917054E-3</v>
      </c>
      <c r="F59" s="108">
        <f>IF(ISNUMBER(D59), $B64 * E59, "")</f>
        <v>612.24489795917054</v>
      </c>
      <c r="G59" s="109">
        <v>4.82</v>
      </c>
      <c r="H59" s="107">
        <f>IF(ISNUMBER(G59), (G59 - $B59) / $B59, "")</f>
        <v>-1.632653061224491E-2</v>
      </c>
      <c r="I59" s="110">
        <f>IF(ISNUMBER(G59), $B64 * H59, "")</f>
        <v>-1632.653061224491</v>
      </c>
      <c r="J59" s="106">
        <v>4.83</v>
      </c>
      <c r="K59" s="107">
        <f>IF(ISNUMBER(J59), (J59 - $B59) / $B59, "")</f>
        <v>-1.4285714285714343E-2</v>
      </c>
      <c r="L59" s="108">
        <f>IF(ISNUMBER(J59), $B64 * K59, "")</f>
        <v>-1428.5714285714344</v>
      </c>
      <c r="M59" s="109">
        <v>4.6900000000000004</v>
      </c>
      <c r="N59" s="107">
        <f>IF(ISNUMBER(M59), (M59 - $B59) / $B59, "")</f>
        <v>-4.2857142857142844E-2</v>
      </c>
      <c r="O59" s="108">
        <f>IF(ISNUMBER(M59), $B64 * N59, "")</f>
        <v>-4285.7142857142844</v>
      </c>
      <c r="Q59" s="227"/>
      <c r="R59" s="227"/>
      <c r="S59" s="227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7"/>
      <c r="R60" s="227"/>
      <c r="S60" s="22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132" t="s">
        <v>270</v>
      </c>
      <c r="B64" s="260">
        <f>$B$37</f>
        <v>100000</v>
      </c>
      <c r="C64" s="261"/>
      <c r="D64" s="26" t="s">
        <v>271</v>
      </c>
      <c r="E64" s="27">
        <f>IF(COUNT(E44:E63), SUM(E44:E63) / COUNT(E44:E63), 0)</f>
        <v>2.6238605756845407E-2</v>
      </c>
      <c r="F64" s="28">
        <f>SUM(F44:F63)</f>
        <v>41981.769210952654</v>
      </c>
      <c r="G64" s="26" t="s">
        <v>271</v>
      </c>
      <c r="H64" s="27">
        <f>IF(COUNT(H44:H63), SUM(H44:H63) / COUNT(H44:H63), 0)</f>
        <v>-1.4767181521401719E-2</v>
      </c>
      <c r="I64" s="28">
        <f>SUM(I44:I63)</f>
        <v>-23627.490434242747</v>
      </c>
      <c r="J64" s="26" t="s">
        <v>271</v>
      </c>
      <c r="K64" s="27">
        <f>IF(COUNT(K44:K63), SUM(K44:K63) / COUNT(K44:K63), 0)</f>
        <v>-5.8693058089095045E-3</v>
      </c>
      <c r="L64" s="28">
        <f>SUM(L44:L63)</f>
        <v>-9390.8892942552102</v>
      </c>
      <c r="M64" s="26" t="s">
        <v>271</v>
      </c>
      <c r="N64" s="27">
        <f>IF(COUNT(N44:N63), SUM(N44:N63) / COUNT(N44:N63), 0)</f>
        <v>-4.4815871152393778E-2</v>
      </c>
      <c r="O64" s="28">
        <f>SUM(O44:O63)</f>
        <v>-71705.393843830054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93" t="s">
        <v>267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55149000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2.1442459999999998E-3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2021-09-10(금) 오전 00:00</v>
      </c>
      <c r="C69" s="265"/>
      <c r="D69" s="224" t="str">
        <f>TEXT($G$1, "[$-ko-KR]yyyy-mm-dd(ddd) ") &amp; "오후 14:00"</f>
        <v>2021-09-10(금) 오후 14:00</v>
      </c>
      <c r="E69" s="225"/>
      <c r="F69" s="226"/>
      <c r="G69" s="224" t="str">
        <f>TEXT($G$1, "[$-ko-KR]yyyy-mm-dd(ddd) ") &amp; "오후 19:00"</f>
        <v>2021-09-10(금) 오후 19:00</v>
      </c>
      <c r="H69" s="225"/>
      <c r="I69" s="226"/>
      <c r="J69" s="224" t="str">
        <f>TEXT($G$1, "[$-ko-KR]yyyy-mm-dd(ddd) ") &amp; "오후 21:00"</f>
        <v>2021-09-10(금) 오후 21:00</v>
      </c>
      <c r="K69" s="225"/>
      <c r="L69" s="226"/>
      <c r="M69" s="224" t="str">
        <f>TEXT($G$1+1, "[$-ko-KR]yyyy-mm-dd(ddd) ") &amp; "오전 00:00"</f>
        <v>2021-09-11(토)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7"/>
      <c r="R70" s="227"/>
      <c r="S70" s="227"/>
    </row>
    <row r="71" spans="1:19" ht="17.25" thickBot="1">
      <c r="A71" s="123" t="s">
        <v>130</v>
      </c>
      <c r="B71" s="124">
        <v>176</v>
      </c>
      <c r="C71" s="76">
        <v>0.1891891892</v>
      </c>
      <c r="D71" s="13">
        <v>170</v>
      </c>
      <c r="E71" s="14">
        <f>IF(ISNUMBER(D71), (D71 - $B71) / $B71, "")</f>
        <v>-3.4090909090909088E-2</v>
      </c>
      <c r="F71" s="16">
        <f>IF(ISNUMBER(D71), $B91 * E71, "")</f>
        <v>-3409.090909090909</v>
      </c>
      <c r="G71" s="29">
        <v>167</v>
      </c>
      <c r="H71" s="14">
        <f>IF(ISNUMBER(G71), (G71 - $B71) / $B71, "")</f>
        <v>-5.113636363636364E-2</v>
      </c>
      <c r="I71" s="100">
        <f>IF(ISNUMBER(G71), $B91 * H71, "")</f>
        <v>-5113.636363636364</v>
      </c>
      <c r="J71" s="13">
        <v>169</v>
      </c>
      <c r="K71" s="14">
        <f>IF(ISNUMBER(J71), (J71 - $B71) / $B71, "")</f>
        <v>-3.9772727272727272E-2</v>
      </c>
      <c r="L71" s="16">
        <f>IF(ISNUMBER(J71), $B91 * K71, "")</f>
        <v>-3977.272727272727</v>
      </c>
      <c r="M71" s="29">
        <v>162</v>
      </c>
      <c r="N71" s="14">
        <f>IF(ISNUMBER(M71), (M71 - $B71) / $B71, "")</f>
        <v>-7.9545454545454544E-2</v>
      </c>
      <c r="O71" s="16">
        <f>IF(ISNUMBER(M71), $B91 * N71, "")</f>
        <v>-7954.545454545454</v>
      </c>
      <c r="Q71" s="222"/>
      <c r="R71" s="222"/>
      <c r="S71" s="222"/>
    </row>
    <row r="72" spans="1:19" ht="17.25" thickBot="1">
      <c r="A72" s="125" t="s">
        <v>200</v>
      </c>
      <c r="B72" s="126">
        <v>248</v>
      </c>
      <c r="C72" s="77">
        <v>9.7345132700000003E-2</v>
      </c>
      <c r="D72" s="15">
        <v>238</v>
      </c>
      <c r="E72" s="32">
        <f t="shared" ref="E72:E75" si="30">IF(ISNUMBER(D72), (D72 - $B72) / $B72, "")</f>
        <v>-4.0322580645161289E-2</v>
      </c>
      <c r="F72" s="18">
        <f>IF(ISNUMBER(D72), $B91 * E72, "")</f>
        <v>-4032.2580645161288</v>
      </c>
      <c r="G72" s="31">
        <v>231</v>
      </c>
      <c r="H72" s="32">
        <f t="shared" ref="H72:H75" si="31">IF(ISNUMBER(G72), (G72 - $B72) / $B72, "")</f>
        <v>-6.8548387096774188E-2</v>
      </c>
      <c r="I72" s="101">
        <f>IF(ISNUMBER(G72), $B91 * H72, "")</f>
        <v>-6854.8387096774186</v>
      </c>
      <c r="J72" s="15">
        <v>233</v>
      </c>
      <c r="K72" s="32">
        <f t="shared" ref="K72:K75" si="32">IF(ISNUMBER(J72), (J72 - $B72) / $B72, "")</f>
        <v>-6.0483870967741937E-2</v>
      </c>
      <c r="L72" s="18">
        <f>IF(ISNUMBER(J72), $B91 * K72, "")</f>
        <v>-6048.3870967741941</v>
      </c>
      <c r="M72" s="31">
        <v>225</v>
      </c>
      <c r="N72" s="32">
        <f t="shared" ref="N72:N75" si="33">IF(ISNUMBER(M72), (M72 - $B72) / $B72, "")</f>
        <v>-9.2741935483870969E-2</v>
      </c>
      <c r="O72" s="18">
        <f>IF(ISNUMBER(M72), $B91 * N72, "")</f>
        <v>-9274.1935483870966</v>
      </c>
      <c r="Q72" s="222"/>
      <c r="R72" s="222"/>
      <c r="S72" s="222"/>
    </row>
    <row r="73" spans="1:19" ht="17.25" thickBot="1">
      <c r="A73" s="125" t="s">
        <v>124</v>
      </c>
      <c r="B73" s="126">
        <v>699</v>
      </c>
      <c r="C73" s="77">
        <v>8.3720930200000002E-2</v>
      </c>
      <c r="D73" s="15">
        <v>680</v>
      </c>
      <c r="E73" s="32">
        <f t="shared" si="30"/>
        <v>-2.7181688125894134E-2</v>
      </c>
      <c r="F73" s="18">
        <f>IF(ISNUMBER(D73), $B91 * E73, "")</f>
        <v>-2718.1688125894134</v>
      </c>
      <c r="G73" s="31">
        <v>654</v>
      </c>
      <c r="H73" s="32">
        <f t="shared" si="31"/>
        <v>-6.4377682403433473E-2</v>
      </c>
      <c r="I73" s="101">
        <f>IF(ISNUMBER(G73), $B91 * H73, "")</f>
        <v>-6437.7682403433473</v>
      </c>
      <c r="J73" s="15">
        <v>659</v>
      </c>
      <c r="K73" s="32">
        <f t="shared" si="32"/>
        <v>-5.7224606580829757E-2</v>
      </c>
      <c r="L73" s="18">
        <f>IF(ISNUMBER(J73), $B91 * K73, "")</f>
        <v>-5722.4606580829759</v>
      </c>
      <c r="M73" s="31">
        <v>632</v>
      </c>
      <c r="N73" s="32">
        <f t="shared" si="33"/>
        <v>-9.5851216022889846E-2</v>
      </c>
      <c r="O73" s="18">
        <f>IF(ISNUMBER(M73), $B91 * N73, "")</f>
        <v>-9585.1216022889839</v>
      </c>
      <c r="Q73" s="227"/>
      <c r="R73" s="227"/>
      <c r="S73" s="227"/>
    </row>
    <row r="74" spans="1:19" ht="17.25" thickBot="1">
      <c r="A74" s="125" t="s">
        <v>218</v>
      </c>
      <c r="B74" s="126">
        <v>150</v>
      </c>
      <c r="C74" s="77">
        <v>5.6338028200000001E-2</v>
      </c>
      <c r="D74" s="15">
        <v>157</v>
      </c>
      <c r="E74" s="32">
        <f t="shared" si="30"/>
        <v>4.6666666666666669E-2</v>
      </c>
      <c r="F74" s="18">
        <f>IF(ISNUMBER(D74), $B91 * E74, "")</f>
        <v>4666.666666666667</v>
      </c>
      <c r="G74" s="31">
        <v>149</v>
      </c>
      <c r="H74" s="32">
        <f t="shared" si="31"/>
        <v>-6.6666666666666671E-3</v>
      </c>
      <c r="I74" s="101">
        <f>IF(ISNUMBER(G74), $B91 * H74, "")</f>
        <v>-666.66666666666674</v>
      </c>
      <c r="J74" s="15">
        <v>153</v>
      </c>
      <c r="K74" s="32">
        <f t="shared" si="32"/>
        <v>0.02</v>
      </c>
      <c r="L74" s="18">
        <f>IF(ISNUMBER(J74), $B91 * K74, "")</f>
        <v>2000</v>
      </c>
      <c r="M74" s="31">
        <v>149</v>
      </c>
      <c r="N74" s="32">
        <f t="shared" si="33"/>
        <v>-6.6666666666666671E-3</v>
      </c>
      <c r="O74" s="18">
        <f>IF(ISNUMBER(M74), $B91 * N74, "")</f>
        <v>-666.66666666666674</v>
      </c>
      <c r="Q74" s="227"/>
      <c r="R74" s="227"/>
      <c r="S74" s="227"/>
    </row>
    <row r="75" spans="1:19" ht="17.25" thickBot="1">
      <c r="A75" s="127" t="s">
        <v>65</v>
      </c>
      <c r="B75" s="128">
        <v>101</v>
      </c>
      <c r="C75" s="78">
        <v>5.4279749500000002E-2</v>
      </c>
      <c r="D75" s="20">
        <v>96.7</v>
      </c>
      <c r="E75" s="21">
        <f t="shared" si="30"/>
        <v>-4.2574257425742543E-2</v>
      </c>
      <c r="F75" s="22">
        <f>IF(ISNUMBER(D75), $B91 * E75, "")</f>
        <v>-4257.4257425742544</v>
      </c>
      <c r="G75" s="30">
        <v>94.8</v>
      </c>
      <c r="H75" s="21">
        <f t="shared" si="31"/>
        <v>-6.1386138613861413E-2</v>
      </c>
      <c r="I75" s="105">
        <f>IF(ISNUMBER(G75), $B91 * H75, "")</f>
        <v>-6138.6138613861413</v>
      </c>
      <c r="J75" s="20">
        <v>93.3</v>
      </c>
      <c r="K75" s="21">
        <f t="shared" si="32"/>
        <v>-7.6237623762376264E-2</v>
      </c>
      <c r="L75" s="22">
        <f>IF(ISNUMBER(J75), $B91 * K75, "")</f>
        <v>-7623.7623762376261</v>
      </c>
      <c r="M75" s="30">
        <v>88.4</v>
      </c>
      <c r="N75" s="21">
        <f t="shared" si="33"/>
        <v>-0.1247524752475247</v>
      </c>
      <c r="O75" s="22">
        <f>IF(ISNUMBER(M75), $B91 * N75, "")</f>
        <v>-12475.247524752469</v>
      </c>
      <c r="Q75" s="227"/>
      <c r="R75" s="227"/>
      <c r="S75" s="227"/>
    </row>
    <row r="76" spans="1:19" ht="17.25" thickBot="1">
      <c r="A76" s="125" t="s">
        <v>80</v>
      </c>
      <c r="B76" s="129">
        <v>976</v>
      </c>
      <c r="C76" s="80">
        <v>4.9462365600000002E-2</v>
      </c>
      <c r="D76" s="106">
        <v>987</v>
      </c>
      <c r="E76" s="107">
        <f>IF(ISNUMBER(D76), (D76 - $B76) / $B76, "")</f>
        <v>1.1270491803278689E-2</v>
      </c>
      <c r="F76" s="108">
        <f>IF(ISNUMBER(D76), $B91 * E76, "")</f>
        <v>1127.049180327869</v>
      </c>
      <c r="G76" s="109">
        <v>952</v>
      </c>
      <c r="H76" s="107">
        <f>IF(ISNUMBER(G76), (G76 - $B76) / $B76, "")</f>
        <v>-2.4590163934426229E-2</v>
      </c>
      <c r="I76" s="110">
        <f>IF(ISNUMBER(G76), $B91 * H76, "")</f>
        <v>-2459.0163934426228</v>
      </c>
      <c r="J76" s="106">
        <v>956</v>
      </c>
      <c r="K76" s="107">
        <f>IF(ISNUMBER(J76), (J76 - $B76) / $B76, "")</f>
        <v>-2.0491803278688523E-2</v>
      </c>
      <c r="L76" s="108">
        <f>IF(ISNUMBER(J76), $B91 * K76, "")</f>
        <v>-2049.1803278688521</v>
      </c>
      <c r="M76" s="109">
        <v>923</v>
      </c>
      <c r="N76" s="107">
        <f>IF(ISNUMBER(M76), (M76 - $B76) / $B76, "")</f>
        <v>-5.4303278688524588E-2</v>
      </c>
      <c r="O76" s="108">
        <f>IF(ISNUMBER(M76), $B91 * N76, "")</f>
        <v>-5430.3278688524588</v>
      </c>
      <c r="Q76" s="227"/>
      <c r="R76" s="227"/>
      <c r="S76" s="227"/>
    </row>
    <row r="77" spans="1:19" ht="17.25" thickBot="1">
      <c r="A77" s="125" t="s">
        <v>254</v>
      </c>
      <c r="B77" s="126">
        <v>444</v>
      </c>
      <c r="C77" s="77">
        <v>4.7169811300000003E-2</v>
      </c>
      <c r="D77" s="15">
        <v>445</v>
      </c>
      <c r="E77" s="32">
        <f t="shared" ref="E77:E80" si="34">IF(ISNUMBER(D77), (D77 - $B77) / $B77, "")</f>
        <v>2.2522522522522522E-3</v>
      </c>
      <c r="F77" s="18">
        <f>IF(ISNUMBER(D77), $B91 * E77, "")</f>
        <v>225.22522522522522</v>
      </c>
      <c r="G77" s="31">
        <v>426</v>
      </c>
      <c r="H77" s="32">
        <f t="shared" ref="H77:H80" si="35">IF(ISNUMBER(G77), (G77 - $B77) / $B77, "")</f>
        <v>-4.0540540540540543E-2</v>
      </c>
      <c r="I77" s="101">
        <f>IF(ISNUMBER(G77), $B91 * H77, "")</f>
        <v>-4054.0540540540542</v>
      </c>
      <c r="J77" s="15">
        <v>426</v>
      </c>
      <c r="K77" s="32">
        <f t="shared" ref="K77:K80" si="36">IF(ISNUMBER(J77), (J77 - $B77) / $B77, "")</f>
        <v>-4.0540540540540543E-2</v>
      </c>
      <c r="L77" s="18">
        <f>IF(ISNUMBER(J77), $B91 * K77, "")</f>
        <v>-4054.0540540540542</v>
      </c>
      <c r="M77" s="31">
        <v>418</v>
      </c>
      <c r="N77" s="32">
        <f t="shared" ref="N77:N80" si="37">IF(ISNUMBER(M77), (M77 - $B77) / $B77, "")</f>
        <v>-5.8558558558558557E-2</v>
      </c>
      <c r="O77" s="18">
        <f>IF(ISNUMBER(M77), $B91 * N77, "")</f>
        <v>-5855.8558558558561</v>
      </c>
      <c r="Q77" s="227"/>
      <c r="R77" s="227"/>
      <c r="S77" s="227"/>
    </row>
    <row r="78" spans="1:19" ht="17.25" thickBot="1">
      <c r="A78" s="125" t="s">
        <v>230</v>
      </c>
      <c r="B78" s="126">
        <v>360</v>
      </c>
      <c r="C78" s="77">
        <v>4.6511627899999998E-2</v>
      </c>
      <c r="D78" s="15">
        <v>365</v>
      </c>
      <c r="E78" s="32">
        <f t="shared" si="34"/>
        <v>1.3888888888888888E-2</v>
      </c>
      <c r="F78" s="18">
        <f>IF(ISNUMBER(D78), $B91 * E78, "")</f>
        <v>1388.8888888888889</v>
      </c>
      <c r="G78" s="31">
        <v>350</v>
      </c>
      <c r="H78" s="32">
        <f t="shared" si="35"/>
        <v>-2.7777777777777776E-2</v>
      </c>
      <c r="I78" s="101">
        <f>IF(ISNUMBER(G78), $B91 * H78, "")</f>
        <v>-2777.7777777777778</v>
      </c>
      <c r="J78" s="15">
        <v>348</v>
      </c>
      <c r="K78" s="32">
        <f t="shared" si="36"/>
        <v>-3.3333333333333333E-2</v>
      </c>
      <c r="L78" s="18">
        <f>IF(ISNUMBER(J78), $B91 * K78, "")</f>
        <v>-3333.3333333333335</v>
      </c>
      <c r="M78" s="31">
        <v>334</v>
      </c>
      <c r="N78" s="32">
        <f t="shared" si="37"/>
        <v>-7.2222222222222215E-2</v>
      </c>
      <c r="O78" s="18">
        <f>IF(ISNUMBER(M78), $B91 * N78, "")</f>
        <v>-7222.2222222222217</v>
      </c>
      <c r="Q78" s="227"/>
      <c r="R78" s="227"/>
      <c r="S78" s="227"/>
    </row>
    <row r="79" spans="1:19" ht="17.25" thickBot="1">
      <c r="A79" s="125" t="s">
        <v>118</v>
      </c>
      <c r="B79" s="126">
        <v>216</v>
      </c>
      <c r="C79" s="77">
        <v>4.3478260900000003E-2</v>
      </c>
      <c r="D79" s="15">
        <v>219</v>
      </c>
      <c r="E79" s="32">
        <f t="shared" si="34"/>
        <v>1.3888888888888888E-2</v>
      </c>
      <c r="F79" s="18">
        <f>IF(ISNUMBER(D79), $B91 * E79, "")</f>
        <v>1388.8888888888889</v>
      </c>
      <c r="G79" s="31">
        <v>213</v>
      </c>
      <c r="H79" s="32">
        <f t="shared" si="35"/>
        <v>-1.3888888888888888E-2</v>
      </c>
      <c r="I79" s="101">
        <f>IF(ISNUMBER(G79), $B91 * H79, "")</f>
        <v>-1388.8888888888889</v>
      </c>
      <c r="J79" s="15">
        <v>215</v>
      </c>
      <c r="K79" s="32">
        <f t="shared" si="36"/>
        <v>-4.6296296296296294E-3</v>
      </c>
      <c r="L79" s="18">
        <f>IF(ISNUMBER(J79), $B91 * K79, "")</f>
        <v>-462.96296296296293</v>
      </c>
      <c r="M79" s="31">
        <v>210</v>
      </c>
      <c r="N79" s="32">
        <f t="shared" si="37"/>
        <v>-2.7777777777777776E-2</v>
      </c>
      <c r="O79" s="18">
        <f>IF(ISNUMBER(M79), $B91 * N79, "")</f>
        <v>-2777.7777777777778</v>
      </c>
      <c r="Q79" s="33"/>
      <c r="R79" s="33"/>
    </row>
    <row r="80" spans="1:19" ht="17.25" thickBot="1">
      <c r="A80" s="130" t="s">
        <v>174</v>
      </c>
      <c r="B80" s="131">
        <v>454</v>
      </c>
      <c r="C80" s="79">
        <v>3.8901601799999998E-2</v>
      </c>
      <c r="D80" s="24">
        <v>460</v>
      </c>
      <c r="E80" s="25">
        <f t="shared" si="34"/>
        <v>1.3215859030837005E-2</v>
      </c>
      <c r="F80" s="104">
        <f>IF(ISNUMBER(D80), $B91 * E80, "")</f>
        <v>1321.5859030837005</v>
      </c>
      <c r="G80" s="102">
        <v>436</v>
      </c>
      <c r="H80" s="25">
        <f t="shared" si="35"/>
        <v>-3.9647577092511016E-2</v>
      </c>
      <c r="I80" s="103">
        <f>IF(ISNUMBER(G80), $B91 * H80, "")</f>
        <v>-3964.7577092511015</v>
      </c>
      <c r="J80" s="24">
        <v>444</v>
      </c>
      <c r="K80" s="25">
        <f t="shared" si="36"/>
        <v>-2.2026431718061675E-2</v>
      </c>
      <c r="L80" s="104">
        <f>IF(ISNUMBER(J80), $B91 * K80, "")</f>
        <v>-2202.6431718061676</v>
      </c>
      <c r="M80" s="102">
        <v>486</v>
      </c>
      <c r="N80" s="25">
        <f t="shared" si="37"/>
        <v>7.0484581497797363E-2</v>
      </c>
      <c r="O80" s="104">
        <f>IF(ISNUMBER(M80), $B91 * N80, "")</f>
        <v>7048.4581497797362</v>
      </c>
      <c r="Q80" s="236"/>
      <c r="R80" s="237"/>
      <c r="S80" s="238"/>
    </row>
    <row r="81" spans="1:19">
      <c r="A81" s="123" t="s">
        <v>162</v>
      </c>
      <c r="B81" s="124">
        <v>115</v>
      </c>
      <c r="C81" s="76">
        <v>3.6036036E-2</v>
      </c>
      <c r="D81" s="13">
        <v>117</v>
      </c>
      <c r="E81" s="14">
        <f>IF(ISNUMBER(D81), (D81 - $B81) / $B81, "")</f>
        <v>1.7391304347826087E-2</v>
      </c>
      <c r="F81" s="16">
        <f>IF(ISNUMBER(D81), $B91 * E81, "")</f>
        <v>1739.1304347826087</v>
      </c>
      <c r="G81" s="29">
        <v>113</v>
      </c>
      <c r="H81" s="14">
        <f>IF(ISNUMBER(G81), (G81 - $B81) / $B81, "")</f>
        <v>-1.7391304347826087E-2</v>
      </c>
      <c r="I81" s="100">
        <f>IF(ISNUMBER(G81), $B91 * H81, "")</f>
        <v>-1739.1304347826087</v>
      </c>
      <c r="J81" s="13">
        <v>113</v>
      </c>
      <c r="K81" s="14">
        <f>IF(ISNUMBER(J81), (J81 - $B81) / $B81, "")</f>
        <v>-1.7391304347826087E-2</v>
      </c>
      <c r="L81" s="16">
        <f>IF(ISNUMBER(J81), $B91 * K81, "")</f>
        <v>-1739.1304347826087</v>
      </c>
      <c r="M81" s="29">
        <v>108</v>
      </c>
      <c r="N81" s="14">
        <f>IF(ISNUMBER(M81), (M81 - $B81) / $B81, "")</f>
        <v>-6.0869565217391307E-2</v>
      </c>
      <c r="O81" s="16">
        <f>IF(ISNUMBER(M81), $B91 * N81, "")</f>
        <v>-6086.9565217391309</v>
      </c>
      <c r="Q81" s="239"/>
      <c r="R81" s="240"/>
      <c r="S81" s="241"/>
    </row>
    <row r="82" spans="1:19" ht="17.25" thickBot="1">
      <c r="A82" s="125" t="s">
        <v>132</v>
      </c>
      <c r="B82" s="126">
        <v>129</v>
      </c>
      <c r="C82" s="77">
        <v>3.2000000000000001E-2</v>
      </c>
      <c r="D82" s="15">
        <v>141</v>
      </c>
      <c r="E82" s="32">
        <f t="shared" ref="E82:E85" si="38">IF(ISNUMBER(D82), (D82 - $B82) / $B82, "")</f>
        <v>9.3023255813953487E-2</v>
      </c>
      <c r="F82" s="18">
        <f>IF(ISNUMBER(D82), $B91 * E82, "")</f>
        <v>9302.3255813953492</v>
      </c>
      <c r="G82" s="31">
        <v>138</v>
      </c>
      <c r="H82" s="32">
        <f t="shared" ref="H82:H85" si="39">IF(ISNUMBER(G82), (G82 - $B82) / $B82, "")</f>
        <v>6.9767441860465115E-2</v>
      </c>
      <c r="I82" s="101">
        <f>IF(ISNUMBER(G82), $B91 * H82, "")</f>
        <v>6976.7441860465115</v>
      </c>
      <c r="J82" s="15">
        <v>142</v>
      </c>
      <c r="K82" s="32">
        <f t="shared" ref="K82:K85" si="40">IF(ISNUMBER(J82), (J82 - $B82) / $B82, "")</f>
        <v>0.10077519379844961</v>
      </c>
      <c r="L82" s="18">
        <f>IF(ISNUMBER(J82), $B91 * K82, "")</f>
        <v>10077.519379844962</v>
      </c>
      <c r="M82" s="31">
        <v>131</v>
      </c>
      <c r="N82" s="32">
        <f t="shared" ref="N82:N85" si="41">IF(ISNUMBER(M82), (M82 - $B82) / $B82, "")</f>
        <v>1.5503875968992248E-2</v>
      </c>
      <c r="O82" s="18">
        <f>IF(ISNUMBER(M82), $B91 * N82, "")</f>
        <v>1550.3875968992247</v>
      </c>
      <c r="Q82" s="242"/>
      <c r="R82" s="243"/>
      <c r="S82" s="244"/>
    </row>
    <row r="83" spans="1:19" ht="17.25" thickBot="1">
      <c r="A83" s="125" t="s">
        <v>194</v>
      </c>
      <c r="B83" s="126">
        <v>138</v>
      </c>
      <c r="C83" s="77">
        <v>2.9850746300000001E-2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133</v>
      </c>
      <c r="H83" s="32">
        <f t="shared" si="39"/>
        <v>-3.6231884057971016E-2</v>
      </c>
      <c r="I83" s="101">
        <f>IF(ISNUMBER(G83), $B91 * H83, "")</f>
        <v>-3623.1884057971015</v>
      </c>
      <c r="J83" s="15">
        <v>135</v>
      </c>
      <c r="K83" s="32">
        <f t="shared" si="40"/>
        <v>-2.1739130434782608E-2</v>
      </c>
      <c r="L83" s="18">
        <f>IF(ISNUMBER(J83), $B91 * K83, "")</f>
        <v>-2173.913043478261</v>
      </c>
      <c r="M83" s="31">
        <v>131</v>
      </c>
      <c r="N83" s="32">
        <f t="shared" si="41"/>
        <v>-5.0724637681159424E-2</v>
      </c>
      <c r="O83" s="18">
        <f>IF(ISNUMBER(M83), $B91 * N83, "")</f>
        <v>-5072.463768115942</v>
      </c>
      <c r="Q83" s="227"/>
      <c r="R83" s="227"/>
      <c r="S83" s="227"/>
    </row>
    <row r="84" spans="1:19" ht="17.25" thickBot="1">
      <c r="A84" s="125" t="s">
        <v>114</v>
      </c>
      <c r="B84" s="126">
        <v>983</v>
      </c>
      <c r="C84" s="77">
        <v>2.7168234100000001E-2</v>
      </c>
      <c r="D84" s="15">
        <v>1000</v>
      </c>
      <c r="E84" s="32">
        <f t="shared" si="38"/>
        <v>1.7293997965412006E-2</v>
      </c>
      <c r="F84" s="18">
        <f>IF(ISNUMBER(D84), $B91 * E84, "")</f>
        <v>1729.3997965412007</v>
      </c>
      <c r="G84" s="31">
        <v>978</v>
      </c>
      <c r="H84" s="32">
        <f t="shared" si="39"/>
        <v>-5.0864699898270603E-3</v>
      </c>
      <c r="I84" s="101">
        <f>IF(ISNUMBER(G84), $B91 * H84, "")</f>
        <v>-508.64699898270601</v>
      </c>
      <c r="J84" s="15">
        <v>983</v>
      </c>
      <c r="K84" s="32">
        <f t="shared" si="40"/>
        <v>0</v>
      </c>
      <c r="L84" s="18">
        <f>IF(ISNUMBER(J84), $B91 * K84, "")</f>
        <v>0</v>
      </c>
      <c r="M84" s="31">
        <v>948</v>
      </c>
      <c r="N84" s="32">
        <f t="shared" si="41"/>
        <v>-3.5605289928789419E-2</v>
      </c>
      <c r="O84" s="18">
        <f>IF(ISNUMBER(M84), $B91 * N84, "")</f>
        <v>-3560.5289928789421</v>
      </c>
      <c r="Q84" s="222"/>
      <c r="R84" s="222"/>
      <c r="S84" s="222"/>
    </row>
    <row r="85" spans="1:19" ht="17.25" thickBot="1">
      <c r="A85" s="127" t="s">
        <v>86</v>
      </c>
      <c r="B85" s="128">
        <v>417</v>
      </c>
      <c r="C85" s="78">
        <v>2.7093596099999999E-2</v>
      </c>
      <c r="D85" s="20">
        <v>418</v>
      </c>
      <c r="E85" s="21">
        <f t="shared" si="38"/>
        <v>2.3980815347721821E-3</v>
      </c>
      <c r="F85" s="22">
        <f>IF(ISNUMBER(D85), $B91 * E85, "")</f>
        <v>239.80815347721821</v>
      </c>
      <c r="G85" s="30">
        <v>420</v>
      </c>
      <c r="H85" s="21">
        <f t="shared" si="39"/>
        <v>7.1942446043165471E-3</v>
      </c>
      <c r="I85" s="105">
        <f>IF(ISNUMBER(G85), $B91 * H85, "")</f>
        <v>719.42446043165467</v>
      </c>
      <c r="J85" s="20">
        <v>422</v>
      </c>
      <c r="K85" s="21">
        <f t="shared" si="40"/>
        <v>1.1990407673860911E-2</v>
      </c>
      <c r="L85" s="22">
        <f>IF(ISNUMBER(J85), $B91 * K85, "")</f>
        <v>1199.0407673860911</v>
      </c>
      <c r="M85" s="30">
        <v>398</v>
      </c>
      <c r="N85" s="21">
        <f t="shared" si="41"/>
        <v>-4.5563549160671464E-2</v>
      </c>
      <c r="O85" s="22">
        <f>IF(ISNUMBER(M85), $B91 * N85, "")</f>
        <v>-4556.3549160671464</v>
      </c>
      <c r="Q85" s="222"/>
      <c r="R85" s="222"/>
      <c r="S85" s="222"/>
    </row>
    <row r="86" spans="1:19" ht="17.25" thickBot="1">
      <c r="A86" s="125" t="s">
        <v>238</v>
      </c>
      <c r="B86" s="129">
        <v>131</v>
      </c>
      <c r="C86" s="80">
        <v>2.34375E-2</v>
      </c>
      <c r="D86" s="106">
        <v>135</v>
      </c>
      <c r="E86" s="107">
        <f>IF(ISNUMBER(D86), (D86 - $B86) / $B86, "")</f>
        <v>3.0534351145038167E-2</v>
      </c>
      <c r="F86" s="108">
        <f>IF(ISNUMBER(D86), $B91 * E86, "")</f>
        <v>3053.4351145038167</v>
      </c>
      <c r="G86" s="109">
        <v>134</v>
      </c>
      <c r="H86" s="107">
        <f>IF(ISNUMBER(G86), (G86 - $B86) / $B86, "")</f>
        <v>2.2900763358778626E-2</v>
      </c>
      <c r="I86" s="110">
        <f>IF(ISNUMBER(G86), $B91 * H86, "")</f>
        <v>2290.0763358778627</v>
      </c>
      <c r="J86" s="106">
        <v>131</v>
      </c>
      <c r="K86" s="107">
        <f>IF(ISNUMBER(J86), (J86 - $B86) / $B86, "")</f>
        <v>0</v>
      </c>
      <c r="L86" s="108">
        <f>IF(ISNUMBER(J86), $B91 * K86, "")</f>
        <v>0</v>
      </c>
      <c r="M86" s="109">
        <v>126</v>
      </c>
      <c r="N86" s="107">
        <f>IF(ISNUMBER(M86), (M86 - $B86) / $B86, "")</f>
        <v>-3.8167938931297711E-2</v>
      </c>
      <c r="O86" s="108">
        <f>IF(ISNUMBER(M86), $B91 * N86, "")</f>
        <v>-3816.7938931297713</v>
      </c>
      <c r="Q86" s="227"/>
      <c r="R86" s="227"/>
      <c r="S86" s="227"/>
    </row>
    <row r="87" spans="1:19" ht="17.25" thickBot="1">
      <c r="A87" s="125" t="s">
        <v>54</v>
      </c>
      <c r="B87" s="126">
        <v>395</v>
      </c>
      <c r="C87" s="77">
        <v>2.3316062200000001E-2</v>
      </c>
      <c r="D87" s="15">
        <v>399</v>
      </c>
      <c r="E87" s="32">
        <f t="shared" ref="E87:E90" si="42">IF(ISNUMBER(D87), (D87 - $B87) / $B87, "")</f>
        <v>1.0126582278481013E-2</v>
      </c>
      <c r="F87" s="18">
        <f>IF(ISNUMBER(D87), $B91 * E87, "")</f>
        <v>1012.6582278481013</v>
      </c>
      <c r="G87" s="31">
        <v>387</v>
      </c>
      <c r="H87" s="32">
        <f t="shared" ref="H87:H90" si="43">IF(ISNUMBER(G87), (G87 - $B87) / $B87, "")</f>
        <v>-2.0253164556962026E-2</v>
      </c>
      <c r="I87" s="101">
        <f>IF(ISNUMBER(G87), $B91 * H87, "")</f>
        <v>-2025.3164556962026</v>
      </c>
      <c r="J87" s="15">
        <v>387</v>
      </c>
      <c r="K87" s="32">
        <f t="shared" ref="K87:K90" si="44">IF(ISNUMBER(J87), (J87 - $B87) / $B87, "")</f>
        <v>-2.0253164556962026E-2</v>
      </c>
      <c r="L87" s="18">
        <f>IF(ISNUMBER(J87), $B91 * K87, "")</f>
        <v>-2025.3164556962026</v>
      </c>
      <c r="M87" s="31">
        <v>366</v>
      </c>
      <c r="N87" s="32">
        <f t="shared" ref="N87:N90" si="45">IF(ISNUMBER(M87), (M87 - $B87) / $B87, "")</f>
        <v>-7.3417721518987344E-2</v>
      </c>
      <c r="O87" s="18">
        <f>IF(ISNUMBER(M87), $B91 * N87, "")</f>
        <v>-7341.7721518987346</v>
      </c>
      <c r="Q87" s="227"/>
      <c r="R87" s="227"/>
      <c r="S87" s="227"/>
    </row>
    <row r="88" spans="1:19" ht="17.25" thickBot="1">
      <c r="A88" s="125" t="s">
        <v>110</v>
      </c>
      <c r="B88" s="126">
        <v>192</v>
      </c>
      <c r="C88" s="77">
        <v>2.1276595700000001E-2</v>
      </c>
      <c r="D88" s="15">
        <v>203</v>
      </c>
      <c r="E88" s="32">
        <f t="shared" si="42"/>
        <v>5.7291666666666664E-2</v>
      </c>
      <c r="F88" s="18">
        <f>IF(ISNUMBER(D88), $B91 * E88, "")</f>
        <v>5729.1666666666661</v>
      </c>
      <c r="G88" s="31">
        <v>190</v>
      </c>
      <c r="H88" s="32">
        <f t="shared" si="43"/>
        <v>-1.0416666666666666E-2</v>
      </c>
      <c r="I88" s="101">
        <f>IF(ISNUMBER(G88), $B91 * H88, "")</f>
        <v>-1041.6666666666665</v>
      </c>
      <c r="J88" s="15">
        <v>193</v>
      </c>
      <c r="K88" s="32">
        <f t="shared" si="44"/>
        <v>5.208333333333333E-3</v>
      </c>
      <c r="L88" s="18">
        <f>IF(ISNUMBER(J88), $B91 * K88, "")</f>
        <v>520.83333333333326</v>
      </c>
      <c r="M88" s="31">
        <v>188</v>
      </c>
      <c r="N88" s="32">
        <f t="shared" si="45"/>
        <v>-2.0833333333333332E-2</v>
      </c>
      <c r="O88" s="18">
        <f>IF(ISNUMBER(M88), $B91 * N88, "")</f>
        <v>-2083.333333333333</v>
      </c>
      <c r="Q88" s="227"/>
      <c r="R88" s="227"/>
      <c r="S88" s="227"/>
    </row>
    <row r="89" spans="1:19">
      <c r="A89" s="125" t="s">
        <v>236</v>
      </c>
      <c r="B89" s="126">
        <v>728</v>
      </c>
      <c r="C89" s="77">
        <v>2.10378682E-2</v>
      </c>
      <c r="D89" s="15">
        <v>770</v>
      </c>
      <c r="E89" s="32">
        <f t="shared" si="42"/>
        <v>5.7692307692307696E-2</v>
      </c>
      <c r="F89" s="18">
        <f>IF(ISNUMBER(D89), $B91 * E89, "")</f>
        <v>5769.2307692307695</v>
      </c>
      <c r="G89" s="31">
        <v>731</v>
      </c>
      <c r="H89" s="32">
        <f t="shared" si="43"/>
        <v>4.120879120879121E-3</v>
      </c>
      <c r="I89" s="101">
        <f>IF(ISNUMBER(G89), $B91 * H89, "")</f>
        <v>412.08791208791212</v>
      </c>
      <c r="J89" s="15">
        <v>756</v>
      </c>
      <c r="K89" s="32">
        <f t="shared" si="44"/>
        <v>3.8461538461538464E-2</v>
      </c>
      <c r="L89" s="18">
        <f>IF(ISNUMBER(J89), $B91 * K89, "")</f>
        <v>3846.1538461538462</v>
      </c>
      <c r="M89" s="31">
        <v>725</v>
      </c>
      <c r="N89" s="32">
        <f t="shared" si="45"/>
        <v>-4.120879120879121E-3</v>
      </c>
      <c r="O89" s="18">
        <f>IF(ISNUMBER(M89), $B91 * N89, "")</f>
        <v>-412.08791208791212</v>
      </c>
      <c r="Q89" s="249"/>
      <c r="R89" s="250"/>
      <c r="S89" s="251"/>
    </row>
    <row r="90" spans="1:19" ht="17.25" thickBot="1">
      <c r="A90" s="130" t="s">
        <v>128</v>
      </c>
      <c r="B90" s="131">
        <v>147</v>
      </c>
      <c r="C90" s="79">
        <v>2.08333333E-2</v>
      </c>
      <c r="D90" s="24">
        <v>151</v>
      </c>
      <c r="E90" s="25">
        <f t="shared" si="42"/>
        <v>2.7210884353741496E-2</v>
      </c>
      <c r="F90" s="104">
        <f>IF(ISNUMBER(D90), $B91 * E90, "")</f>
        <v>2721.0884353741494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147</v>
      </c>
      <c r="K90" s="25">
        <f t="shared" si="44"/>
        <v>0</v>
      </c>
      <c r="L90" s="104">
        <f>IF(ISNUMBER(J90), $B91 * K90, "")</f>
        <v>0</v>
      </c>
      <c r="M90" s="102">
        <v>139</v>
      </c>
      <c r="N90" s="25">
        <f t="shared" si="45"/>
        <v>-5.4421768707482991E-2</v>
      </c>
      <c r="O90" s="104">
        <f>IF(ISNUMBER(M90), $B91 * N90, "")</f>
        <v>-5442.1768707482988</v>
      </c>
      <c r="Q90" s="252"/>
      <c r="R90" s="253"/>
      <c r="S90" s="254"/>
    </row>
    <row r="91" spans="1:19" ht="17.25" thickBot="1">
      <c r="A91" s="132" t="s">
        <v>270</v>
      </c>
      <c r="B91" s="260">
        <f>$B$37</f>
        <v>100000</v>
      </c>
      <c r="C91" s="261"/>
      <c r="D91" s="26" t="s">
        <v>271</v>
      </c>
      <c r="E91" s="27">
        <f>IF(COUNT(E71:E90), SUM(E71:E90) / COUNT(E71:E90), 0)</f>
        <v>1.4223439883224626E-2</v>
      </c>
      <c r="F91" s="28">
        <f>SUM(F71:F90)</f>
        <v>28446.879766449256</v>
      </c>
      <c r="G91" s="26" t="s">
        <v>271</v>
      </c>
      <c r="H91" s="27">
        <f>IF(COUNT(H71:H90), SUM(H71:H90) / COUNT(H71:H90), 0)</f>
        <v>-1.9537953420724639E-2</v>
      </c>
      <c r="I91" s="28">
        <f>SUM(I71:I90)</f>
        <v>-39075.906841449265</v>
      </c>
      <c r="J91" s="26" t="s">
        <v>271</v>
      </c>
      <c r="K91" s="27">
        <f>IF(COUNT(K71:K90), SUM(K71:K90) / COUNT(K71:K90), 0)</f>
        <v>-1.1884434657815869E-2</v>
      </c>
      <c r="L91" s="28">
        <f>SUM(L71:L90)</f>
        <v>-23768.869315631731</v>
      </c>
      <c r="M91" s="26" t="s">
        <v>271</v>
      </c>
      <c r="N91" s="27">
        <f>IF(COUNT(N71:N90), SUM(N71:N90) / COUNT(N71:N90), 0)</f>
        <v>-4.5507790567334616E-2</v>
      </c>
      <c r="O91" s="28">
        <f>SUM(O71:O90)</f>
        <v>-91015.581134669221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93" t="s">
        <v>267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55149000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2.1442459999999998E-3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2021-09-10(금) 오전 00:00</v>
      </c>
      <c r="C96" s="265"/>
      <c r="D96" s="224" t="str">
        <f>TEXT($G$1, "[$-ko-KR]yyyy-mm-dd(ddd) ") &amp; "오후 14:00"</f>
        <v>2021-09-10(금) 오후 14:00</v>
      </c>
      <c r="E96" s="225"/>
      <c r="F96" s="226"/>
      <c r="G96" s="224" t="str">
        <f>TEXT($G$1, "[$-ko-KR]yyyy-mm-dd(ddd) ") &amp; "오후 19:00"</f>
        <v>2021-09-10(금) 오후 19:00</v>
      </c>
      <c r="H96" s="225"/>
      <c r="I96" s="226"/>
      <c r="J96" s="224" t="str">
        <f>TEXT($G$1, "[$-ko-KR]yyyy-mm-dd(ddd) ") &amp; "오후 21:00"</f>
        <v>2021-09-10(금) 오후 21:00</v>
      </c>
      <c r="K96" s="225"/>
      <c r="L96" s="226"/>
      <c r="M96" s="224" t="str">
        <f>TEXT($G$1+1, "[$-ko-KR]yyyy-mm-dd(ddd) ") &amp; "오전 00:00"</f>
        <v>2021-09-11(토)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7"/>
      <c r="R97" s="227"/>
      <c r="S97" s="227"/>
    </row>
    <row r="98" spans="1:19" ht="17.25" thickBot="1">
      <c r="A98" s="123" t="s">
        <v>69</v>
      </c>
      <c r="B98" s="124">
        <v>13490</v>
      </c>
      <c r="C98" s="76">
        <v>0.2595704949</v>
      </c>
      <c r="D98" s="13">
        <v>13070</v>
      </c>
      <c r="E98" s="14">
        <f>IF(ISNUMBER(D98), (D98 - $B98) / $B98, "")</f>
        <v>-3.1134173461823574E-2</v>
      </c>
      <c r="F98" s="16">
        <f>IF(ISNUMBER(D98), $B118 * E98, "")</f>
        <v>-3113.4173461823575</v>
      </c>
      <c r="G98" s="29">
        <v>12540</v>
      </c>
      <c r="H98" s="14">
        <f>IF(ISNUMBER(G98), (G98 - $B98) / $B98, "")</f>
        <v>-7.0422535211267609E-2</v>
      </c>
      <c r="I98" s="100">
        <f>IF(ISNUMBER(G98), $B118 * H98, "")</f>
        <v>-7042.2535211267605</v>
      </c>
      <c r="J98" s="13">
        <v>12480</v>
      </c>
      <c r="K98" s="14">
        <f>IF(ISNUMBER(J98), (J98 - $B98) / $B98, "")</f>
        <v>-7.4870274277242396E-2</v>
      </c>
      <c r="L98" s="16">
        <f>IF(ISNUMBER(J98), $B118 * K98, "")</f>
        <v>-7487.0274277242397</v>
      </c>
      <c r="M98" s="29">
        <v>11960</v>
      </c>
      <c r="N98" s="14">
        <f>IF(ISNUMBER(M98), (M98 - $B98) / $B98, "")</f>
        <v>-0.1134173461823573</v>
      </c>
      <c r="O98" s="16">
        <f>IF(ISNUMBER(M98), $B118 * N98, "")</f>
        <v>-11341.734618235731</v>
      </c>
      <c r="Q98" s="222"/>
      <c r="R98" s="222"/>
      <c r="S98" s="222"/>
    </row>
    <row r="99" spans="1:19" ht="17.25" thickBot="1">
      <c r="A99" s="125" t="s">
        <v>74</v>
      </c>
      <c r="B99" s="126">
        <v>31420</v>
      </c>
      <c r="C99" s="77">
        <v>0.25329078579999997</v>
      </c>
      <c r="D99" s="15">
        <v>32900</v>
      </c>
      <c r="E99" s="32">
        <f t="shared" ref="E99:E102" si="46">IF(ISNUMBER(D99), (D99 - $B99) / $B99, "")</f>
        <v>4.7103755569700825E-2</v>
      </c>
      <c r="F99" s="18">
        <f>IF(ISNUMBER(D99), $B118 * E99, "")</f>
        <v>4710.3755569700825</v>
      </c>
      <c r="G99" s="31">
        <v>31490</v>
      </c>
      <c r="H99" s="32">
        <f t="shared" ref="H99:H102" si="47">IF(ISNUMBER(G99), (G99 - $B99) / $B99, "")</f>
        <v>2.2278803309993636E-3</v>
      </c>
      <c r="I99" s="101">
        <f>IF(ISNUMBER(G99), $B118 * H99, "")</f>
        <v>222.78803309993634</v>
      </c>
      <c r="J99" s="15">
        <v>34060</v>
      </c>
      <c r="K99" s="32">
        <f t="shared" ref="K99:K102" si="48">IF(ISNUMBER(J99), (J99 - $B99) / $B99, "")</f>
        <v>8.4022915340547427E-2</v>
      </c>
      <c r="L99" s="18">
        <f>IF(ISNUMBER(J99), $B118 * K99, "")</f>
        <v>8402.2915340547424</v>
      </c>
      <c r="M99" s="31">
        <v>31320</v>
      </c>
      <c r="N99" s="32">
        <f t="shared" ref="N99:N102" si="49">IF(ISNUMBER(M99), (M99 - $B99) / $B99, "")</f>
        <v>-3.1826861871419479E-3</v>
      </c>
      <c r="O99" s="18">
        <f>IF(ISNUMBER(M99), $B118 * N99, "")</f>
        <v>-318.26861871419482</v>
      </c>
      <c r="Q99" s="222"/>
      <c r="R99" s="222"/>
      <c r="S99" s="222"/>
    </row>
    <row r="100" spans="1:19" ht="17.25" thickBot="1">
      <c r="A100" s="125" t="s">
        <v>158</v>
      </c>
      <c r="B100" s="126">
        <v>39980</v>
      </c>
      <c r="C100" s="77">
        <v>0.20457969270000001</v>
      </c>
      <c r="D100" s="15">
        <v>37300</v>
      </c>
      <c r="E100" s="32">
        <f t="shared" si="46"/>
        <v>-6.7033516758379194E-2</v>
      </c>
      <c r="F100" s="18">
        <f>IF(ISNUMBER(D100), $B118 * E100, "")</f>
        <v>-6703.3516758379192</v>
      </c>
      <c r="G100" s="31">
        <v>36090</v>
      </c>
      <c r="H100" s="32">
        <f t="shared" si="47"/>
        <v>-9.7298649324662326E-2</v>
      </c>
      <c r="I100" s="101">
        <f>IF(ISNUMBER(G100), $B118 * H100, "")</f>
        <v>-9729.8649324662329</v>
      </c>
      <c r="J100" s="15">
        <v>36410</v>
      </c>
      <c r="K100" s="32">
        <f t="shared" si="48"/>
        <v>-8.9294647323661824E-2</v>
      </c>
      <c r="L100" s="18">
        <f>IF(ISNUMBER(J100), $B118 * K100, "")</f>
        <v>-8929.4647323661829</v>
      </c>
      <c r="M100" s="31">
        <v>35050</v>
      </c>
      <c r="N100" s="32">
        <f t="shared" si="49"/>
        <v>-0.12331165582791395</v>
      </c>
      <c r="O100" s="18">
        <f>IF(ISNUMBER(M100), $B118 * N100, "")</f>
        <v>-12331.165582791395</v>
      </c>
      <c r="Q100" s="227"/>
      <c r="R100" s="227"/>
      <c r="S100" s="227"/>
    </row>
    <row r="101" spans="1:19" ht="17.25" thickBot="1">
      <c r="A101" s="125" t="s">
        <v>130</v>
      </c>
      <c r="B101" s="126">
        <v>176</v>
      </c>
      <c r="C101" s="77">
        <v>0.1891891892</v>
      </c>
      <c r="D101" s="15">
        <v>170</v>
      </c>
      <c r="E101" s="32">
        <f t="shared" si="46"/>
        <v>-3.4090909090909088E-2</v>
      </c>
      <c r="F101" s="18">
        <f>IF(ISNUMBER(D101), $B118 * E101, "")</f>
        <v>-3409.090909090909</v>
      </c>
      <c r="G101" s="31">
        <v>167</v>
      </c>
      <c r="H101" s="32">
        <f t="shared" si="47"/>
        <v>-5.113636363636364E-2</v>
      </c>
      <c r="I101" s="101">
        <f>IF(ISNUMBER(G101), $B118 * H101, "")</f>
        <v>-5113.636363636364</v>
      </c>
      <c r="J101" s="15">
        <v>169</v>
      </c>
      <c r="K101" s="32">
        <f t="shared" si="48"/>
        <v>-3.9772727272727272E-2</v>
      </c>
      <c r="L101" s="18">
        <f>IF(ISNUMBER(J101), $B118 * K101, "")</f>
        <v>-3977.272727272727</v>
      </c>
      <c r="M101" s="31">
        <v>162</v>
      </c>
      <c r="N101" s="32">
        <f t="shared" si="49"/>
        <v>-7.9545454545454544E-2</v>
      </c>
      <c r="O101" s="18">
        <f>IF(ISNUMBER(M101), $B118 * N101, "")</f>
        <v>-7954.545454545454</v>
      </c>
      <c r="Q101" s="227"/>
      <c r="R101" s="227"/>
      <c r="S101" s="227"/>
    </row>
    <row r="102" spans="1:19" ht="17.25" thickBot="1">
      <c r="A102" s="127" t="s">
        <v>204</v>
      </c>
      <c r="B102" s="128">
        <v>19.600000000000001</v>
      </c>
      <c r="C102" s="78">
        <v>0.18072289159999999</v>
      </c>
      <c r="D102" s="20">
        <v>19.8</v>
      </c>
      <c r="E102" s="21">
        <f t="shared" si="46"/>
        <v>1.0204081632653024E-2</v>
      </c>
      <c r="F102" s="22">
        <f>IF(ISNUMBER(D102), $B118 * E102, "")</f>
        <v>1020.4081632653024</v>
      </c>
      <c r="G102" s="30">
        <v>18.5</v>
      </c>
      <c r="H102" s="21">
        <f t="shared" si="47"/>
        <v>-5.6122448979591906E-2</v>
      </c>
      <c r="I102" s="105">
        <f>IF(ISNUMBER(G102), $B118 * H102, "")</f>
        <v>-5612.2448979591909</v>
      </c>
      <c r="J102" s="20">
        <v>18.7</v>
      </c>
      <c r="K102" s="21">
        <f t="shared" si="48"/>
        <v>-4.5918367346938882E-2</v>
      </c>
      <c r="L102" s="22">
        <f>IF(ISNUMBER(J102), $B118 * K102, "")</f>
        <v>-4591.8367346938885</v>
      </c>
      <c r="M102" s="30">
        <v>18</v>
      </c>
      <c r="N102" s="21">
        <f t="shared" si="49"/>
        <v>-8.1632653061224553E-2</v>
      </c>
      <c r="O102" s="22">
        <f>IF(ISNUMBER(M102), $B118 * N102, "")</f>
        <v>-8163.2653061224555</v>
      </c>
      <c r="Q102" s="227"/>
      <c r="R102" s="227"/>
      <c r="S102" s="227"/>
    </row>
    <row r="103" spans="1:19" ht="17.25" thickBot="1">
      <c r="A103" s="125" t="s">
        <v>108</v>
      </c>
      <c r="B103" s="129">
        <v>1930</v>
      </c>
      <c r="C103" s="80">
        <v>0.13196480939999999</v>
      </c>
      <c r="D103" s="106">
        <v>2430</v>
      </c>
      <c r="E103" s="107">
        <f>IF(ISNUMBER(D103), (D103 - $B103) / $B103, "")</f>
        <v>0.25906735751295334</v>
      </c>
      <c r="F103" s="108">
        <f>IF(ISNUMBER(D103), $B118 * E103, "")</f>
        <v>25906.735751295335</v>
      </c>
      <c r="G103" s="109">
        <v>2405</v>
      </c>
      <c r="H103" s="107">
        <f>IF(ISNUMBER(G103), (G103 - $B103) / $B103, "")</f>
        <v>0.24611398963730569</v>
      </c>
      <c r="I103" s="110">
        <f>IF(ISNUMBER(G103), $B118 * H103, "")</f>
        <v>24611.398963730568</v>
      </c>
      <c r="J103" s="106">
        <v>2310</v>
      </c>
      <c r="K103" s="107">
        <f>IF(ISNUMBER(J103), (J103 - $B103) / $B103, "")</f>
        <v>0.19689119170984457</v>
      </c>
      <c r="L103" s="108">
        <f>IF(ISNUMBER(J103), $B118 * K103, "")</f>
        <v>19689.119170984457</v>
      </c>
      <c r="M103" s="109">
        <v>2205</v>
      </c>
      <c r="N103" s="107">
        <f>IF(ISNUMBER(M103), (M103 - $B103) / $B103, "")</f>
        <v>0.14248704663212436</v>
      </c>
      <c r="O103" s="108">
        <f>IF(ISNUMBER(M103), $B118 * N103, "")</f>
        <v>14248.704663212437</v>
      </c>
      <c r="Q103" s="227"/>
      <c r="R103" s="227"/>
      <c r="S103" s="227"/>
    </row>
    <row r="104" spans="1:19" ht="17.25" thickBot="1">
      <c r="A104" s="125" t="s">
        <v>208</v>
      </c>
      <c r="B104" s="126">
        <v>15</v>
      </c>
      <c r="C104" s="77">
        <v>0.11111111110000001</v>
      </c>
      <c r="D104" s="15">
        <v>15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14.9</v>
      </c>
      <c r="H104" s="32">
        <f t="shared" ref="H104:H107" si="51">IF(ISNUMBER(G104), (G104 - $B104) / $B104, "")</f>
        <v>-6.6666666666666428E-3</v>
      </c>
      <c r="I104" s="101">
        <f>IF(ISNUMBER(G104), $B118 * H104, "")</f>
        <v>-666.66666666666424</v>
      </c>
      <c r="J104" s="15">
        <v>15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14.5</v>
      </c>
      <c r="N104" s="32">
        <f t="shared" ref="N104:N107" si="53">IF(ISNUMBER(M104), (M104 - $B104) / $B104, "")</f>
        <v>-3.3333333333333333E-2</v>
      </c>
      <c r="O104" s="18">
        <f>IF(ISNUMBER(M104), $B118 * N104, "")</f>
        <v>-3333.3333333333335</v>
      </c>
      <c r="Q104" s="227"/>
      <c r="R104" s="227"/>
      <c r="S104" s="227"/>
    </row>
    <row r="105" spans="1:19" ht="17.25" thickBot="1">
      <c r="A105" s="125" t="s">
        <v>96</v>
      </c>
      <c r="B105" s="126">
        <v>5770</v>
      </c>
      <c r="C105" s="77">
        <v>0.1011450382</v>
      </c>
      <c r="D105" s="15">
        <v>7280</v>
      </c>
      <c r="E105" s="32">
        <f t="shared" si="50"/>
        <v>0.26169844020797228</v>
      </c>
      <c r="F105" s="18">
        <f>IF(ISNUMBER(D105), $B118 * E105, "")</f>
        <v>26169.844020797227</v>
      </c>
      <c r="G105" s="31">
        <v>7230</v>
      </c>
      <c r="H105" s="32">
        <f t="shared" si="51"/>
        <v>0.2530329289428076</v>
      </c>
      <c r="I105" s="101">
        <f>IF(ISNUMBER(G105), $B118 * H105, "")</f>
        <v>25303.292894280759</v>
      </c>
      <c r="J105" s="15">
        <v>7330</v>
      </c>
      <c r="K105" s="32">
        <f t="shared" si="52"/>
        <v>0.27036395147313691</v>
      </c>
      <c r="L105" s="18">
        <f>IF(ISNUMBER(J105), $B118 * K105, "")</f>
        <v>27036.395147313691</v>
      </c>
      <c r="M105" s="31">
        <v>6835</v>
      </c>
      <c r="N105" s="32">
        <f t="shared" si="53"/>
        <v>0.18457538994800693</v>
      </c>
      <c r="O105" s="18">
        <f>IF(ISNUMBER(M105), $B118 * N105, "")</f>
        <v>18457.538994800692</v>
      </c>
      <c r="Q105" s="227"/>
      <c r="R105" s="227"/>
      <c r="S105" s="227"/>
    </row>
    <row r="106" spans="1:19" ht="17.25" thickBot="1">
      <c r="A106" s="125" t="s">
        <v>140</v>
      </c>
      <c r="B106" s="126">
        <v>10660</v>
      </c>
      <c r="C106" s="77">
        <v>9.7837281200000001E-2</v>
      </c>
      <c r="D106" s="15">
        <v>10850</v>
      </c>
      <c r="E106" s="32">
        <f t="shared" si="50"/>
        <v>1.7823639774859287E-2</v>
      </c>
      <c r="F106" s="18">
        <f>IF(ISNUMBER(D106), $B118 * E106, "")</f>
        <v>1782.3639774859287</v>
      </c>
      <c r="G106" s="31">
        <v>10270</v>
      </c>
      <c r="H106" s="32">
        <f t="shared" si="51"/>
        <v>-3.6585365853658534E-2</v>
      </c>
      <c r="I106" s="101">
        <f>IF(ISNUMBER(G106), $B118 * H106, "")</f>
        <v>-3658.5365853658536</v>
      </c>
      <c r="J106" s="15">
        <v>10260</v>
      </c>
      <c r="K106" s="32">
        <f t="shared" si="52"/>
        <v>-3.7523452157598502E-2</v>
      </c>
      <c r="L106" s="18">
        <f>IF(ISNUMBER(J106), $B118 * K106, "")</f>
        <v>-3752.3452157598504</v>
      </c>
      <c r="M106" s="31">
        <v>9715</v>
      </c>
      <c r="N106" s="32">
        <f t="shared" si="53"/>
        <v>-8.8649155722326456E-2</v>
      </c>
      <c r="O106" s="18">
        <f>IF(ISNUMBER(M106), $B118 * N106, "")</f>
        <v>-8864.915572232645</v>
      </c>
      <c r="Q106" s="33"/>
      <c r="R106" s="33"/>
    </row>
    <row r="107" spans="1:19" ht="17.25" thickBot="1">
      <c r="A107" s="130" t="s">
        <v>200</v>
      </c>
      <c r="B107" s="131">
        <v>248</v>
      </c>
      <c r="C107" s="79">
        <v>9.7345132700000003E-2</v>
      </c>
      <c r="D107" s="24">
        <v>238</v>
      </c>
      <c r="E107" s="25">
        <f t="shared" si="50"/>
        <v>-4.0322580645161289E-2</v>
      </c>
      <c r="F107" s="104">
        <f>IF(ISNUMBER(D107), $B118 * E107, "")</f>
        <v>-4032.2580645161288</v>
      </c>
      <c r="G107" s="102">
        <v>231</v>
      </c>
      <c r="H107" s="25">
        <f t="shared" si="51"/>
        <v>-6.8548387096774188E-2</v>
      </c>
      <c r="I107" s="103">
        <f>IF(ISNUMBER(G107), $B118 * H107, "")</f>
        <v>-6854.8387096774186</v>
      </c>
      <c r="J107" s="24">
        <v>233</v>
      </c>
      <c r="K107" s="25">
        <f t="shared" si="52"/>
        <v>-6.0483870967741937E-2</v>
      </c>
      <c r="L107" s="104">
        <f>IF(ISNUMBER(J107), $B118 * K107, "")</f>
        <v>-6048.3870967741941</v>
      </c>
      <c r="M107" s="102">
        <v>225</v>
      </c>
      <c r="N107" s="25">
        <f t="shared" si="53"/>
        <v>-9.2741935483870969E-2</v>
      </c>
      <c r="O107" s="104">
        <f>IF(ISNUMBER(M107), $B118 * N107, "")</f>
        <v>-9274.1935483870966</v>
      </c>
      <c r="Q107" s="236"/>
      <c r="R107" s="237"/>
      <c r="S107" s="238"/>
    </row>
    <row r="108" spans="1:19">
      <c r="A108" s="123" t="s">
        <v>124</v>
      </c>
      <c r="B108" s="124">
        <v>699</v>
      </c>
      <c r="C108" s="76">
        <v>8.3720930200000002E-2</v>
      </c>
      <c r="D108" s="13">
        <v>680</v>
      </c>
      <c r="E108" s="14">
        <f>IF(ISNUMBER(D108), (D108 - $B108) / $B108, "")</f>
        <v>-2.7181688125894134E-2</v>
      </c>
      <c r="F108" s="16">
        <f>IF(ISNUMBER(D108), $B118 * E108, "")</f>
        <v>-2718.1688125894134</v>
      </c>
      <c r="G108" s="29">
        <v>654</v>
      </c>
      <c r="H108" s="14">
        <f>IF(ISNUMBER(G108), (G108 - $B108) / $B108, "")</f>
        <v>-6.4377682403433473E-2</v>
      </c>
      <c r="I108" s="100">
        <f>IF(ISNUMBER(G108), $B118 * H108, "")</f>
        <v>-6437.7682403433473</v>
      </c>
      <c r="J108" s="13">
        <v>659</v>
      </c>
      <c r="K108" s="14">
        <f>IF(ISNUMBER(J108), (J108 - $B108) / $B108, "")</f>
        <v>-5.7224606580829757E-2</v>
      </c>
      <c r="L108" s="16">
        <f>IF(ISNUMBER(J108), $B118 * K108, "")</f>
        <v>-5722.4606580829759</v>
      </c>
      <c r="M108" s="29">
        <v>632</v>
      </c>
      <c r="N108" s="14">
        <f>IF(ISNUMBER(M108), (M108 - $B108) / $B108, "")</f>
        <v>-9.5851216022889846E-2</v>
      </c>
      <c r="O108" s="16">
        <f>IF(ISNUMBER(M108), $B118 * N108, "")</f>
        <v>-9585.1216022889839</v>
      </c>
      <c r="Q108" s="239"/>
      <c r="R108" s="240"/>
      <c r="S108" s="241"/>
    </row>
    <row r="109" spans="1:19" ht="17.25" thickBot="1">
      <c r="A109" s="125" t="s">
        <v>186</v>
      </c>
      <c r="B109" s="126">
        <v>11010</v>
      </c>
      <c r="C109" s="77">
        <v>8.0471050000000002E-2</v>
      </c>
      <c r="D109" s="15">
        <v>10910</v>
      </c>
      <c r="E109" s="32">
        <f t="shared" ref="E109:E112" si="54">IF(ISNUMBER(D109), (D109 - $B109) / $B109, "")</f>
        <v>-9.0826521344232521E-3</v>
      </c>
      <c r="F109" s="18">
        <f>IF(ISNUMBER(D109), $B118 * E109, "")</f>
        <v>-908.26521344232526</v>
      </c>
      <c r="G109" s="31">
        <v>10240</v>
      </c>
      <c r="H109" s="32">
        <f t="shared" ref="H109:H112" si="55">IF(ISNUMBER(G109), (G109 - $B109) / $B109, "")</f>
        <v>-6.9936421435059043E-2</v>
      </c>
      <c r="I109" s="101">
        <f>IF(ISNUMBER(G109), $B118 * H109, "")</f>
        <v>-6993.6421435059046</v>
      </c>
      <c r="J109" s="15">
        <v>10370</v>
      </c>
      <c r="K109" s="32">
        <f t="shared" ref="K109:K112" si="56">IF(ISNUMBER(J109), (J109 - $B109) / $B109, "")</f>
        <v>-5.8128973660308808E-2</v>
      </c>
      <c r="L109" s="18">
        <f>IF(ISNUMBER(J109), $B118 * K109, "")</f>
        <v>-5812.8973660308811</v>
      </c>
      <c r="M109" s="31">
        <v>10030</v>
      </c>
      <c r="N109" s="32">
        <f t="shared" ref="N109:N112" si="57">IF(ISNUMBER(M109), (M109 - $B109) / $B109, "")</f>
        <v>-8.9009990917347862E-2</v>
      </c>
      <c r="O109" s="18">
        <f>IF(ISNUMBER(M109), $B118 * N109, "")</f>
        <v>-8900.9990917347859</v>
      </c>
      <c r="Q109" s="242"/>
      <c r="R109" s="243"/>
      <c r="S109" s="244"/>
    </row>
    <row r="110" spans="1:19" ht="17.25" thickBot="1">
      <c r="A110" s="125" t="s">
        <v>180</v>
      </c>
      <c r="B110" s="126">
        <v>16150</v>
      </c>
      <c r="C110" s="77">
        <v>7.3803191500000004E-2</v>
      </c>
      <c r="D110" s="15">
        <v>16870</v>
      </c>
      <c r="E110" s="32">
        <f t="shared" si="54"/>
        <v>4.4582043343653253E-2</v>
      </c>
      <c r="F110" s="18">
        <f>IF(ISNUMBER(D110), $B118 * E110, "")</f>
        <v>4458.2043343653249</v>
      </c>
      <c r="G110" s="31">
        <v>16040</v>
      </c>
      <c r="H110" s="32">
        <f t="shared" si="55"/>
        <v>-6.8111455108359137E-3</v>
      </c>
      <c r="I110" s="101">
        <f>IF(ISNUMBER(G110), $B118 * H110, "")</f>
        <v>-681.11455108359132</v>
      </c>
      <c r="J110" s="15">
        <v>16100</v>
      </c>
      <c r="K110" s="32">
        <f t="shared" si="56"/>
        <v>-3.0959752321981426E-3</v>
      </c>
      <c r="L110" s="18">
        <f>IF(ISNUMBER(J110), $B118 * K110, "")</f>
        <v>-309.59752321981426</v>
      </c>
      <c r="M110" s="31">
        <v>15280</v>
      </c>
      <c r="N110" s="32">
        <f t="shared" si="57"/>
        <v>-5.3869969040247677E-2</v>
      </c>
      <c r="O110" s="18">
        <f>IF(ISNUMBER(M110), $B118 * N110, "")</f>
        <v>-5386.9969040247679</v>
      </c>
      <c r="Q110" s="227"/>
      <c r="R110" s="227"/>
      <c r="S110" s="227"/>
    </row>
    <row r="111" spans="1:19" ht="17.25" thickBot="1">
      <c r="A111" s="125" t="s">
        <v>164</v>
      </c>
      <c r="B111" s="126">
        <v>1055</v>
      </c>
      <c r="C111" s="77">
        <v>7.2154471499999998E-2</v>
      </c>
      <c r="D111" s="15">
        <v>1110</v>
      </c>
      <c r="E111" s="32">
        <f t="shared" si="54"/>
        <v>5.2132701421800945E-2</v>
      </c>
      <c r="F111" s="18">
        <f>IF(ISNUMBER(D111), $B118 * E111, "")</f>
        <v>5213.2701421800948</v>
      </c>
      <c r="G111" s="31">
        <v>1085</v>
      </c>
      <c r="H111" s="32">
        <f t="shared" si="55"/>
        <v>2.843601895734597E-2</v>
      </c>
      <c r="I111" s="101">
        <f>IF(ISNUMBER(G111), $B118 * H111, "")</f>
        <v>2843.6018957345968</v>
      </c>
      <c r="J111" s="15">
        <v>1090</v>
      </c>
      <c r="K111" s="32">
        <f t="shared" si="56"/>
        <v>3.3175355450236969E-2</v>
      </c>
      <c r="L111" s="18">
        <f>IF(ISNUMBER(J111), $B118 * K111, "")</f>
        <v>3317.5355450236971</v>
      </c>
      <c r="M111" s="31">
        <v>991</v>
      </c>
      <c r="N111" s="32">
        <f t="shared" si="57"/>
        <v>-6.0663507109004741E-2</v>
      </c>
      <c r="O111" s="18">
        <f>IF(ISNUMBER(M111), $B118 * N111, "")</f>
        <v>-6066.350710900474</v>
      </c>
      <c r="Q111" s="222"/>
      <c r="R111" s="222"/>
      <c r="S111" s="222"/>
    </row>
    <row r="112" spans="1:19" ht="17.25" thickBot="1">
      <c r="A112" s="127" t="s">
        <v>188</v>
      </c>
      <c r="B112" s="128">
        <v>15.5</v>
      </c>
      <c r="C112" s="78">
        <v>6.8965517200000007E-2</v>
      </c>
      <c r="D112" s="20">
        <v>15.5</v>
      </c>
      <c r="E112" s="21">
        <f t="shared" si="54"/>
        <v>0</v>
      </c>
      <c r="F112" s="22">
        <f>IF(ISNUMBER(D112), $B118 * E112, "")</f>
        <v>0</v>
      </c>
      <c r="G112" s="30">
        <v>15.1</v>
      </c>
      <c r="H112" s="21">
        <f t="shared" si="55"/>
        <v>-2.580645161290325E-2</v>
      </c>
      <c r="I112" s="105">
        <f>IF(ISNUMBER(G112), $B118 * H112, "")</f>
        <v>-2580.6451612903252</v>
      </c>
      <c r="J112" s="20">
        <v>15.1</v>
      </c>
      <c r="K112" s="21">
        <f t="shared" si="56"/>
        <v>-2.580645161290325E-2</v>
      </c>
      <c r="L112" s="22">
        <f>IF(ISNUMBER(J112), $B118 * K112, "")</f>
        <v>-2580.6451612903252</v>
      </c>
      <c r="M112" s="30">
        <v>14.4</v>
      </c>
      <c r="N112" s="21">
        <f t="shared" si="57"/>
        <v>-7.0967741935483844E-2</v>
      </c>
      <c r="O112" s="22">
        <f>IF(ISNUMBER(M112), $B118 * N112, "")</f>
        <v>-7096.7741935483846</v>
      </c>
      <c r="Q112" s="222"/>
      <c r="R112" s="222"/>
      <c r="S112" s="222"/>
    </row>
    <row r="113" spans="1:19" ht="17.25" thickBot="1">
      <c r="A113" s="125" t="s">
        <v>134</v>
      </c>
      <c r="B113" s="129">
        <v>35500</v>
      </c>
      <c r="C113" s="80">
        <v>5.9069212400000001E-2</v>
      </c>
      <c r="D113" s="106">
        <v>37870</v>
      </c>
      <c r="E113" s="107">
        <f>IF(ISNUMBER(D113), (D113 - $B113) / $B113, "")</f>
        <v>6.676056338028169E-2</v>
      </c>
      <c r="F113" s="108">
        <f>IF(ISNUMBER(D113), $B118 * E113, "")</f>
        <v>6676.0563380281692</v>
      </c>
      <c r="G113" s="109">
        <v>38500</v>
      </c>
      <c r="H113" s="107">
        <f>IF(ISNUMBER(G113), (G113 - $B113) / $B113, "")</f>
        <v>8.4507042253521125E-2</v>
      </c>
      <c r="I113" s="110">
        <f>IF(ISNUMBER(G113), $B118 * H113, "")</f>
        <v>8450.7042253521122</v>
      </c>
      <c r="J113" s="106">
        <v>37860</v>
      </c>
      <c r="K113" s="107">
        <f>IF(ISNUMBER(J113), (J113 - $B113) / $B113, "")</f>
        <v>6.6478873239436617E-2</v>
      </c>
      <c r="L113" s="108">
        <f>IF(ISNUMBER(J113), $B118 * K113, "")</f>
        <v>6647.8873239436616</v>
      </c>
      <c r="M113" s="109">
        <v>35450</v>
      </c>
      <c r="N113" s="107">
        <f>IF(ISNUMBER(M113), (M113 - $B113) / $B113, "")</f>
        <v>-1.4084507042253522E-3</v>
      </c>
      <c r="O113" s="108">
        <f>IF(ISNUMBER(M113), $B118 * N113, "")</f>
        <v>-140.84507042253523</v>
      </c>
      <c r="Q113" s="227"/>
      <c r="R113" s="227"/>
      <c r="S113" s="227"/>
    </row>
    <row r="114" spans="1:19" ht="17.25" thickBot="1">
      <c r="A114" s="125" t="s">
        <v>218</v>
      </c>
      <c r="B114" s="126">
        <v>150</v>
      </c>
      <c r="C114" s="77">
        <v>5.6338028200000001E-2</v>
      </c>
      <c r="D114" s="15">
        <v>157</v>
      </c>
      <c r="E114" s="32">
        <f t="shared" ref="E114:E117" si="58">IF(ISNUMBER(D114), (D114 - $B114) / $B114, "")</f>
        <v>4.6666666666666669E-2</v>
      </c>
      <c r="F114" s="18">
        <f>IF(ISNUMBER(D114), $B118 * E114, "")</f>
        <v>4666.666666666667</v>
      </c>
      <c r="G114" s="31">
        <v>149</v>
      </c>
      <c r="H114" s="32">
        <f t="shared" ref="H114:H117" si="59">IF(ISNUMBER(G114), (G114 - $B114) / $B114, "")</f>
        <v>-6.6666666666666671E-3</v>
      </c>
      <c r="I114" s="101">
        <f>IF(ISNUMBER(G114), $B118 * H114, "")</f>
        <v>-666.66666666666674</v>
      </c>
      <c r="J114" s="15">
        <v>153</v>
      </c>
      <c r="K114" s="32">
        <f t="shared" ref="K114:K117" si="60">IF(ISNUMBER(J114), (J114 - $B114) / $B114, "")</f>
        <v>0.02</v>
      </c>
      <c r="L114" s="18">
        <f>IF(ISNUMBER(J114), $B118 * K114, "")</f>
        <v>2000</v>
      </c>
      <c r="M114" s="31">
        <v>149</v>
      </c>
      <c r="N114" s="32">
        <f t="shared" ref="N114:N117" si="61">IF(ISNUMBER(M114), (M114 - $B114) / $B114, "")</f>
        <v>-6.6666666666666671E-3</v>
      </c>
      <c r="O114" s="18">
        <f>IF(ISNUMBER(M114), $B118 * N114, "")</f>
        <v>-666.66666666666674</v>
      </c>
      <c r="Q114" s="227"/>
      <c r="R114" s="227"/>
      <c r="S114" s="227"/>
    </row>
    <row r="115" spans="1:19" ht="17.25" thickBot="1">
      <c r="A115" s="125" t="s">
        <v>65</v>
      </c>
      <c r="B115" s="126">
        <v>101</v>
      </c>
      <c r="C115" s="77">
        <v>5.4279749500000002E-2</v>
      </c>
      <c r="D115" s="15">
        <v>96.7</v>
      </c>
      <c r="E115" s="32">
        <f t="shared" si="58"/>
        <v>-4.2574257425742543E-2</v>
      </c>
      <c r="F115" s="18">
        <f>IF(ISNUMBER(D115), $B118 * E115, "")</f>
        <v>-4257.4257425742544</v>
      </c>
      <c r="G115" s="31">
        <v>94.8</v>
      </c>
      <c r="H115" s="32">
        <f t="shared" si="59"/>
        <v>-6.1386138613861413E-2</v>
      </c>
      <c r="I115" s="101">
        <f>IF(ISNUMBER(G115), $B118 * H115, "")</f>
        <v>-6138.6138613861413</v>
      </c>
      <c r="J115" s="15">
        <v>93.3</v>
      </c>
      <c r="K115" s="32">
        <f t="shared" si="60"/>
        <v>-7.6237623762376264E-2</v>
      </c>
      <c r="L115" s="18">
        <f>IF(ISNUMBER(J115), $B118 * K115, "")</f>
        <v>-7623.7623762376261</v>
      </c>
      <c r="M115" s="31">
        <v>88.4</v>
      </c>
      <c r="N115" s="32">
        <f t="shared" si="61"/>
        <v>-0.1247524752475247</v>
      </c>
      <c r="O115" s="18">
        <f>IF(ISNUMBER(M115), $B118 * N115, "")</f>
        <v>-12475.247524752469</v>
      </c>
      <c r="Q115" s="227"/>
      <c r="R115" s="227"/>
      <c r="S115" s="227"/>
    </row>
    <row r="116" spans="1:19">
      <c r="A116" s="125" t="s">
        <v>170</v>
      </c>
      <c r="B116" s="126">
        <v>32410</v>
      </c>
      <c r="C116" s="77">
        <v>5.3641092299999998E-2</v>
      </c>
      <c r="D116" s="15">
        <v>32690</v>
      </c>
      <c r="E116" s="32">
        <f t="shared" si="58"/>
        <v>8.6393088552915772E-3</v>
      </c>
      <c r="F116" s="18">
        <f>IF(ISNUMBER(D116), $B118 * E116, "")</f>
        <v>863.93088552915776</v>
      </c>
      <c r="G116" s="31">
        <v>31100</v>
      </c>
      <c r="H116" s="32">
        <f t="shared" si="59"/>
        <v>-4.0419623572971304E-2</v>
      </c>
      <c r="I116" s="101">
        <f>IF(ISNUMBER(G116), $B118 * H116, "")</f>
        <v>-4041.9623572971304</v>
      </c>
      <c r="J116" s="15">
        <v>31510</v>
      </c>
      <c r="K116" s="32">
        <f t="shared" si="60"/>
        <v>-2.7769207034865781E-2</v>
      </c>
      <c r="L116" s="18">
        <f>IF(ISNUMBER(J116), $B118 * K116, "")</f>
        <v>-2776.9207034865781</v>
      </c>
      <c r="M116" s="31">
        <v>30120</v>
      </c>
      <c r="N116" s="32">
        <f t="shared" si="61"/>
        <v>-7.0657204566491827E-2</v>
      </c>
      <c r="O116" s="18">
        <f>IF(ISNUMBER(M116), $B118 * N116, "")</f>
        <v>-7065.7204566491828</v>
      </c>
      <c r="Q116" s="249"/>
      <c r="R116" s="250"/>
      <c r="S116" s="251"/>
    </row>
    <row r="117" spans="1:19" ht="17.25" thickBot="1">
      <c r="A117" s="130" t="s">
        <v>190</v>
      </c>
      <c r="B117" s="131">
        <v>20</v>
      </c>
      <c r="C117" s="79">
        <v>5.2631578900000003E-2</v>
      </c>
      <c r="D117" s="24">
        <v>20.2</v>
      </c>
      <c r="E117" s="25">
        <f t="shared" si="58"/>
        <v>9.9999999999999638E-3</v>
      </c>
      <c r="F117" s="104">
        <f>IF(ISNUMBER(D117), $B118 * E117, "")</f>
        <v>999.99999999999636</v>
      </c>
      <c r="G117" s="102">
        <v>19.2</v>
      </c>
      <c r="H117" s="25">
        <f t="shared" si="59"/>
        <v>-4.0000000000000036E-2</v>
      </c>
      <c r="I117" s="103">
        <f>IF(ISNUMBER(G117), $B118 * H117, "")</f>
        <v>-4000.0000000000036</v>
      </c>
      <c r="J117" s="24">
        <v>19.399999999999999</v>
      </c>
      <c r="K117" s="25">
        <f t="shared" si="60"/>
        <v>-3.0000000000000072E-2</v>
      </c>
      <c r="L117" s="104">
        <f>IF(ISNUMBER(J117), $B118 * K117, "")</f>
        <v>-3000.0000000000073</v>
      </c>
      <c r="M117" s="102">
        <v>18.7</v>
      </c>
      <c r="N117" s="25">
        <f t="shared" si="61"/>
        <v>-6.500000000000003E-2</v>
      </c>
      <c r="O117" s="104">
        <f>IF(ISNUMBER(M117), $B118 * N117, "")</f>
        <v>-6500.0000000000027</v>
      </c>
      <c r="Q117" s="252"/>
      <c r="R117" s="253"/>
      <c r="S117" s="254"/>
    </row>
    <row r="118" spans="1:19" ht="17.25" thickBot="1">
      <c r="A118" s="132" t="s">
        <v>270</v>
      </c>
      <c r="B118" s="260">
        <f>$B$37</f>
        <v>100000</v>
      </c>
      <c r="C118" s="261"/>
      <c r="D118" s="26" t="s">
        <v>271</v>
      </c>
      <c r="E118" s="27">
        <f>IF(COUNT(E98:E117), SUM(E98:E117) / COUNT(E98:E117), 0)</f>
        <v>2.8662939036174988E-2</v>
      </c>
      <c r="F118" s="28">
        <f>SUM(F98:F117)</f>
        <v>57325.87807234998</v>
      </c>
      <c r="G118" s="26" t="s">
        <v>271</v>
      </c>
      <c r="H118" s="27">
        <f>IF(COUNT(H98:H117), SUM(H98:H117) / COUNT(H98:H117), 0)</f>
        <v>-4.3933343231368121E-3</v>
      </c>
      <c r="I118" s="28">
        <f>SUM(I98:I117)</f>
        <v>-8786.6686462736234</v>
      </c>
      <c r="J118" s="26" t="s">
        <v>271</v>
      </c>
      <c r="K118" s="27">
        <f>IF(COUNT(K98:K117), SUM(K98:K117) / COUNT(K98:K117), 0)</f>
        <v>2.2403054991904808E-3</v>
      </c>
      <c r="L118" s="28">
        <f>SUM(L98:L117)</f>
        <v>4480.6109983809583</v>
      </c>
      <c r="M118" s="26" t="s">
        <v>271</v>
      </c>
      <c r="N118" s="27">
        <f>IF(COUNT(N98:N117), SUM(N98:N117) / COUNT(N98:N117), 0)</f>
        <v>-4.6379950298668718E-2</v>
      </c>
      <c r="O118" s="28">
        <f>SUM(O98:O117)</f>
        <v>-92759.90059733743</v>
      </c>
      <c r="Q118" s="255"/>
      <c r="R118" s="256"/>
      <c r="S118" s="257"/>
    </row>
    <row r="120" spans="1:19" ht="17.25" thickBot="1"/>
    <row r="121" spans="1:19" ht="17.25" thickBot="1">
      <c r="A121" s="201" t="s">
        <v>258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93" t="s">
        <v>267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55149000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2.1442459999999998E-3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2021-09-10(금) 오전 00:00</v>
      </c>
      <c r="C123" s="265"/>
      <c r="D123" s="224" t="str">
        <f>TEXT($G$1, "[$-ko-KR]yyyy-mm-dd(ddd) ") &amp; "오후 14:00"</f>
        <v>2021-09-10(금) 오후 14:00</v>
      </c>
      <c r="E123" s="225"/>
      <c r="F123" s="226"/>
      <c r="G123" s="224" t="str">
        <f>TEXT($G$1, "[$-ko-KR]yyyy-mm-dd(ddd) ") &amp; "오후 19:00"</f>
        <v>2021-09-10(금) 오후 19:00</v>
      </c>
      <c r="H123" s="225"/>
      <c r="I123" s="226"/>
      <c r="J123" s="224" t="str">
        <f>TEXT($G$1, "[$-ko-KR]yyyy-mm-dd(ddd) ") &amp; "오후 21:00"</f>
        <v>2021-09-10(금) 오후 21:00</v>
      </c>
      <c r="K123" s="225"/>
      <c r="L123" s="226"/>
      <c r="M123" s="224" t="str">
        <f>TEXT($G$1+1, "[$-ko-KR]yyyy-mm-dd(ddd) ") &amp; "오전 00:00"</f>
        <v>2021-09-11(토)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7"/>
      <c r="R124" s="227"/>
      <c r="S124" s="227"/>
    </row>
    <row r="125" spans="1:19" ht="17.25" thickBot="1">
      <c r="A125" s="123" t="s">
        <v>204</v>
      </c>
      <c r="B125" s="124">
        <v>19.600000000000001</v>
      </c>
      <c r="C125" s="76">
        <v>0.18072289159999999</v>
      </c>
      <c r="D125" s="13">
        <v>19.8</v>
      </c>
      <c r="E125" s="14">
        <f>IF(ISNUMBER(D125), (D125 - $B125) / $B125, "")</f>
        <v>1.0204081632653024E-2</v>
      </c>
      <c r="F125" s="16">
        <f>IF(ISNUMBER(D125), $B145 * E125, "")</f>
        <v>1020.4081632653024</v>
      </c>
      <c r="G125" s="29">
        <v>18.5</v>
      </c>
      <c r="H125" s="14">
        <f>IF(ISNUMBER(G125), (G125 - $B125) / $B125, "")</f>
        <v>-5.6122448979591906E-2</v>
      </c>
      <c r="I125" s="100">
        <f>IF(ISNUMBER(G125), $B145 * H125, "")</f>
        <v>-5612.2448979591909</v>
      </c>
      <c r="J125" s="13">
        <v>18.7</v>
      </c>
      <c r="K125" s="14">
        <f>IF(ISNUMBER(J125), (J125 - $B125) / $B125, "")</f>
        <v>-4.5918367346938882E-2</v>
      </c>
      <c r="L125" s="16">
        <f>IF(ISNUMBER(J125), $B145 * K125, "")</f>
        <v>-4591.8367346938885</v>
      </c>
      <c r="M125" s="29">
        <v>18</v>
      </c>
      <c r="N125" s="14">
        <f>IF(ISNUMBER(M125), (M125 - $B125) / $B125, "")</f>
        <v>-8.1632653061224553E-2</v>
      </c>
      <c r="O125" s="16">
        <f>IF(ISNUMBER(M125), $B145 * N125, "")</f>
        <v>-8163.2653061224555</v>
      </c>
      <c r="Q125" s="222"/>
      <c r="R125" s="222"/>
      <c r="S125" s="222"/>
    </row>
    <row r="126" spans="1:19" ht="17.25" thickBot="1">
      <c r="A126" s="125" t="s">
        <v>208</v>
      </c>
      <c r="B126" s="126">
        <v>15</v>
      </c>
      <c r="C126" s="77">
        <v>0.11111111110000001</v>
      </c>
      <c r="D126" s="15">
        <v>15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14.9</v>
      </c>
      <c r="H126" s="32">
        <f t="shared" ref="H126:H129" si="63">IF(ISNUMBER(G126), (G126 - $B126) / $B126, "")</f>
        <v>-6.6666666666666428E-3</v>
      </c>
      <c r="I126" s="101">
        <f>IF(ISNUMBER(G126), $B145 * H126, "")</f>
        <v>-666.66666666666424</v>
      </c>
      <c r="J126" s="15">
        <v>15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-3.3333333333333333E-2</v>
      </c>
      <c r="O126" s="18">
        <f>IF(ISNUMBER(M126), $B145 * N126, "")</f>
        <v>-3333.3333333333335</v>
      </c>
      <c r="Q126" s="222"/>
      <c r="R126" s="222"/>
      <c r="S126" s="222"/>
    </row>
    <row r="127" spans="1:19" ht="17.25" thickBot="1">
      <c r="A127" s="125" t="s">
        <v>188</v>
      </c>
      <c r="B127" s="126">
        <v>15.5</v>
      </c>
      <c r="C127" s="77">
        <v>6.8965517200000007E-2</v>
      </c>
      <c r="D127" s="15">
        <v>15.5</v>
      </c>
      <c r="E127" s="32">
        <f t="shared" si="62"/>
        <v>0</v>
      </c>
      <c r="F127" s="18">
        <f>IF(ISNUMBER(D127), $B145 * E127, "")</f>
        <v>0</v>
      </c>
      <c r="G127" s="31">
        <v>15.1</v>
      </c>
      <c r="H127" s="32">
        <f t="shared" si="63"/>
        <v>-2.580645161290325E-2</v>
      </c>
      <c r="I127" s="101">
        <f>IF(ISNUMBER(G127), $B145 * H127, "")</f>
        <v>-2580.6451612903252</v>
      </c>
      <c r="J127" s="15">
        <v>15.1</v>
      </c>
      <c r="K127" s="32">
        <f t="shared" si="64"/>
        <v>-2.580645161290325E-2</v>
      </c>
      <c r="L127" s="18">
        <f>IF(ISNUMBER(J127), $B145 * K127, "")</f>
        <v>-2580.6451612903252</v>
      </c>
      <c r="M127" s="31">
        <v>14.4</v>
      </c>
      <c r="N127" s="32">
        <f t="shared" si="65"/>
        <v>-7.0967741935483844E-2</v>
      </c>
      <c r="O127" s="18">
        <f>IF(ISNUMBER(M127), $B145 * N127, "")</f>
        <v>-7096.7741935483846</v>
      </c>
      <c r="Q127" s="227"/>
      <c r="R127" s="227"/>
      <c r="S127" s="227"/>
    </row>
    <row r="128" spans="1:19" ht="17.25" thickBot="1">
      <c r="A128" s="125" t="s">
        <v>190</v>
      </c>
      <c r="B128" s="126">
        <v>20</v>
      </c>
      <c r="C128" s="77">
        <v>5.2631578900000003E-2</v>
      </c>
      <c r="D128" s="15">
        <v>20.2</v>
      </c>
      <c r="E128" s="32">
        <f t="shared" si="62"/>
        <v>9.9999999999999638E-3</v>
      </c>
      <c r="F128" s="18">
        <f>IF(ISNUMBER(D128), $B145 * E128, "")</f>
        <v>999.99999999999636</v>
      </c>
      <c r="G128" s="31">
        <v>19.2</v>
      </c>
      <c r="H128" s="32">
        <f t="shared" si="63"/>
        <v>-4.0000000000000036E-2</v>
      </c>
      <c r="I128" s="101">
        <f>IF(ISNUMBER(G128), $B145 * H128, "")</f>
        <v>-4000.0000000000036</v>
      </c>
      <c r="J128" s="15">
        <v>19.399999999999999</v>
      </c>
      <c r="K128" s="32">
        <f t="shared" si="64"/>
        <v>-3.0000000000000072E-2</v>
      </c>
      <c r="L128" s="18">
        <f>IF(ISNUMBER(J128), $B145 * K128, "")</f>
        <v>-3000.0000000000073</v>
      </c>
      <c r="M128" s="31">
        <v>18.7</v>
      </c>
      <c r="N128" s="32">
        <f t="shared" si="65"/>
        <v>-6.500000000000003E-2</v>
      </c>
      <c r="O128" s="18">
        <f>IF(ISNUMBER(M128), $B145 * N128, "")</f>
        <v>-6500.0000000000027</v>
      </c>
      <c r="Q128" s="227"/>
      <c r="R128" s="227"/>
      <c r="S128" s="227"/>
    </row>
    <row r="129" spans="1:19" ht="17.25" thickBot="1">
      <c r="A129" s="127" t="s">
        <v>122</v>
      </c>
      <c r="B129" s="128">
        <v>44.2</v>
      </c>
      <c r="C129" s="78">
        <v>5.23809524E-2</v>
      </c>
      <c r="D129" s="20">
        <v>44.9</v>
      </c>
      <c r="E129" s="21">
        <f t="shared" si="62"/>
        <v>1.5837104072398092E-2</v>
      </c>
      <c r="F129" s="22">
        <f>IF(ISNUMBER(D129), $B145 * E129, "")</f>
        <v>1583.7104072398092</v>
      </c>
      <c r="G129" s="30">
        <v>43.4</v>
      </c>
      <c r="H129" s="21">
        <f t="shared" si="63"/>
        <v>-1.8099547511312312E-2</v>
      </c>
      <c r="I129" s="105">
        <f>IF(ISNUMBER(G129), $B145 * H129, "")</f>
        <v>-1809.9547511312312</v>
      </c>
      <c r="J129" s="20">
        <v>43.7</v>
      </c>
      <c r="K129" s="21">
        <f t="shared" si="64"/>
        <v>-1.1312217194570135E-2</v>
      </c>
      <c r="L129" s="22">
        <f>IF(ISNUMBER(J129), $B145 * K129, "")</f>
        <v>-1131.2217194570135</v>
      </c>
      <c r="M129" s="30">
        <v>41.7</v>
      </c>
      <c r="N129" s="21">
        <f t="shared" si="65"/>
        <v>-5.6561085972850672E-2</v>
      </c>
      <c r="O129" s="22">
        <f>IF(ISNUMBER(M129), $B145 * N129, "")</f>
        <v>-5656.1085972850669</v>
      </c>
      <c r="Q129" s="227"/>
      <c r="R129" s="227"/>
      <c r="S129" s="227"/>
    </row>
    <row r="130" spans="1:19" ht="17.25" thickBot="1">
      <c r="A130" s="125" t="s">
        <v>216</v>
      </c>
      <c r="B130" s="129">
        <v>12.1</v>
      </c>
      <c r="C130" s="80">
        <v>5.2173913000000002E-2</v>
      </c>
      <c r="D130" s="106">
        <v>12.2</v>
      </c>
      <c r="E130" s="107">
        <f>IF(ISNUMBER(D130), (D130 - $B130) / $B130, "")</f>
        <v>8.2644628099173261E-3</v>
      </c>
      <c r="F130" s="108">
        <f>IF(ISNUMBER(D130), $B145 * E130, "")</f>
        <v>826.44628099173258</v>
      </c>
      <c r="G130" s="109">
        <v>11.7</v>
      </c>
      <c r="H130" s="107">
        <f>IF(ISNUMBER(G130), (G130 - $B130) / $B130, "")</f>
        <v>-3.305785123966945E-2</v>
      </c>
      <c r="I130" s="110">
        <f>IF(ISNUMBER(G130), $B145 * H130, "")</f>
        <v>-3305.7851239669449</v>
      </c>
      <c r="J130" s="106">
        <v>12.1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-4.9586776859504106E-2</v>
      </c>
      <c r="O130" s="108">
        <f>IF(ISNUMBER(M130), $B145 * N130, "")</f>
        <v>-4958.6776859504107</v>
      </c>
      <c r="Q130" s="227"/>
      <c r="R130" s="227"/>
      <c r="S130" s="227"/>
    </row>
    <row r="131" spans="1:19" ht="17.25" thickBot="1">
      <c r="A131" s="125" t="s">
        <v>150</v>
      </c>
      <c r="B131" s="126">
        <v>14</v>
      </c>
      <c r="C131" s="77">
        <v>4.4776119400000002E-2</v>
      </c>
      <c r="D131" s="15">
        <v>14.4</v>
      </c>
      <c r="E131" s="32">
        <f t="shared" ref="E131:E134" si="66">IF(ISNUMBER(D131), (D131 - $B131) / $B131, "")</f>
        <v>2.8571428571428598E-2</v>
      </c>
      <c r="F131" s="18">
        <f>IF(ISNUMBER(D131), $B145 * E131, "")</f>
        <v>2857.1428571428596</v>
      </c>
      <c r="G131" s="31">
        <v>13.7</v>
      </c>
      <c r="H131" s="32">
        <f t="shared" ref="H131:H134" si="67">IF(ISNUMBER(G131), (G131 - $B131) / $B131, "")</f>
        <v>-2.1428571428571481E-2</v>
      </c>
      <c r="I131" s="101">
        <f>IF(ISNUMBER(G131), $B145 * H131, "")</f>
        <v>-2142.8571428571481</v>
      </c>
      <c r="J131" s="15">
        <v>14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13.4</v>
      </c>
      <c r="N131" s="32">
        <f t="shared" ref="N131:N134" si="69">IF(ISNUMBER(M131), (M131 - $B131) / $B131, "")</f>
        <v>-4.285714285714283E-2</v>
      </c>
      <c r="O131" s="18">
        <f>IF(ISNUMBER(M131), $B145 * N131, "")</f>
        <v>-4285.7142857142826</v>
      </c>
      <c r="Q131" s="227"/>
      <c r="R131" s="227"/>
      <c r="S131" s="227"/>
    </row>
    <row r="132" spans="1:19" ht="17.25" thickBot="1">
      <c r="A132" s="125" t="s">
        <v>148</v>
      </c>
      <c r="B132" s="126">
        <v>24.2</v>
      </c>
      <c r="C132" s="77">
        <v>3.8626609399999998E-2</v>
      </c>
      <c r="D132" s="15">
        <v>24.4</v>
      </c>
      <c r="E132" s="32">
        <f t="shared" si="66"/>
        <v>8.2644628099173261E-3</v>
      </c>
      <c r="F132" s="18">
        <f>IF(ISNUMBER(D132), $B145 * E132, "")</f>
        <v>826.44628099173258</v>
      </c>
      <c r="G132" s="31">
        <v>23.3</v>
      </c>
      <c r="H132" s="32">
        <f t="shared" si="67"/>
        <v>-3.7190082644628045E-2</v>
      </c>
      <c r="I132" s="101">
        <f>IF(ISNUMBER(G132), $B145 * H132, "")</f>
        <v>-3719.0082644628046</v>
      </c>
      <c r="J132" s="15">
        <v>23.4</v>
      </c>
      <c r="K132" s="32">
        <f t="shared" si="68"/>
        <v>-3.305785123966945E-2</v>
      </c>
      <c r="L132" s="18">
        <f>IF(ISNUMBER(J132), $B145 * K132, "")</f>
        <v>-3305.7851239669449</v>
      </c>
      <c r="M132" s="31">
        <v>22.3</v>
      </c>
      <c r="N132" s="32">
        <f t="shared" si="69"/>
        <v>-7.8512396694214823E-2</v>
      </c>
      <c r="O132" s="18">
        <f>IF(ISNUMBER(M132), $B145 * N132, "")</f>
        <v>-7851.2396694214822</v>
      </c>
      <c r="Q132" s="227"/>
      <c r="R132" s="227"/>
      <c r="S132" s="227"/>
    </row>
    <row r="133" spans="1:19" ht="17.25" thickBot="1">
      <c r="A133" s="125" t="s">
        <v>72</v>
      </c>
      <c r="B133" s="126">
        <v>27.9</v>
      </c>
      <c r="C133" s="77">
        <v>2.57352941E-2</v>
      </c>
      <c r="D133" s="15">
        <v>32.9</v>
      </c>
      <c r="E133" s="32">
        <f t="shared" si="66"/>
        <v>0.17921146953405018</v>
      </c>
      <c r="F133" s="18">
        <f>IF(ISNUMBER(D133), $B145 * E133, "")</f>
        <v>17921.146953405019</v>
      </c>
      <c r="G133" s="31">
        <v>31</v>
      </c>
      <c r="H133" s="32">
        <f t="shared" si="67"/>
        <v>0.11111111111111117</v>
      </c>
      <c r="I133" s="101">
        <f>IF(ISNUMBER(G133), $B145 * H133, "")</f>
        <v>11111.111111111117</v>
      </c>
      <c r="J133" s="15">
        <v>30.5</v>
      </c>
      <c r="K133" s="32">
        <f t="shared" si="68"/>
        <v>9.3189964157706154E-2</v>
      </c>
      <c r="L133" s="18">
        <f>IF(ISNUMBER(J133), $B145 * K133, "")</f>
        <v>9318.9964157706145</v>
      </c>
      <c r="M133" s="31">
        <v>29.3</v>
      </c>
      <c r="N133" s="32">
        <f t="shared" si="69"/>
        <v>5.0179211469534128E-2</v>
      </c>
      <c r="O133" s="18">
        <f>IF(ISNUMBER(M133), $B145 * N133, "")</f>
        <v>5017.921146953413</v>
      </c>
      <c r="Q133" s="33"/>
      <c r="R133" s="33"/>
    </row>
    <row r="134" spans="1:19" ht="17.25" thickBot="1">
      <c r="A134" s="130" t="s">
        <v>202</v>
      </c>
      <c r="B134" s="131">
        <v>93.1</v>
      </c>
      <c r="C134" s="79">
        <v>2.5330396500000001E-2</v>
      </c>
      <c r="D134" s="24">
        <v>94.7</v>
      </c>
      <c r="E134" s="25">
        <f t="shared" si="66"/>
        <v>1.7185821697099986E-2</v>
      </c>
      <c r="F134" s="104">
        <f>IF(ISNUMBER(D134), $B145 * E134, "")</f>
        <v>1718.5821697099987</v>
      </c>
      <c r="G134" s="102">
        <v>90.6</v>
      </c>
      <c r="H134" s="25">
        <f t="shared" si="67"/>
        <v>-2.6852846401718585E-2</v>
      </c>
      <c r="I134" s="103">
        <f>IF(ISNUMBER(G134), $B145 * H134, "")</f>
        <v>-2685.2846401718584</v>
      </c>
      <c r="J134" s="24">
        <v>91.1</v>
      </c>
      <c r="K134" s="25">
        <f t="shared" si="68"/>
        <v>-2.1482277121374866E-2</v>
      </c>
      <c r="L134" s="104">
        <f>IF(ISNUMBER(J134), $B145 * K134, "")</f>
        <v>-2148.2277121374864</v>
      </c>
      <c r="M134" s="102">
        <v>88.2</v>
      </c>
      <c r="N134" s="25">
        <f t="shared" si="69"/>
        <v>-5.2631578947368335E-2</v>
      </c>
      <c r="O134" s="104">
        <f>IF(ISNUMBER(M134), $B145 * N134, "")</f>
        <v>-5263.1578947368334</v>
      </c>
      <c r="Q134" s="236"/>
      <c r="R134" s="237"/>
      <c r="S134" s="238"/>
    </row>
    <row r="135" spans="1:19">
      <c r="A135" s="123" t="s">
        <v>210</v>
      </c>
      <c r="B135" s="124">
        <v>16.2</v>
      </c>
      <c r="C135" s="76">
        <v>2.5316455700000001E-2</v>
      </c>
      <c r="D135" s="13">
        <v>16.2</v>
      </c>
      <c r="E135" s="14">
        <f>IF(ISNUMBER(D135), (D135 - $B135) / $B135, "")</f>
        <v>0</v>
      </c>
      <c r="F135" s="16">
        <f>IF(ISNUMBER(D135), $B145 * E135, "")</f>
        <v>0</v>
      </c>
      <c r="G135" s="29">
        <v>15.8</v>
      </c>
      <c r="H135" s="14">
        <f>IF(ISNUMBER(G135), (G135 - $B135) / $B135, "")</f>
        <v>-2.469135802469127E-2</v>
      </c>
      <c r="I135" s="100">
        <f>IF(ISNUMBER(G135), $B145 * H135, "")</f>
        <v>-2469.1358024691272</v>
      </c>
      <c r="J135" s="13">
        <v>15.8</v>
      </c>
      <c r="K135" s="14">
        <f>IF(ISNUMBER(J135), (J135 - $B135) / $B135, "")</f>
        <v>-2.469135802469127E-2</v>
      </c>
      <c r="L135" s="16">
        <f>IF(ISNUMBER(J135), $B145 * K135, "")</f>
        <v>-2469.1358024691272</v>
      </c>
      <c r="M135" s="29">
        <v>15.2</v>
      </c>
      <c r="N135" s="14">
        <f>IF(ISNUMBER(M135), (M135 - $B135) / $B135, "")</f>
        <v>-6.1728395061728399E-2</v>
      </c>
      <c r="O135" s="16">
        <f>IF(ISNUMBER(M135), $B145 * N135, "")</f>
        <v>-6172.8395061728397</v>
      </c>
      <c r="Q135" s="239"/>
      <c r="R135" s="240"/>
      <c r="S135" s="241"/>
    </row>
    <row r="136" spans="1:19" ht="17.25" thickBot="1">
      <c r="A136" s="125" t="s">
        <v>240</v>
      </c>
      <c r="B136" s="126">
        <v>73.8</v>
      </c>
      <c r="C136" s="77">
        <v>2.21606648E-2</v>
      </c>
      <c r="D136" s="15">
        <v>76.3</v>
      </c>
      <c r="E136" s="32">
        <f t="shared" ref="E136:E139" si="70">IF(ISNUMBER(D136), (D136 - $B136) / $B136, "")</f>
        <v>3.3875338753387538E-2</v>
      </c>
      <c r="F136" s="18">
        <f>IF(ISNUMBER(D136), $B145 * E136, "")</f>
        <v>3387.5338753387537</v>
      </c>
      <c r="G136" s="31">
        <v>72.8</v>
      </c>
      <c r="H136" s="32">
        <f t="shared" ref="H136:H139" si="71">IF(ISNUMBER(G136), (G136 - $B136) / $B136, "")</f>
        <v>-1.3550135501355014E-2</v>
      </c>
      <c r="I136" s="101">
        <f>IF(ISNUMBER(G136), $B145 * H136, "")</f>
        <v>-1355.0135501355014</v>
      </c>
      <c r="J136" s="15">
        <v>73.7</v>
      </c>
      <c r="K136" s="32">
        <f t="shared" ref="K136:K139" si="72">IF(ISNUMBER(J136), (J136 - $B136) / $B136, "")</f>
        <v>-1.3550135501354244E-3</v>
      </c>
      <c r="L136" s="18">
        <f>IF(ISNUMBER(J136), $B145 * K136, "")</f>
        <v>-135.50135501354245</v>
      </c>
      <c r="M136" s="31">
        <v>71.2</v>
      </c>
      <c r="N136" s="32">
        <f t="shared" ref="N136:N139" si="73">IF(ISNUMBER(M136), (M136 - $B136) / $B136, "")</f>
        <v>-3.5230352303522956E-2</v>
      </c>
      <c r="O136" s="18">
        <f>IF(ISNUMBER(M136), $B145 * N136, "")</f>
        <v>-3523.0352303522955</v>
      </c>
      <c r="Q136" s="242"/>
      <c r="R136" s="243"/>
      <c r="S136" s="244"/>
    </row>
    <row r="137" spans="1:19" ht="17.25" thickBot="1">
      <c r="A137" s="125" t="s">
        <v>234</v>
      </c>
      <c r="B137" s="126">
        <v>91.7</v>
      </c>
      <c r="C137" s="77">
        <v>1.10253583E-2</v>
      </c>
      <c r="D137" s="15">
        <v>95.8</v>
      </c>
      <c r="E137" s="32">
        <f t="shared" si="70"/>
        <v>4.4711014176662969E-2</v>
      </c>
      <c r="F137" s="18">
        <f>IF(ISNUMBER(D137), $B145 * E137, "")</f>
        <v>4471.1014176662966</v>
      </c>
      <c r="G137" s="31">
        <v>91</v>
      </c>
      <c r="H137" s="32">
        <f t="shared" si="71"/>
        <v>-7.6335877862595729E-3</v>
      </c>
      <c r="I137" s="101">
        <f>IF(ISNUMBER(G137), $B145 * H137, "")</f>
        <v>-763.35877862595726</v>
      </c>
      <c r="J137" s="15">
        <v>92.3</v>
      </c>
      <c r="K137" s="32">
        <f t="shared" si="72"/>
        <v>6.5430752453652591E-3</v>
      </c>
      <c r="L137" s="18">
        <f>IF(ISNUMBER(J137), $B145 * K137, "")</f>
        <v>654.30752453652588</v>
      </c>
      <c r="M137" s="31">
        <v>89.5</v>
      </c>
      <c r="N137" s="32">
        <f t="shared" si="73"/>
        <v>-2.3991275899672877E-2</v>
      </c>
      <c r="O137" s="18">
        <f>IF(ISNUMBER(M137), $B145 * N137, "")</f>
        <v>-2399.1275899672878</v>
      </c>
      <c r="Q137" s="227"/>
      <c r="R137" s="227"/>
      <c r="S137" s="227"/>
    </row>
    <row r="138" spans="1:19" ht="17.25" thickBot="1">
      <c r="A138" s="125" t="s">
        <v>250</v>
      </c>
      <c r="B138" s="126">
        <v>96.4</v>
      </c>
      <c r="C138" s="77">
        <v>6.2630480000000002E-3</v>
      </c>
      <c r="D138" s="15">
        <v>101</v>
      </c>
      <c r="E138" s="32">
        <f t="shared" si="70"/>
        <v>4.7717842323651394E-2</v>
      </c>
      <c r="F138" s="18">
        <f>IF(ISNUMBER(D138), $B145 * E138, "")</f>
        <v>4771.7842323651394</v>
      </c>
      <c r="G138" s="31">
        <v>97.8</v>
      </c>
      <c r="H138" s="32">
        <f t="shared" si="71"/>
        <v>1.4522821576763396E-2</v>
      </c>
      <c r="I138" s="101">
        <f>IF(ISNUMBER(G138), $B145 * H138, "")</f>
        <v>1452.2821576763395</v>
      </c>
      <c r="J138" s="15">
        <v>99.2</v>
      </c>
      <c r="K138" s="32">
        <f t="shared" si="72"/>
        <v>2.9045643153526941E-2</v>
      </c>
      <c r="L138" s="18">
        <f>IF(ISNUMBER(J138), $B145 * K138, "")</f>
        <v>2904.5643153526939</v>
      </c>
      <c r="M138" s="31">
        <v>93.7</v>
      </c>
      <c r="N138" s="32">
        <f t="shared" si="73"/>
        <v>-2.8008298755186751E-2</v>
      </c>
      <c r="O138" s="18">
        <f>IF(ISNUMBER(M138), $B145 * N138, "")</f>
        <v>-2800.8298755186752</v>
      </c>
      <c r="Q138" s="222"/>
      <c r="R138" s="222"/>
      <c r="S138" s="222"/>
    </row>
    <row r="139" spans="1:19" ht="17.25" thickBot="1">
      <c r="A139" s="127" t="s">
        <v>178</v>
      </c>
      <c r="B139" s="128">
        <v>20.3</v>
      </c>
      <c r="C139" s="78">
        <v>-9.7560975999999994E-3</v>
      </c>
      <c r="D139" s="20">
        <v>20.5</v>
      </c>
      <c r="E139" s="21">
        <f t="shared" si="70"/>
        <v>9.8522167487684383E-3</v>
      </c>
      <c r="F139" s="22">
        <f>IF(ISNUMBER(D139), $B145 * E139, "")</f>
        <v>985.22167487684385</v>
      </c>
      <c r="G139" s="30">
        <v>19.600000000000001</v>
      </c>
      <c r="H139" s="21">
        <f t="shared" si="71"/>
        <v>-3.448275862068962E-2</v>
      </c>
      <c r="I139" s="105">
        <f>IF(ISNUMBER(G139), $B145 * H139, "")</f>
        <v>-3448.2758620689619</v>
      </c>
      <c r="J139" s="20">
        <v>20</v>
      </c>
      <c r="K139" s="21">
        <f t="shared" si="72"/>
        <v>-1.4778325123152743E-2</v>
      </c>
      <c r="L139" s="22">
        <f>IF(ISNUMBER(J139), $B145 * K139, "")</f>
        <v>-1477.8325123152742</v>
      </c>
      <c r="M139" s="30">
        <v>19.399999999999999</v>
      </c>
      <c r="N139" s="21">
        <f t="shared" si="73"/>
        <v>-4.4334975369458234E-2</v>
      </c>
      <c r="O139" s="22">
        <f>IF(ISNUMBER(M139), $B145 * N139, "")</f>
        <v>-4433.4975369458234</v>
      </c>
      <c r="Q139" s="222"/>
      <c r="R139" s="222"/>
      <c r="S139" s="222"/>
    </row>
    <row r="140" spans="1:19" ht="17.25" thickBot="1">
      <c r="A140" s="125" t="s">
        <v>98</v>
      </c>
      <c r="B140" s="129">
        <v>4.9000000000000004</v>
      </c>
      <c r="C140" s="80">
        <v>-1.4084507E-2</v>
      </c>
      <c r="D140" s="106">
        <v>4.93</v>
      </c>
      <c r="E140" s="107">
        <f>IF(ISNUMBER(D140), (D140 - $B140) / $B140, "")</f>
        <v>6.1224489795917054E-3</v>
      </c>
      <c r="F140" s="108">
        <f>IF(ISNUMBER(D140), $B145 * E140, "")</f>
        <v>612.24489795917054</v>
      </c>
      <c r="G140" s="109">
        <v>4.82</v>
      </c>
      <c r="H140" s="107">
        <f>IF(ISNUMBER(G140), (G140 - $B140) / $B140, "")</f>
        <v>-1.632653061224491E-2</v>
      </c>
      <c r="I140" s="110">
        <f>IF(ISNUMBER(G140), $B145 * H140, "")</f>
        <v>-1632.653061224491</v>
      </c>
      <c r="J140" s="106">
        <v>4.83</v>
      </c>
      <c r="K140" s="107">
        <f>IF(ISNUMBER(J140), (J140 - $B140) / $B140, "")</f>
        <v>-1.4285714285714343E-2</v>
      </c>
      <c r="L140" s="108">
        <f>IF(ISNUMBER(J140), $B145 * K140, "")</f>
        <v>-1428.5714285714344</v>
      </c>
      <c r="M140" s="109">
        <v>4.6900000000000004</v>
      </c>
      <c r="N140" s="107">
        <f>IF(ISNUMBER(M140), (M140 - $B140) / $B140, "")</f>
        <v>-4.2857142857142844E-2</v>
      </c>
      <c r="O140" s="108">
        <f>IF(ISNUMBER(M140), $B145 * N140, "")</f>
        <v>-4285.7142857142844</v>
      </c>
      <c r="Q140" s="227"/>
      <c r="R140" s="227"/>
      <c r="S140" s="227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7"/>
      <c r="R141" s="227"/>
      <c r="S141" s="22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132" t="s">
        <v>270</v>
      </c>
      <c r="B145" s="260">
        <f>$B$37</f>
        <v>100000</v>
      </c>
      <c r="C145" s="261"/>
      <c r="D145" s="26" t="s">
        <v>271</v>
      </c>
      <c r="E145" s="27">
        <f>IF(COUNT(E125:E144), SUM(E125:E144) / COUNT(E125:E144), 0)</f>
        <v>2.6238605756845407E-2</v>
      </c>
      <c r="F145" s="28">
        <f>SUM(F125:F144)</f>
        <v>41981.769210952654</v>
      </c>
      <c r="G145" s="26" t="s">
        <v>271</v>
      </c>
      <c r="H145" s="27">
        <f>IF(COUNT(H125:H144), SUM(H125:H144) / COUNT(H125:H144), 0)</f>
        <v>-1.4767181521401719E-2</v>
      </c>
      <c r="I145" s="28">
        <f>SUM(I125:I144)</f>
        <v>-23627.490434242747</v>
      </c>
      <c r="J145" s="26" t="s">
        <v>271</v>
      </c>
      <c r="K145" s="27">
        <f>IF(COUNT(K125:K144), SUM(K125:K144) / COUNT(K125:K144), 0)</f>
        <v>-5.8693058089095045E-3</v>
      </c>
      <c r="L145" s="28">
        <f>SUM(L125:L144)</f>
        <v>-9390.8892942552102</v>
      </c>
      <c r="M145" s="26" t="s">
        <v>271</v>
      </c>
      <c r="N145" s="27">
        <f>IF(COUNT(N125:N144), SUM(N125:N144) / COUNT(N125:N144), 0)</f>
        <v>-4.4815871152393778E-2</v>
      </c>
      <c r="O145" s="28">
        <f>SUM(O125:O144)</f>
        <v>-71705.393843830054</v>
      </c>
      <c r="Q145" s="255"/>
      <c r="R145" s="256"/>
      <c r="S145" s="257"/>
    </row>
    <row r="147" spans="1:19" ht="17.25" thickBot="1"/>
    <row r="148" spans="1:19" ht="17.25" thickBot="1">
      <c r="A148" s="201" t="s">
        <v>259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93" t="s">
        <v>267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55149000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2.1442459999999998E-3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2021-09-10(금) 오전 00:00</v>
      </c>
      <c r="C150" s="265"/>
      <c r="D150" s="224" t="str">
        <f>TEXT($G$1, "[$-ko-KR]yyyy-mm-dd(ddd) ") &amp; "오후 14:00"</f>
        <v>2021-09-10(금) 오후 14:00</v>
      </c>
      <c r="E150" s="225"/>
      <c r="F150" s="226"/>
      <c r="G150" s="224" t="str">
        <f>TEXT($G$1, "[$-ko-KR]yyyy-mm-dd(ddd) ") &amp; "오후 19:00"</f>
        <v>2021-09-10(금) 오후 19:00</v>
      </c>
      <c r="H150" s="225"/>
      <c r="I150" s="226"/>
      <c r="J150" s="224" t="str">
        <f>TEXT($G$1, "[$-ko-KR]yyyy-mm-dd(ddd) ") &amp; "오후 21:00"</f>
        <v>2021-09-10(금) 오후 21:00</v>
      </c>
      <c r="K150" s="225"/>
      <c r="L150" s="226"/>
      <c r="M150" s="224" t="str">
        <f>TEXT($G$1+1, "[$-ko-KR]yyyy-mm-dd(ddd) ") &amp; "오전 00:00"</f>
        <v>2021-09-11(토)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7"/>
      <c r="R151" s="227"/>
      <c r="S151" s="227"/>
    </row>
    <row r="152" spans="1:19" ht="17.25" thickBot="1">
      <c r="A152" s="123" t="s">
        <v>114</v>
      </c>
      <c r="B152" s="124">
        <v>983</v>
      </c>
      <c r="C152" s="76">
        <v>2.7168234100000001E-2</v>
      </c>
      <c r="D152" s="13">
        <v>1000</v>
      </c>
      <c r="E152" s="14">
        <f>IF(ISNUMBER(D152), (D152 - $B152) / $B152, "")</f>
        <v>1.7293997965412006E-2</v>
      </c>
      <c r="F152" s="16">
        <f>IF(ISNUMBER(D152), $B172 * E152, "")</f>
        <v>1729.3997965412007</v>
      </c>
      <c r="G152" s="29">
        <v>978</v>
      </c>
      <c r="H152" s="14">
        <f>IF(ISNUMBER(G152), (G152 - $B152) / $B152, "")</f>
        <v>-5.0864699898270603E-3</v>
      </c>
      <c r="I152" s="100">
        <f>IF(ISNUMBER(G152), $B172 * H152, "")</f>
        <v>-508.64699898270601</v>
      </c>
      <c r="J152" s="13">
        <v>983</v>
      </c>
      <c r="K152" s="14">
        <f>IF(ISNUMBER(J152), (J152 - $B152) / $B152, "")</f>
        <v>0</v>
      </c>
      <c r="L152" s="16">
        <f>IF(ISNUMBER(J152), $B172 * K152, "")</f>
        <v>0</v>
      </c>
      <c r="M152" s="29">
        <v>948</v>
      </c>
      <c r="N152" s="14">
        <f>IF(ISNUMBER(M152), (M152 - $B152) / $B152, "")</f>
        <v>-3.5605289928789419E-2</v>
      </c>
      <c r="O152" s="16">
        <f>IF(ISNUMBER(M152), $B172 * N152, "")</f>
        <v>-3560.5289928789421</v>
      </c>
      <c r="Q152" s="222"/>
      <c r="R152" s="222"/>
      <c r="S152" s="222"/>
    </row>
    <row r="153" spans="1:19" ht="17.25" thickBot="1">
      <c r="A153" s="125" t="s">
        <v>86</v>
      </c>
      <c r="B153" s="126">
        <v>417</v>
      </c>
      <c r="C153" s="77">
        <v>2.7093596099999999E-2</v>
      </c>
      <c r="D153" s="15">
        <v>418</v>
      </c>
      <c r="E153" s="32">
        <f t="shared" ref="E153:E156" si="78">IF(ISNUMBER(D153), (D153 - $B153) / $B153, "")</f>
        <v>2.3980815347721821E-3</v>
      </c>
      <c r="F153" s="18">
        <f>IF(ISNUMBER(D153), $B172 * E153, "")</f>
        <v>239.80815347721821</v>
      </c>
      <c r="G153" s="31">
        <v>420</v>
      </c>
      <c r="H153" s="32">
        <f t="shared" ref="H153:H156" si="79">IF(ISNUMBER(G153), (G153 - $B153) / $B153, "")</f>
        <v>7.1942446043165471E-3</v>
      </c>
      <c r="I153" s="101">
        <f>IF(ISNUMBER(G153), $B172 * H153, "")</f>
        <v>719.42446043165467</v>
      </c>
      <c r="J153" s="15">
        <v>422</v>
      </c>
      <c r="K153" s="32">
        <f t="shared" ref="K153:K156" si="80">IF(ISNUMBER(J153), (J153 - $B153) / $B153, "")</f>
        <v>1.1990407673860911E-2</v>
      </c>
      <c r="L153" s="18">
        <f>IF(ISNUMBER(J153), $B172 * K153, "")</f>
        <v>1199.0407673860911</v>
      </c>
      <c r="M153" s="31">
        <v>398</v>
      </c>
      <c r="N153" s="32">
        <f t="shared" ref="N153:N156" si="81">IF(ISNUMBER(M153), (M153 - $B153) / $B153, "")</f>
        <v>-4.5563549160671464E-2</v>
      </c>
      <c r="O153" s="18">
        <f>IF(ISNUMBER(M153), $B172 * N153, "")</f>
        <v>-4556.3549160671464</v>
      </c>
      <c r="Q153" s="222"/>
      <c r="R153" s="222"/>
      <c r="S153" s="222"/>
    </row>
    <row r="154" spans="1:19" ht="17.25" thickBot="1">
      <c r="A154" s="125" t="s">
        <v>238</v>
      </c>
      <c r="B154" s="126">
        <v>131</v>
      </c>
      <c r="C154" s="77">
        <v>2.34375E-2</v>
      </c>
      <c r="D154" s="15">
        <v>135</v>
      </c>
      <c r="E154" s="32">
        <f t="shared" si="78"/>
        <v>3.0534351145038167E-2</v>
      </c>
      <c r="F154" s="18">
        <f>IF(ISNUMBER(D154), $B172 * E154, "")</f>
        <v>3053.4351145038167</v>
      </c>
      <c r="G154" s="31">
        <v>134</v>
      </c>
      <c r="H154" s="32">
        <f t="shared" si="79"/>
        <v>2.2900763358778626E-2</v>
      </c>
      <c r="I154" s="101">
        <f>IF(ISNUMBER(G154), $B172 * H154, "")</f>
        <v>2290.0763358778627</v>
      </c>
      <c r="J154" s="15">
        <v>131</v>
      </c>
      <c r="K154" s="32">
        <f t="shared" si="80"/>
        <v>0</v>
      </c>
      <c r="L154" s="18">
        <f>IF(ISNUMBER(J154), $B172 * K154, "")</f>
        <v>0</v>
      </c>
      <c r="M154" s="31">
        <v>126</v>
      </c>
      <c r="N154" s="32">
        <f t="shared" si="81"/>
        <v>-3.8167938931297711E-2</v>
      </c>
      <c r="O154" s="18">
        <f>IF(ISNUMBER(M154), $B172 * N154, "")</f>
        <v>-3816.7938931297713</v>
      </c>
      <c r="Q154" s="227"/>
      <c r="R154" s="227"/>
      <c r="S154" s="227"/>
    </row>
    <row r="155" spans="1:19" ht="17.25" thickBot="1">
      <c r="A155" s="125" t="s">
        <v>54</v>
      </c>
      <c r="B155" s="126">
        <v>395</v>
      </c>
      <c r="C155" s="77">
        <v>2.3316062200000001E-2</v>
      </c>
      <c r="D155" s="15">
        <v>399</v>
      </c>
      <c r="E155" s="32">
        <f t="shared" si="78"/>
        <v>1.0126582278481013E-2</v>
      </c>
      <c r="F155" s="18">
        <f>IF(ISNUMBER(D155), $B172 * E155, "")</f>
        <v>1012.6582278481013</v>
      </c>
      <c r="G155" s="31">
        <v>387</v>
      </c>
      <c r="H155" s="32">
        <f t="shared" si="79"/>
        <v>-2.0253164556962026E-2</v>
      </c>
      <c r="I155" s="101">
        <f>IF(ISNUMBER(G155), $B172 * H155, "")</f>
        <v>-2025.3164556962026</v>
      </c>
      <c r="J155" s="15">
        <v>387</v>
      </c>
      <c r="K155" s="32">
        <f t="shared" si="80"/>
        <v>-2.0253164556962026E-2</v>
      </c>
      <c r="L155" s="18">
        <f>IF(ISNUMBER(J155), $B172 * K155, "")</f>
        <v>-2025.3164556962026</v>
      </c>
      <c r="M155" s="31">
        <v>366</v>
      </c>
      <c r="N155" s="32">
        <f t="shared" si="81"/>
        <v>-7.3417721518987344E-2</v>
      </c>
      <c r="O155" s="18">
        <f>IF(ISNUMBER(M155), $B172 * N155, "")</f>
        <v>-7341.7721518987346</v>
      </c>
      <c r="Q155" s="227"/>
      <c r="R155" s="227"/>
      <c r="S155" s="227"/>
    </row>
    <row r="156" spans="1:19" ht="17.25" thickBot="1">
      <c r="A156" s="127" t="s">
        <v>110</v>
      </c>
      <c r="B156" s="128">
        <v>192</v>
      </c>
      <c r="C156" s="78">
        <v>2.1276595700000001E-2</v>
      </c>
      <c r="D156" s="20">
        <v>203</v>
      </c>
      <c r="E156" s="21">
        <f t="shared" si="78"/>
        <v>5.7291666666666664E-2</v>
      </c>
      <c r="F156" s="22">
        <f>IF(ISNUMBER(D156), $B172 * E156, "")</f>
        <v>5729.1666666666661</v>
      </c>
      <c r="G156" s="30">
        <v>190</v>
      </c>
      <c r="H156" s="21">
        <f t="shared" si="79"/>
        <v>-1.0416666666666666E-2</v>
      </c>
      <c r="I156" s="105">
        <f>IF(ISNUMBER(G156), $B172 * H156, "")</f>
        <v>-1041.6666666666665</v>
      </c>
      <c r="J156" s="20">
        <v>193</v>
      </c>
      <c r="K156" s="21">
        <f t="shared" si="80"/>
        <v>5.208333333333333E-3</v>
      </c>
      <c r="L156" s="22">
        <f>IF(ISNUMBER(J156), $B172 * K156, "")</f>
        <v>520.83333333333326</v>
      </c>
      <c r="M156" s="30">
        <v>188</v>
      </c>
      <c r="N156" s="21">
        <f t="shared" si="81"/>
        <v>-2.0833333333333332E-2</v>
      </c>
      <c r="O156" s="22">
        <f>IF(ISNUMBER(M156), $B172 * N156, "")</f>
        <v>-2083.333333333333</v>
      </c>
      <c r="Q156" s="227"/>
      <c r="R156" s="227"/>
      <c r="S156" s="227"/>
    </row>
    <row r="157" spans="1:19" ht="17.25" thickBot="1">
      <c r="A157" s="125" t="s">
        <v>236</v>
      </c>
      <c r="B157" s="129">
        <v>728</v>
      </c>
      <c r="C157" s="80">
        <v>2.10378682E-2</v>
      </c>
      <c r="D157" s="106">
        <v>770</v>
      </c>
      <c r="E157" s="107">
        <f>IF(ISNUMBER(D157), (D157 - $B157) / $B157, "")</f>
        <v>5.7692307692307696E-2</v>
      </c>
      <c r="F157" s="108">
        <f>IF(ISNUMBER(D157), $B172 * E157, "")</f>
        <v>5769.2307692307695</v>
      </c>
      <c r="G157" s="109">
        <v>731</v>
      </c>
      <c r="H157" s="107">
        <f>IF(ISNUMBER(G157), (G157 - $B157) / $B157, "")</f>
        <v>4.120879120879121E-3</v>
      </c>
      <c r="I157" s="110">
        <f>IF(ISNUMBER(G157), $B172 * H157, "")</f>
        <v>412.08791208791212</v>
      </c>
      <c r="J157" s="106">
        <v>756</v>
      </c>
      <c r="K157" s="107">
        <f>IF(ISNUMBER(J157), (J157 - $B157) / $B157, "")</f>
        <v>3.8461538461538464E-2</v>
      </c>
      <c r="L157" s="108">
        <f>IF(ISNUMBER(J157), $B172 * K157, "")</f>
        <v>3846.1538461538462</v>
      </c>
      <c r="M157" s="109">
        <v>725</v>
      </c>
      <c r="N157" s="107">
        <f>IF(ISNUMBER(M157), (M157 - $B157) / $B157, "")</f>
        <v>-4.120879120879121E-3</v>
      </c>
      <c r="O157" s="108">
        <f>IF(ISNUMBER(M157), $B172 * N157, "")</f>
        <v>-412.08791208791212</v>
      </c>
      <c r="Q157" s="227"/>
      <c r="R157" s="227"/>
      <c r="S157" s="227"/>
    </row>
    <row r="158" spans="1:19" ht="17.25" thickBot="1">
      <c r="A158" s="125" t="s">
        <v>128</v>
      </c>
      <c r="B158" s="126">
        <v>147</v>
      </c>
      <c r="C158" s="77">
        <v>2.08333333E-2</v>
      </c>
      <c r="D158" s="15">
        <v>151</v>
      </c>
      <c r="E158" s="32">
        <f t="shared" ref="E158:E161" si="82">IF(ISNUMBER(D158), (D158 - $B158) / $B158, "")</f>
        <v>2.7210884353741496E-2</v>
      </c>
      <c r="F158" s="18">
        <f>IF(ISNUMBER(D158), $B172 * E158, "")</f>
        <v>2721.0884353741494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147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139</v>
      </c>
      <c r="N158" s="32">
        <f t="shared" ref="N158:N161" si="85">IF(ISNUMBER(M158), (M158 - $B158) / $B158, "")</f>
        <v>-5.4421768707482991E-2</v>
      </c>
      <c r="O158" s="18">
        <f>IF(ISNUMBER(M158), $B172 * N158, "")</f>
        <v>-5442.1768707482988</v>
      </c>
      <c r="Q158" s="227"/>
      <c r="R158" s="227"/>
      <c r="S158" s="227"/>
    </row>
    <row r="159" spans="1:19" ht="17.25" thickBot="1">
      <c r="A159" s="125" t="s">
        <v>220</v>
      </c>
      <c r="B159" s="126">
        <v>251</v>
      </c>
      <c r="C159" s="77">
        <v>2.0325203300000001E-2</v>
      </c>
      <c r="D159" s="15">
        <v>261</v>
      </c>
      <c r="E159" s="32">
        <f t="shared" si="82"/>
        <v>3.9840637450199202E-2</v>
      </c>
      <c r="F159" s="18">
        <f>IF(ISNUMBER(D159), $B172 * E159, "")</f>
        <v>3984.0637450199201</v>
      </c>
      <c r="G159" s="31">
        <v>244</v>
      </c>
      <c r="H159" s="32">
        <f t="shared" si="83"/>
        <v>-2.7888446215139442E-2</v>
      </c>
      <c r="I159" s="101">
        <f>IF(ISNUMBER(G159), $B172 * H159, "")</f>
        <v>-2788.8446215139443</v>
      </c>
      <c r="J159" s="15">
        <v>246</v>
      </c>
      <c r="K159" s="32">
        <f t="shared" si="84"/>
        <v>-1.9920318725099601E-2</v>
      </c>
      <c r="L159" s="18">
        <f>IF(ISNUMBER(J159), $B172 * K159, "")</f>
        <v>-1992.0318725099601</v>
      </c>
      <c r="M159" s="31">
        <v>236</v>
      </c>
      <c r="N159" s="32">
        <f t="shared" si="85"/>
        <v>-5.9760956175298807E-2</v>
      </c>
      <c r="O159" s="18">
        <f>IF(ISNUMBER(M159), $B172 * N159, "")</f>
        <v>-5976.0956175298807</v>
      </c>
      <c r="Q159" s="227"/>
      <c r="R159" s="227"/>
      <c r="S159" s="227"/>
    </row>
    <row r="160" spans="1:19" ht="17.25" thickBot="1">
      <c r="A160" s="125" t="s">
        <v>57</v>
      </c>
      <c r="B160" s="126">
        <v>227</v>
      </c>
      <c r="C160" s="77">
        <v>1.3392857100000001E-2</v>
      </c>
      <c r="D160" s="15">
        <v>234</v>
      </c>
      <c r="E160" s="32">
        <f t="shared" si="82"/>
        <v>3.0837004405286344E-2</v>
      </c>
      <c r="F160" s="18">
        <f>IF(ISNUMBER(D160), $B172 * E160, "")</f>
        <v>3083.7004405286343</v>
      </c>
      <c r="G160" s="31">
        <v>225</v>
      </c>
      <c r="H160" s="32">
        <f t="shared" si="83"/>
        <v>-8.8105726872246704E-3</v>
      </c>
      <c r="I160" s="101">
        <f>IF(ISNUMBER(G160), $B172 * H160, "")</f>
        <v>-881.05726872246703</v>
      </c>
      <c r="J160" s="15">
        <v>225</v>
      </c>
      <c r="K160" s="32">
        <f t="shared" si="84"/>
        <v>-8.8105726872246704E-3</v>
      </c>
      <c r="L160" s="18">
        <f>IF(ISNUMBER(J160), $B172 * K160, "")</f>
        <v>-881.05726872246703</v>
      </c>
      <c r="M160" s="31">
        <v>214</v>
      </c>
      <c r="N160" s="32">
        <f t="shared" si="85"/>
        <v>-5.7268722466960353E-2</v>
      </c>
      <c r="O160" s="18">
        <f>IF(ISNUMBER(M160), $B172 * N160, "")</f>
        <v>-5726.8722466960353</v>
      </c>
      <c r="Q160" s="33"/>
      <c r="R160" s="33"/>
    </row>
    <row r="161" spans="1:19" ht="17.25" thickBot="1">
      <c r="A161" s="130" t="s">
        <v>166</v>
      </c>
      <c r="B161" s="131">
        <v>243</v>
      </c>
      <c r="C161" s="79">
        <v>1.2500000000000001E-2</v>
      </c>
      <c r="D161" s="24">
        <v>248</v>
      </c>
      <c r="E161" s="25">
        <f t="shared" si="82"/>
        <v>2.0576131687242798E-2</v>
      </c>
      <c r="F161" s="104">
        <f>IF(ISNUMBER(D161), $B172 * E161, "")</f>
        <v>2057.6131687242801</v>
      </c>
      <c r="G161" s="102">
        <v>234</v>
      </c>
      <c r="H161" s="25">
        <f t="shared" si="83"/>
        <v>-3.7037037037037035E-2</v>
      </c>
      <c r="I161" s="103">
        <f>IF(ISNUMBER(G161), $B172 * H161, "")</f>
        <v>-3703.7037037037035</v>
      </c>
      <c r="J161" s="24">
        <v>236</v>
      </c>
      <c r="K161" s="25">
        <f t="shared" si="84"/>
        <v>-2.8806584362139918E-2</v>
      </c>
      <c r="L161" s="104">
        <f>IF(ISNUMBER(J161), $B172 * K161, "")</f>
        <v>-2880.658436213992</v>
      </c>
      <c r="M161" s="102">
        <v>227</v>
      </c>
      <c r="N161" s="25">
        <f t="shared" si="85"/>
        <v>-6.584362139917696E-2</v>
      </c>
      <c r="O161" s="104">
        <f>IF(ISNUMBER(M161), $B172 * N161, "")</f>
        <v>-6584.3621399176964</v>
      </c>
      <c r="Q161" s="236"/>
      <c r="R161" s="237"/>
      <c r="S161" s="238"/>
    </row>
    <row r="162" spans="1:19">
      <c r="A162" s="123" t="s">
        <v>222</v>
      </c>
      <c r="B162" s="124">
        <v>197</v>
      </c>
      <c r="C162" s="76">
        <v>1.0256410299999999E-2</v>
      </c>
      <c r="D162" s="13">
        <v>206</v>
      </c>
      <c r="E162" s="14">
        <f>IF(ISNUMBER(D162), (D162 - $B162) / $B162, "")</f>
        <v>4.5685279187817257E-2</v>
      </c>
      <c r="F162" s="16">
        <f>IF(ISNUMBER(D162), $B172 * E162, "")</f>
        <v>4568.5279187817259</v>
      </c>
      <c r="G162" s="29">
        <v>194</v>
      </c>
      <c r="H162" s="14">
        <f>IF(ISNUMBER(G162), (G162 - $B162) / $B162, "")</f>
        <v>-1.5228426395939087E-2</v>
      </c>
      <c r="I162" s="100">
        <f>IF(ISNUMBER(G162), $B172 * H162, "")</f>
        <v>-1522.8426395939086</v>
      </c>
      <c r="J162" s="13">
        <v>196</v>
      </c>
      <c r="K162" s="14">
        <f>IF(ISNUMBER(J162), (J162 - $B162) / $B162, "")</f>
        <v>-5.076142131979695E-3</v>
      </c>
      <c r="L162" s="16">
        <f>IF(ISNUMBER(J162), $B172 * K162, "")</f>
        <v>-507.61421319796949</v>
      </c>
      <c r="M162" s="29">
        <v>184</v>
      </c>
      <c r="N162" s="14">
        <f>IF(ISNUMBER(M162), (M162 - $B162) / $B162, "")</f>
        <v>-6.5989847715736044E-2</v>
      </c>
      <c r="O162" s="16">
        <f>IF(ISNUMBER(M162), $B172 * N162, "")</f>
        <v>-6598.9847715736041</v>
      </c>
      <c r="Q162" s="239"/>
      <c r="R162" s="240"/>
      <c r="S162" s="241"/>
    </row>
    <row r="163" spans="1:19" ht="17.25" thickBot="1">
      <c r="A163" s="125" t="s">
        <v>192</v>
      </c>
      <c r="B163" s="126">
        <v>366</v>
      </c>
      <c r="C163" s="77">
        <v>8.2644628000000005E-3</v>
      </c>
      <c r="D163" s="15">
        <v>373</v>
      </c>
      <c r="E163" s="32">
        <f t="shared" ref="E163:E166" si="86">IF(ISNUMBER(D163), (D163 - $B163) / $B163, "")</f>
        <v>1.912568306010929E-2</v>
      </c>
      <c r="F163" s="18">
        <f>IF(ISNUMBER(D163), $B172 * E163, "")</f>
        <v>1912.5683060109291</v>
      </c>
      <c r="G163" s="31">
        <v>358</v>
      </c>
      <c r="H163" s="32">
        <f t="shared" ref="H163:H166" si="87">IF(ISNUMBER(G163), (G163 - $B163) / $B163, "")</f>
        <v>-2.185792349726776E-2</v>
      </c>
      <c r="I163" s="101">
        <f>IF(ISNUMBER(G163), $B172 * H163, "")</f>
        <v>-2185.7923497267761</v>
      </c>
      <c r="J163" s="15">
        <v>360</v>
      </c>
      <c r="K163" s="32">
        <f t="shared" ref="K163:K166" si="88">IF(ISNUMBER(J163), (J163 - $B163) / $B163, "")</f>
        <v>-1.6393442622950821E-2</v>
      </c>
      <c r="L163" s="18">
        <f>IF(ISNUMBER(J163), $B172 * K163, "")</f>
        <v>-1639.344262295082</v>
      </c>
      <c r="M163" s="31">
        <v>344</v>
      </c>
      <c r="N163" s="32">
        <f t="shared" ref="N163:N166" si="89">IF(ISNUMBER(M163), (M163 - $B163) / $B163, "")</f>
        <v>-6.0109289617486336E-2</v>
      </c>
      <c r="O163" s="18">
        <f>IF(ISNUMBER(M163), $B172 * N163, "")</f>
        <v>-6010.9289617486338</v>
      </c>
      <c r="Q163" s="242"/>
      <c r="R163" s="243"/>
      <c r="S163" s="244"/>
    </row>
    <row r="164" spans="1:19" ht="17.25" thickBot="1">
      <c r="A164" s="125" t="s">
        <v>51</v>
      </c>
      <c r="B164" s="126">
        <v>401</v>
      </c>
      <c r="C164" s="77">
        <v>7.5376884E-3</v>
      </c>
      <c r="D164" s="15">
        <v>411</v>
      </c>
      <c r="E164" s="32">
        <f t="shared" si="86"/>
        <v>2.4937655860349128E-2</v>
      </c>
      <c r="F164" s="18">
        <f>IF(ISNUMBER(D164), $B172 * E164, "")</f>
        <v>2493.7655860349128</v>
      </c>
      <c r="G164" s="31">
        <v>404</v>
      </c>
      <c r="H164" s="32">
        <f t="shared" si="87"/>
        <v>7.481296758104738E-3</v>
      </c>
      <c r="I164" s="101">
        <f>IF(ISNUMBER(G164), $B172 * H164, "")</f>
        <v>748.12967581047383</v>
      </c>
      <c r="J164" s="15">
        <v>403</v>
      </c>
      <c r="K164" s="32">
        <f t="shared" si="88"/>
        <v>4.9875311720698253E-3</v>
      </c>
      <c r="L164" s="18">
        <f>IF(ISNUMBER(J164), $B172 * K164, "")</f>
        <v>498.75311720698255</v>
      </c>
      <c r="M164" s="31">
        <v>391</v>
      </c>
      <c r="N164" s="32">
        <f t="shared" si="89"/>
        <v>-2.4937655860349128E-2</v>
      </c>
      <c r="O164" s="18">
        <f>IF(ISNUMBER(M164), $B172 * N164, "")</f>
        <v>-2493.7655860349128</v>
      </c>
      <c r="Q164" s="227"/>
      <c r="R164" s="227"/>
      <c r="S164" s="227"/>
    </row>
    <row r="165" spans="1:19" ht="17.25" thickBot="1">
      <c r="A165" s="125" t="s">
        <v>138</v>
      </c>
      <c r="B165" s="126">
        <v>394</v>
      </c>
      <c r="C165" s="77">
        <v>2.5445292999999999E-3</v>
      </c>
      <c r="D165" s="15">
        <v>404</v>
      </c>
      <c r="E165" s="32">
        <f t="shared" si="86"/>
        <v>2.5380710659898477E-2</v>
      </c>
      <c r="F165" s="18">
        <f>IF(ISNUMBER(D165), $B172 * E165, "")</f>
        <v>2538.0710659898477</v>
      </c>
      <c r="G165" s="31">
        <v>390</v>
      </c>
      <c r="H165" s="32">
        <f t="shared" si="87"/>
        <v>-1.015228426395939E-2</v>
      </c>
      <c r="I165" s="101">
        <f>IF(ISNUMBER(G165), $B172 * H165, "")</f>
        <v>-1015.228426395939</v>
      </c>
      <c r="J165" s="15">
        <v>389</v>
      </c>
      <c r="K165" s="32">
        <f t="shared" si="88"/>
        <v>-1.2690355329949238E-2</v>
      </c>
      <c r="L165" s="18">
        <f>IF(ISNUMBER(J165), $B172 * K165, "")</f>
        <v>-1269.0355329949239</v>
      </c>
      <c r="M165" s="31">
        <v>375</v>
      </c>
      <c r="N165" s="32">
        <f t="shared" si="89"/>
        <v>-4.8223350253807105E-2</v>
      </c>
      <c r="O165" s="18">
        <f>IF(ISNUMBER(M165), $B172 * N165, "")</f>
        <v>-4822.3350253807102</v>
      </c>
      <c r="Q165" s="222"/>
      <c r="R165" s="222"/>
      <c r="S165" s="222"/>
    </row>
    <row r="166" spans="1:19" ht="17.25" thickBot="1">
      <c r="A166" s="127" t="s">
        <v>242</v>
      </c>
      <c r="B166" s="128">
        <v>663</v>
      </c>
      <c r="C166" s="78">
        <v>1.510574E-3</v>
      </c>
      <c r="D166" s="20">
        <v>670</v>
      </c>
      <c r="E166" s="21">
        <f t="shared" si="86"/>
        <v>1.0558069381598794E-2</v>
      </c>
      <c r="F166" s="22">
        <f>IF(ISNUMBER(D166), $B172 * E166, "")</f>
        <v>1055.8069381598793</v>
      </c>
      <c r="G166" s="30">
        <v>646</v>
      </c>
      <c r="H166" s="21">
        <f t="shared" si="87"/>
        <v>-2.564102564102564E-2</v>
      </c>
      <c r="I166" s="105">
        <f>IF(ISNUMBER(G166), $B172 * H166, "")</f>
        <v>-2564.102564102564</v>
      </c>
      <c r="J166" s="20">
        <v>651</v>
      </c>
      <c r="K166" s="21">
        <f t="shared" si="88"/>
        <v>-1.8099547511312219E-2</v>
      </c>
      <c r="L166" s="22">
        <f>IF(ISNUMBER(J166), $B172 * K166, "")</f>
        <v>-1809.9547511312219</v>
      </c>
      <c r="M166" s="30">
        <v>623</v>
      </c>
      <c r="N166" s="21">
        <f t="shared" si="89"/>
        <v>-6.0331825037707391E-2</v>
      </c>
      <c r="O166" s="22">
        <f>IF(ISNUMBER(M166), $B172 * N166, "")</f>
        <v>-6033.1825037707395</v>
      </c>
      <c r="Q166" s="222"/>
      <c r="R166" s="222"/>
      <c r="S166" s="222"/>
    </row>
    <row r="167" spans="1:19" ht="17.25" thickBot="1">
      <c r="A167" s="125" t="s">
        <v>152</v>
      </c>
      <c r="B167" s="129">
        <v>112</v>
      </c>
      <c r="C167" s="80">
        <v>0</v>
      </c>
      <c r="D167" s="106">
        <v>114</v>
      </c>
      <c r="E167" s="107">
        <f>IF(ISNUMBER(D167), (D167 - $B167) / $B167, "")</f>
        <v>1.7857142857142856E-2</v>
      </c>
      <c r="F167" s="108">
        <f>IF(ISNUMBER(D167), $B172 * E167, "")</f>
        <v>1785.7142857142856</v>
      </c>
      <c r="G167" s="109">
        <v>110</v>
      </c>
      <c r="H167" s="107">
        <f>IF(ISNUMBER(G167), (G167 - $B167) / $B167, "")</f>
        <v>-1.7857142857142856E-2</v>
      </c>
      <c r="I167" s="110">
        <f>IF(ISNUMBER(G167), $B172 * H167, "")</f>
        <v>-1785.7142857142856</v>
      </c>
      <c r="J167" s="106">
        <v>110</v>
      </c>
      <c r="K167" s="107">
        <f>IF(ISNUMBER(J167), (J167 - $B167) / $B167, "")</f>
        <v>-1.7857142857142856E-2</v>
      </c>
      <c r="L167" s="108">
        <f>IF(ISNUMBER(J167), $B172 * K167, "")</f>
        <v>-1785.7142857142856</v>
      </c>
      <c r="M167" s="109">
        <v>108</v>
      </c>
      <c r="N167" s="107">
        <f>IF(ISNUMBER(M167), (M167 - $B167) / $B167, "")</f>
        <v>-3.5714285714285712E-2</v>
      </c>
      <c r="O167" s="108">
        <f>IF(ISNUMBER(M167), $B172 * N167, "")</f>
        <v>-3571.4285714285711</v>
      </c>
      <c r="Q167" s="227"/>
      <c r="R167" s="227"/>
      <c r="S167" s="227"/>
    </row>
    <row r="168" spans="1:19" ht="17.25" thickBot="1">
      <c r="A168" s="125" t="s">
        <v>144</v>
      </c>
      <c r="B168" s="126">
        <v>121</v>
      </c>
      <c r="C168" s="77">
        <v>0</v>
      </c>
      <c r="D168" s="15">
        <v>124</v>
      </c>
      <c r="E168" s="32">
        <f t="shared" ref="E168:E171" si="90">IF(ISNUMBER(D168), (D168 - $B168) / $B168, "")</f>
        <v>2.4793388429752067E-2</v>
      </c>
      <c r="F168" s="18">
        <f>IF(ISNUMBER(D168), $B172 * E168, "")</f>
        <v>2479.3388429752067</v>
      </c>
      <c r="G168" s="31">
        <v>120</v>
      </c>
      <c r="H168" s="32">
        <f t="shared" ref="H168:H171" si="91">IF(ISNUMBER(G168), (G168 - $B168) / $B168, "")</f>
        <v>-8.2644628099173556E-3</v>
      </c>
      <c r="I168" s="101">
        <f>IF(ISNUMBER(G168), $B172 * H168, "")</f>
        <v>-826.44628099173553</v>
      </c>
      <c r="J168" s="15">
        <v>122</v>
      </c>
      <c r="K168" s="32">
        <f t="shared" ref="K168:K171" si="92">IF(ISNUMBER(J168), (J168 - $B168) / $B168, "")</f>
        <v>8.2644628099173556E-3</v>
      </c>
      <c r="L168" s="18">
        <f>IF(ISNUMBER(J168), $B172 * K168, "")</f>
        <v>826.44628099173553</v>
      </c>
      <c r="M168" s="31">
        <v>117</v>
      </c>
      <c r="N168" s="32">
        <f t="shared" ref="N168:N171" si="93">IF(ISNUMBER(M168), (M168 - $B168) / $B168, "")</f>
        <v>-3.3057851239669422E-2</v>
      </c>
      <c r="O168" s="18">
        <f>IF(ISNUMBER(M168), $B172 * N168, "")</f>
        <v>-3305.7851239669421</v>
      </c>
      <c r="Q168" s="227"/>
      <c r="R168" s="227"/>
      <c r="S168" s="227"/>
    </row>
    <row r="169" spans="1:19" ht="17.25" thickBot="1">
      <c r="A169" s="125" t="s">
        <v>206</v>
      </c>
      <c r="B169" s="126">
        <v>890</v>
      </c>
      <c r="C169" s="77">
        <v>-7.8037903999999998E-3</v>
      </c>
      <c r="D169" s="15">
        <v>877</v>
      </c>
      <c r="E169" s="32">
        <f t="shared" si="90"/>
        <v>-1.4606741573033709E-2</v>
      </c>
      <c r="F169" s="18">
        <f>IF(ISNUMBER(D169), $B172 * E169, "")</f>
        <v>-1460.6741573033707</v>
      </c>
      <c r="G169" s="31">
        <v>839</v>
      </c>
      <c r="H169" s="32">
        <f t="shared" si="91"/>
        <v>-5.7303370786516851E-2</v>
      </c>
      <c r="I169" s="101">
        <f>IF(ISNUMBER(G169), $B172 * H169, "")</f>
        <v>-5730.3370786516853</v>
      </c>
      <c r="J169" s="15">
        <v>850</v>
      </c>
      <c r="K169" s="32">
        <f t="shared" si="92"/>
        <v>-4.49438202247191E-2</v>
      </c>
      <c r="L169" s="18">
        <f>IF(ISNUMBER(J169), $B172 * K169, "")</f>
        <v>-4494.3820224719102</v>
      </c>
      <c r="M169" s="31">
        <v>809</v>
      </c>
      <c r="N169" s="32">
        <f t="shared" si="93"/>
        <v>-9.1011235955056183E-2</v>
      </c>
      <c r="O169" s="18">
        <f>IF(ISNUMBER(M169), $B172 * N169, "")</f>
        <v>-9101.1235955056181</v>
      </c>
      <c r="Q169" s="227"/>
      <c r="R169" s="227"/>
      <c r="S169" s="227"/>
    </row>
    <row r="170" spans="1:19">
      <c r="A170" s="125" t="s">
        <v>266</v>
      </c>
      <c r="B170" s="126">
        <v>305</v>
      </c>
      <c r="C170" s="77">
        <v>-1.6129032299999999E-2</v>
      </c>
      <c r="D170" s="15">
        <v>307</v>
      </c>
      <c r="E170" s="32">
        <f t="shared" si="90"/>
        <v>6.5573770491803279E-3</v>
      </c>
      <c r="F170" s="18">
        <f>IF(ISNUMBER(D170), $B172 * E170, "")</f>
        <v>655.73770491803282</v>
      </c>
      <c r="G170" s="31">
        <v>300</v>
      </c>
      <c r="H170" s="32">
        <f t="shared" si="91"/>
        <v>-1.6393442622950821E-2</v>
      </c>
      <c r="I170" s="101">
        <f>IF(ISNUMBER(G170), $B172 * H170, "")</f>
        <v>-1639.344262295082</v>
      </c>
      <c r="J170" s="15">
        <v>301</v>
      </c>
      <c r="K170" s="32">
        <f t="shared" si="92"/>
        <v>-1.3114754098360656E-2</v>
      </c>
      <c r="L170" s="18">
        <f>IF(ISNUMBER(J170), $B172 * K170, "")</f>
        <v>-1311.4754098360656</v>
      </c>
      <c r="M170" s="31">
        <v>294</v>
      </c>
      <c r="N170" s="32">
        <f t="shared" si="93"/>
        <v>-3.6065573770491806E-2</v>
      </c>
      <c r="O170" s="18">
        <f>IF(ISNUMBER(M170), $B172 * N170, "")</f>
        <v>-3606.5573770491806</v>
      </c>
      <c r="Q170" s="249"/>
      <c r="R170" s="250"/>
      <c r="S170" s="251"/>
    </row>
    <row r="171" spans="1:19" ht="17.25" thickBot="1">
      <c r="A171" s="130" t="s">
        <v>232</v>
      </c>
      <c r="B171" s="131">
        <v>988</v>
      </c>
      <c r="C171" s="79">
        <v>-4.5410628000000001E-2</v>
      </c>
      <c r="D171" s="24">
        <v>992</v>
      </c>
      <c r="E171" s="25">
        <f t="shared" si="90"/>
        <v>4.048582995951417E-3</v>
      </c>
      <c r="F171" s="104">
        <f>IF(ISNUMBER(D171), $B172 * E171, "")</f>
        <v>404.85829959514172</v>
      </c>
      <c r="G171" s="102">
        <v>945</v>
      </c>
      <c r="H171" s="25">
        <f t="shared" si="91"/>
        <v>-4.3522267206477734E-2</v>
      </c>
      <c r="I171" s="103">
        <f>IF(ISNUMBER(G171), $B172 * H171, "")</f>
        <v>-4352.2267206477736</v>
      </c>
      <c r="J171" s="24">
        <v>957</v>
      </c>
      <c r="K171" s="25">
        <f t="shared" si="92"/>
        <v>-3.137651821862348E-2</v>
      </c>
      <c r="L171" s="104">
        <f>IF(ISNUMBER(J171), $B172 * K171, "")</f>
        <v>-3137.6518218623478</v>
      </c>
      <c r="M171" s="102">
        <v>930</v>
      </c>
      <c r="N171" s="25">
        <f t="shared" si="93"/>
        <v>-5.8704453441295545E-2</v>
      </c>
      <c r="O171" s="104">
        <f>IF(ISNUMBER(M171), $B172 * N171, "")</f>
        <v>-5870.4453441295545</v>
      </c>
      <c r="Q171" s="252"/>
      <c r="R171" s="253"/>
      <c r="S171" s="254"/>
    </row>
    <row r="172" spans="1:19" ht="17.25" thickBot="1">
      <c r="A172" s="132" t="s">
        <v>270</v>
      </c>
      <c r="B172" s="260">
        <f>$B$37</f>
        <v>100000</v>
      </c>
      <c r="C172" s="261"/>
      <c r="D172" s="26" t="s">
        <v>271</v>
      </c>
      <c r="E172" s="27">
        <f>IF(COUNT(E152:E171), SUM(E152:E171) / COUNT(E152:E171), 0)</f>
        <v>2.2906939654395671E-2</v>
      </c>
      <c r="F172" s="28">
        <f>SUM(F152:F171)</f>
        <v>45813.879308791351</v>
      </c>
      <c r="G172" s="26" t="s">
        <v>271</v>
      </c>
      <c r="H172" s="27">
        <f>IF(COUNT(H152:H171), SUM(H152:H171) / COUNT(H152:H171), 0)</f>
        <v>-1.4540912024020535E-2</v>
      </c>
      <c r="I172" s="28">
        <f>SUM(I152:I171)</f>
        <v>-29081.824048041075</v>
      </c>
      <c r="J172" s="26" t="s">
        <v>271</v>
      </c>
      <c r="K172" s="27">
        <f>IF(COUNT(K152:K171), SUM(K152:K171) / COUNT(K152:K171), 0)</f>
        <v>-8.4215044937872192E-3</v>
      </c>
      <c r="L172" s="28">
        <f>SUM(L152:L171)</f>
        <v>-16843.008987574442</v>
      </c>
      <c r="M172" s="26" t="s">
        <v>271</v>
      </c>
      <c r="N172" s="27">
        <f>IF(COUNT(N152:N171), SUM(N152:N171) / COUNT(N152:N171), 0)</f>
        <v>-4.8457457467438105E-2</v>
      </c>
      <c r="O172" s="28">
        <f>SUM(O152:O171)</f>
        <v>-96914.9149348762</v>
      </c>
      <c r="Q172" s="255"/>
      <c r="R172" s="256"/>
      <c r="S172" s="257"/>
    </row>
    <row r="174" spans="1:19" ht="17.25" thickBot="1"/>
    <row r="175" spans="1:19" ht="17.25" thickBot="1">
      <c r="A175" s="201" t="s">
        <v>255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93" t="s">
        <v>267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55149000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2.1442459999999998E-3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2021-09-10(금) 오전 00:00</v>
      </c>
      <c r="C177" s="265"/>
      <c r="D177" s="224" t="str">
        <f>TEXT($G$1, "[$-ko-KR]yyyy-mm-dd(ddd) ") &amp; "오후 14:00"</f>
        <v>2021-09-10(금) 오후 14:00</v>
      </c>
      <c r="E177" s="225"/>
      <c r="F177" s="226"/>
      <c r="G177" s="224" t="str">
        <f>TEXT($G$1, "[$-ko-KR]yyyy-mm-dd(ddd) ") &amp; "오후 19:00"</f>
        <v>2021-09-10(금) 오후 19:00</v>
      </c>
      <c r="H177" s="225"/>
      <c r="I177" s="226"/>
      <c r="J177" s="224" t="str">
        <f>TEXT($G$1, "[$-ko-KR]yyyy-mm-dd(ddd) ") &amp; "오후 21:00"</f>
        <v>2021-09-10(금) 오후 21:00</v>
      </c>
      <c r="K177" s="225"/>
      <c r="L177" s="226"/>
      <c r="M177" s="224" t="str">
        <f>TEXT($G$1+1, "[$-ko-KR]yyyy-mm-dd(ddd) ") &amp; "오전 00:00"</f>
        <v>2021-09-11(토)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7"/>
      <c r="R178" s="227"/>
      <c r="S178" s="227"/>
    </row>
    <row r="179" spans="1:19" ht="17.25" thickBot="1">
      <c r="A179" s="123" t="s">
        <v>138</v>
      </c>
      <c r="B179" s="124">
        <v>394</v>
      </c>
      <c r="C179" s="76">
        <v>2.5445292999999999E-3</v>
      </c>
      <c r="D179" s="13">
        <v>404</v>
      </c>
      <c r="E179" s="14">
        <f>IF(ISNUMBER(D179), (D179 - $B179) / $B179, "")</f>
        <v>2.5380710659898477E-2</v>
      </c>
      <c r="F179" s="16">
        <f>IF(ISNUMBER(D179), $B199 * E179, "")</f>
        <v>2538.0710659898477</v>
      </c>
      <c r="G179" s="29">
        <v>390</v>
      </c>
      <c r="H179" s="14">
        <f>IF(ISNUMBER(G179), (G179 - $B179) / $B179, "")</f>
        <v>-1.015228426395939E-2</v>
      </c>
      <c r="I179" s="100">
        <f>IF(ISNUMBER(G179), $B199 * H179, "")</f>
        <v>-1015.228426395939</v>
      </c>
      <c r="J179" s="13">
        <v>389</v>
      </c>
      <c r="K179" s="14">
        <f>IF(ISNUMBER(J179), (J179 - $B179) / $B179, "")</f>
        <v>-1.2690355329949238E-2</v>
      </c>
      <c r="L179" s="16">
        <f>IF(ISNUMBER(J179), $B199 * K179, "")</f>
        <v>-1269.0355329949239</v>
      </c>
      <c r="M179" s="29">
        <v>375</v>
      </c>
      <c r="N179" s="14">
        <f>IF(ISNUMBER(M179), (M179 - $B179) / $B179, "")</f>
        <v>-4.8223350253807105E-2</v>
      </c>
      <c r="O179" s="16">
        <f>IF(ISNUMBER(M179), $B199 * N179, "")</f>
        <v>-4822.3350253807102</v>
      </c>
      <c r="Q179" s="222"/>
      <c r="R179" s="222"/>
      <c r="S179" s="222"/>
    </row>
    <row r="180" spans="1:19" ht="17.25" thickBot="1">
      <c r="A180" s="125" t="s">
        <v>112</v>
      </c>
      <c r="B180" s="126">
        <v>8265</v>
      </c>
      <c r="C180" s="77">
        <v>1.8181817999999999E-3</v>
      </c>
      <c r="D180" s="15">
        <v>8515</v>
      </c>
      <c r="E180" s="32">
        <f t="shared" ref="E180:E183" si="94">IF(ISNUMBER(D180), (D180 - $B180) / $B180, "")</f>
        <v>3.0248033877797943E-2</v>
      </c>
      <c r="F180" s="18">
        <f>IF(ISNUMBER(D180), $B199 * E180, "")</f>
        <v>3024.8033877797943</v>
      </c>
      <c r="G180" s="31">
        <v>8205</v>
      </c>
      <c r="H180" s="32">
        <f t="shared" ref="H180:H183" si="95">IF(ISNUMBER(G180), (G180 - $B180) / $B180, "")</f>
        <v>-7.2595281306715061E-3</v>
      </c>
      <c r="I180" s="101">
        <f>IF(ISNUMBER(G180), $B199 * H180, "")</f>
        <v>-725.9528130671506</v>
      </c>
      <c r="J180" s="15">
        <v>8265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7850</v>
      </c>
      <c r="N180" s="32">
        <f t="shared" ref="N180:N183" si="97">IF(ISNUMBER(M180), (M180 - $B180) / $B180, "")</f>
        <v>-5.0211736237144589E-2</v>
      </c>
      <c r="O180" s="18">
        <f>IF(ISNUMBER(M180), $B199 * N180, "")</f>
        <v>-5021.1736237144587</v>
      </c>
      <c r="Q180" s="222"/>
      <c r="R180" s="222"/>
      <c r="S180" s="222"/>
    </row>
    <row r="181" spans="1:19" ht="17.25" thickBot="1">
      <c r="A181" s="125" t="s">
        <v>242</v>
      </c>
      <c r="B181" s="126">
        <v>663</v>
      </c>
      <c r="C181" s="77">
        <v>1.510574E-3</v>
      </c>
      <c r="D181" s="15">
        <v>670</v>
      </c>
      <c r="E181" s="32">
        <f t="shared" si="94"/>
        <v>1.0558069381598794E-2</v>
      </c>
      <c r="F181" s="18">
        <f>IF(ISNUMBER(D181), $B199 * E181, "")</f>
        <v>1055.8069381598793</v>
      </c>
      <c r="G181" s="31">
        <v>646</v>
      </c>
      <c r="H181" s="32">
        <f t="shared" si="95"/>
        <v>-2.564102564102564E-2</v>
      </c>
      <c r="I181" s="101">
        <f>IF(ISNUMBER(G181), $B199 * H181, "")</f>
        <v>-2564.102564102564</v>
      </c>
      <c r="J181" s="15">
        <v>651</v>
      </c>
      <c r="K181" s="32">
        <f t="shared" si="96"/>
        <v>-1.8099547511312219E-2</v>
      </c>
      <c r="L181" s="18">
        <f>IF(ISNUMBER(J181), $B199 * K181, "")</f>
        <v>-1809.9547511312219</v>
      </c>
      <c r="M181" s="31">
        <v>623</v>
      </c>
      <c r="N181" s="32">
        <f t="shared" si="97"/>
        <v>-6.0331825037707391E-2</v>
      </c>
      <c r="O181" s="18">
        <f>IF(ISNUMBER(M181), $B199 * N181, "")</f>
        <v>-6033.1825037707395</v>
      </c>
      <c r="Q181" s="227"/>
      <c r="R181" s="227"/>
      <c r="S181" s="227"/>
    </row>
    <row r="182" spans="1:19" ht="17.25" thickBot="1">
      <c r="A182" s="125" t="s">
        <v>182</v>
      </c>
      <c r="B182" s="126">
        <v>72640</v>
      </c>
      <c r="C182" s="77">
        <v>1.1025358E-3</v>
      </c>
      <c r="D182" s="15">
        <v>74630</v>
      </c>
      <c r="E182" s="32">
        <f t="shared" si="94"/>
        <v>2.7395374449339208E-2</v>
      </c>
      <c r="F182" s="18">
        <f>IF(ISNUMBER(D182), $B199 * E182, "")</f>
        <v>2739.5374449339211</v>
      </c>
      <c r="G182" s="31">
        <v>72220</v>
      </c>
      <c r="H182" s="32">
        <f t="shared" si="95"/>
        <v>-5.7819383259911893E-3</v>
      </c>
      <c r="I182" s="101">
        <f>IF(ISNUMBER(G182), $B199 * H182, "")</f>
        <v>-578.19383259911888</v>
      </c>
      <c r="J182" s="15">
        <v>72590</v>
      </c>
      <c r="K182" s="32">
        <f t="shared" si="96"/>
        <v>-6.8832599118942735E-4</v>
      </c>
      <c r="L182" s="18">
        <f>IF(ISNUMBER(J182), $B199 * K182, "")</f>
        <v>-68.832599118942738</v>
      </c>
      <c r="M182" s="31">
        <v>70530</v>
      </c>
      <c r="N182" s="32">
        <f t="shared" si="97"/>
        <v>-2.9047356828193833E-2</v>
      </c>
      <c r="O182" s="18">
        <f>IF(ISNUMBER(M182), $B199 * N182, "")</f>
        <v>-2904.7356828193833</v>
      </c>
      <c r="Q182" s="227"/>
      <c r="R182" s="227"/>
      <c r="S182" s="227"/>
    </row>
    <row r="183" spans="1:19" ht="17.25" thickBot="1">
      <c r="A183" s="127" t="s">
        <v>90</v>
      </c>
      <c r="B183" s="128">
        <v>1330</v>
      </c>
      <c r="C183" s="78">
        <v>0</v>
      </c>
      <c r="D183" s="20">
        <v>1355</v>
      </c>
      <c r="E183" s="21">
        <f t="shared" si="94"/>
        <v>1.8796992481203006E-2</v>
      </c>
      <c r="F183" s="22">
        <f>IF(ISNUMBER(D183), $B199 * E183, "")</f>
        <v>1879.6992481203006</v>
      </c>
      <c r="G183" s="30">
        <v>1320</v>
      </c>
      <c r="H183" s="21">
        <f t="shared" si="95"/>
        <v>-7.5187969924812026E-3</v>
      </c>
      <c r="I183" s="105">
        <f>IF(ISNUMBER(G183), $B199 * H183, "")</f>
        <v>-751.87969924812023</v>
      </c>
      <c r="J183" s="20">
        <v>1315</v>
      </c>
      <c r="K183" s="21">
        <f t="shared" si="96"/>
        <v>-1.1278195488721804E-2</v>
      </c>
      <c r="L183" s="22">
        <f>IF(ISNUMBER(J183), $B199 * K183, "")</f>
        <v>-1127.8195488721803</v>
      </c>
      <c r="M183" s="30">
        <v>1295</v>
      </c>
      <c r="N183" s="21">
        <f t="shared" si="97"/>
        <v>-2.6315789473684209E-2</v>
      </c>
      <c r="O183" s="22">
        <f>IF(ISNUMBER(M183), $B199 * N183, "")</f>
        <v>-2631.5789473684208</v>
      </c>
      <c r="Q183" s="227"/>
      <c r="R183" s="227"/>
      <c r="S183" s="227"/>
    </row>
    <row r="184" spans="1:19" ht="17.25" thickBot="1">
      <c r="A184" s="125" t="s">
        <v>152</v>
      </c>
      <c r="B184" s="129">
        <v>112</v>
      </c>
      <c r="C184" s="80">
        <v>0</v>
      </c>
      <c r="D184" s="106">
        <v>114</v>
      </c>
      <c r="E184" s="107">
        <f>IF(ISNUMBER(D184), (D184 - $B184) / $B184, "")</f>
        <v>1.7857142857142856E-2</v>
      </c>
      <c r="F184" s="108">
        <f>IF(ISNUMBER(D184), $B199 * E184, "")</f>
        <v>1785.7142857142856</v>
      </c>
      <c r="G184" s="109">
        <v>110</v>
      </c>
      <c r="H184" s="107">
        <f>IF(ISNUMBER(G184), (G184 - $B184) / $B184, "")</f>
        <v>-1.7857142857142856E-2</v>
      </c>
      <c r="I184" s="110">
        <f>IF(ISNUMBER(G184), $B199 * H184, "")</f>
        <v>-1785.7142857142856</v>
      </c>
      <c r="J184" s="106">
        <v>110</v>
      </c>
      <c r="K184" s="107">
        <f>IF(ISNUMBER(J184), (J184 - $B184) / $B184, "")</f>
        <v>-1.7857142857142856E-2</v>
      </c>
      <c r="L184" s="108">
        <f>IF(ISNUMBER(J184), $B199 * K184, "")</f>
        <v>-1785.7142857142856</v>
      </c>
      <c r="M184" s="109">
        <v>108</v>
      </c>
      <c r="N184" s="107">
        <f>IF(ISNUMBER(M184), (M184 - $B184) / $B184, "")</f>
        <v>-3.5714285714285712E-2</v>
      </c>
      <c r="O184" s="108">
        <f>IF(ISNUMBER(M184), $B199 * N184, "")</f>
        <v>-3571.4285714285711</v>
      </c>
      <c r="Q184" s="227"/>
      <c r="R184" s="227"/>
      <c r="S184" s="227"/>
    </row>
    <row r="185" spans="1:19" ht="17.25" thickBot="1">
      <c r="A185" s="125" t="s">
        <v>144</v>
      </c>
      <c r="B185" s="126">
        <v>121</v>
      </c>
      <c r="C185" s="77">
        <v>0</v>
      </c>
      <c r="D185" s="15">
        <v>124</v>
      </c>
      <c r="E185" s="32">
        <f t="shared" ref="E185:E188" si="98">IF(ISNUMBER(D185), (D185 - $B185) / $B185, "")</f>
        <v>2.4793388429752067E-2</v>
      </c>
      <c r="F185" s="18">
        <f>IF(ISNUMBER(D185), $B199 * E185, "")</f>
        <v>2479.3388429752067</v>
      </c>
      <c r="G185" s="31">
        <v>120</v>
      </c>
      <c r="H185" s="32">
        <f t="shared" ref="H185:H188" si="99">IF(ISNUMBER(G185), (G185 - $B185) / $B185, "")</f>
        <v>-8.2644628099173556E-3</v>
      </c>
      <c r="I185" s="101">
        <f>IF(ISNUMBER(G185), $B199 * H185, "")</f>
        <v>-826.44628099173553</v>
      </c>
      <c r="J185" s="15">
        <v>122</v>
      </c>
      <c r="K185" s="32">
        <f t="shared" ref="K185:K188" si="100">IF(ISNUMBER(J185), (J185 - $B185) / $B185, "")</f>
        <v>8.2644628099173556E-3</v>
      </c>
      <c r="L185" s="18">
        <f>IF(ISNUMBER(J185), $B199 * K185, "")</f>
        <v>826.44628099173553</v>
      </c>
      <c r="M185" s="31">
        <v>117</v>
      </c>
      <c r="N185" s="32">
        <f t="shared" ref="N185:N188" si="101">IF(ISNUMBER(M185), (M185 - $B185) / $B185, "")</f>
        <v>-3.3057851239669422E-2</v>
      </c>
      <c r="O185" s="18">
        <f>IF(ISNUMBER(M185), $B199 * N185, "")</f>
        <v>-3305.7851239669421</v>
      </c>
      <c r="Q185" s="227"/>
      <c r="R185" s="227"/>
      <c r="S185" s="227"/>
    </row>
    <row r="186" spans="1:19" ht="17.25" thickBot="1">
      <c r="A186" s="125" t="s">
        <v>78</v>
      </c>
      <c r="B186" s="126">
        <v>799100</v>
      </c>
      <c r="C186" s="77">
        <v>-1.2498438000000001E-3</v>
      </c>
      <c r="D186" s="15">
        <v>800700</v>
      </c>
      <c r="E186" s="32">
        <f t="shared" si="98"/>
        <v>2.0022525341008633E-3</v>
      </c>
      <c r="F186" s="18">
        <f>IF(ISNUMBER(D186), $B199 * E186, "")</f>
        <v>200.22525341008634</v>
      </c>
      <c r="G186" s="31">
        <v>790300</v>
      </c>
      <c r="H186" s="32">
        <f t="shared" si="99"/>
        <v>-1.1012388937554749E-2</v>
      </c>
      <c r="I186" s="101">
        <f>IF(ISNUMBER(G186), $B199 * H186, "")</f>
        <v>-1101.2388937554749</v>
      </c>
      <c r="J186" s="15">
        <v>791100</v>
      </c>
      <c r="K186" s="32">
        <f t="shared" si="100"/>
        <v>-1.0011262670504317E-2</v>
      </c>
      <c r="L186" s="18">
        <f>IF(ISNUMBER(J186), $B199 * K186, "")</f>
        <v>-1001.1262670504317</v>
      </c>
      <c r="M186" s="31">
        <v>776000</v>
      </c>
      <c r="N186" s="32">
        <f t="shared" si="101"/>
        <v>-2.8907520961081217E-2</v>
      </c>
      <c r="O186" s="18">
        <f>IF(ISNUMBER(M186), $B199 * N186, "")</f>
        <v>-2890.7520961081218</v>
      </c>
      <c r="Q186" s="227"/>
      <c r="R186" s="227"/>
      <c r="S186" s="227"/>
    </row>
    <row r="187" spans="1:19" ht="17.25" thickBot="1">
      <c r="A187" s="125" t="s">
        <v>100</v>
      </c>
      <c r="B187" s="126">
        <v>71110</v>
      </c>
      <c r="C187" s="77">
        <v>-2.9444756E-3</v>
      </c>
      <c r="D187" s="15">
        <v>71330</v>
      </c>
      <c r="E187" s="32">
        <f t="shared" si="98"/>
        <v>3.093798340599072E-3</v>
      </c>
      <c r="F187" s="18">
        <f>IF(ISNUMBER(D187), $B199 * E187, "")</f>
        <v>309.37983405990718</v>
      </c>
      <c r="G187" s="31">
        <v>70080</v>
      </c>
      <c r="H187" s="32">
        <f t="shared" si="99"/>
        <v>-1.4484601321895654E-2</v>
      </c>
      <c r="I187" s="101">
        <f>IF(ISNUMBER(G187), $B199 * H187, "")</f>
        <v>-1448.4601321895655</v>
      </c>
      <c r="J187" s="15">
        <v>70300</v>
      </c>
      <c r="K187" s="32">
        <f t="shared" si="100"/>
        <v>-1.1390802981296582E-2</v>
      </c>
      <c r="L187" s="18">
        <f>IF(ISNUMBER(J187), $B199 * K187, "")</f>
        <v>-1139.0802981296583</v>
      </c>
      <c r="M187" s="31">
        <v>68470</v>
      </c>
      <c r="N187" s="32">
        <f t="shared" si="101"/>
        <v>-3.7125580087188866E-2</v>
      </c>
      <c r="O187" s="18">
        <f>IF(ISNUMBER(M187), $B199 * N187, "")</f>
        <v>-3712.5580087188864</v>
      </c>
      <c r="Q187" s="33"/>
      <c r="R187" s="33"/>
    </row>
    <row r="188" spans="1:19" ht="17.25" thickBot="1">
      <c r="A188" s="130" t="s">
        <v>92</v>
      </c>
      <c r="B188" s="131">
        <v>82800</v>
      </c>
      <c r="C188" s="79">
        <v>-3.3702455000000002E-3</v>
      </c>
      <c r="D188" s="24">
        <v>83160</v>
      </c>
      <c r="E188" s="25">
        <f t="shared" si="98"/>
        <v>4.3478260869565218E-3</v>
      </c>
      <c r="F188" s="104">
        <f>IF(ISNUMBER(D188), $B199 * E188, "")</f>
        <v>434.78260869565219</v>
      </c>
      <c r="G188" s="102">
        <v>81300</v>
      </c>
      <c r="H188" s="25">
        <f t="shared" si="99"/>
        <v>-1.8115942028985508E-2</v>
      </c>
      <c r="I188" s="103">
        <f>IF(ISNUMBER(G188), $B199 * H188, "")</f>
        <v>-1811.5942028985507</v>
      </c>
      <c r="J188" s="24">
        <v>81420</v>
      </c>
      <c r="K188" s="25">
        <f t="shared" si="100"/>
        <v>-1.6666666666666666E-2</v>
      </c>
      <c r="L188" s="104">
        <f>IF(ISNUMBER(J188), $B199 * K188, "")</f>
        <v>-1666.6666666666667</v>
      </c>
      <c r="M188" s="102">
        <v>79480</v>
      </c>
      <c r="N188" s="25">
        <f t="shared" si="101"/>
        <v>-4.0096618357487922E-2</v>
      </c>
      <c r="O188" s="104">
        <f>IF(ISNUMBER(M188), $B199 * N188, "")</f>
        <v>-4009.6618357487923</v>
      </c>
      <c r="Q188" s="236"/>
      <c r="R188" s="237"/>
      <c r="S188" s="238"/>
    </row>
    <row r="189" spans="1:19">
      <c r="A189" s="123" t="s">
        <v>94</v>
      </c>
      <c r="B189" s="124">
        <v>4202000</v>
      </c>
      <c r="C189" s="76">
        <v>-6.3844881000000003E-3</v>
      </c>
      <c r="D189" s="13">
        <v>4151000</v>
      </c>
      <c r="E189" s="14">
        <f>IF(ISNUMBER(D189), (D189 - $B189) / $B189, "")</f>
        <v>-1.2137077582103761E-2</v>
      </c>
      <c r="F189" s="16">
        <f>IF(ISNUMBER(D189), $B199 * E189, "")</f>
        <v>-1213.7077582103761</v>
      </c>
      <c r="G189" s="29">
        <v>4106000</v>
      </c>
      <c r="H189" s="14">
        <f>IF(ISNUMBER(G189), (G189 - $B189) / $B189, "")</f>
        <v>-2.2846263683960019E-2</v>
      </c>
      <c r="I189" s="100">
        <f>IF(ISNUMBER(G189), $B199 * H189, "")</f>
        <v>-2284.6263683960019</v>
      </c>
      <c r="J189" s="13">
        <v>4106000</v>
      </c>
      <c r="K189" s="14">
        <f>IF(ISNUMBER(J189), (J189 - $B189) / $B189, "")</f>
        <v>-2.2846263683960019E-2</v>
      </c>
      <c r="L189" s="16">
        <f>IF(ISNUMBER(J189), $B199 * K189, "")</f>
        <v>-2284.6263683960019</v>
      </c>
      <c r="M189" s="29">
        <v>3994000</v>
      </c>
      <c r="N189" s="14">
        <f>IF(ISNUMBER(M189), (M189 - $B189) / $B189, "")</f>
        <v>-4.9500237981913373E-2</v>
      </c>
      <c r="O189" s="16">
        <f>IF(ISNUMBER(M189), $B199 * N189, "")</f>
        <v>-4950.0237981913369</v>
      </c>
      <c r="Q189" s="239"/>
      <c r="R189" s="240"/>
      <c r="S189" s="241"/>
    </row>
    <row r="190" spans="1:19" ht="17.25" thickBot="1">
      <c r="A190" s="125" t="s">
        <v>206</v>
      </c>
      <c r="B190" s="126">
        <v>890</v>
      </c>
      <c r="C190" s="77">
        <v>-7.8037903999999998E-3</v>
      </c>
      <c r="D190" s="15">
        <v>877</v>
      </c>
      <c r="E190" s="32">
        <f t="shared" ref="E190:E193" si="102">IF(ISNUMBER(D190), (D190 - $B190) / $B190, "")</f>
        <v>-1.4606741573033709E-2</v>
      </c>
      <c r="F190" s="18">
        <f>IF(ISNUMBER(D190), $B199 * E190, "")</f>
        <v>-1460.6741573033707</v>
      </c>
      <c r="G190" s="31">
        <v>839</v>
      </c>
      <c r="H190" s="32">
        <f t="shared" ref="H190:H193" si="103">IF(ISNUMBER(G190), (G190 - $B190) / $B190, "")</f>
        <v>-5.7303370786516851E-2</v>
      </c>
      <c r="I190" s="101">
        <f>IF(ISNUMBER(G190), $B199 * H190, "")</f>
        <v>-5730.3370786516853</v>
      </c>
      <c r="J190" s="15">
        <v>850</v>
      </c>
      <c r="K190" s="32">
        <f t="shared" ref="K190:K193" si="104">IF(ISNUMBER(J190), (J190 - $B190) / $B190, "")</f>
        <v>-4.49438202247191E-2</v>
      </c>
      <c r="L190" s="18">
        <f>IF(ISNUMBER(J190), $B199 * K190, "")</f>
        <v>-4494.3820224719102</v>
      </c>
      <c r="M190" s="31">
        <v>809</v>
      </c>
      <c r="N190" s="32">
        <f t="shared" ref="N190:N193" si="105">IF(ISNUMBER(M190), (M190 - $B190) / $B190, "")</f>
        <v>-9.1011235955056183E-2</v>
      </c>
      <c r="O190" s="18">
        <f>IF(ISNUMBER(M190), $B199 * N190, "")</f>
        <v>-9101.1235955056181</v>
      </c>
      <c r="Q190" s="242"/>
      <c r="R190" s="243"/>
      <c r="S190" s="244"/>
    </row>
    <row r="191" spans="1:19" ht="17.25" thickBot="1">
      <c r="A191" s="125" t="s">
        <v>178</v>
      </c>
      <c r="B191" s="126">
        <v>20.3</v>
      </c>
      <c r="C191" s="77">
        <v>-9.7560975999999994E-3</v>
      </c>
      <c r="D191" s="15">
        <v>20.5</v>
      </c>
      <c r="E191" s="32">
        <f t="shared" si="102"/>
        <v>9.8522167487684383E-3</v>
      </c>
      <c r="F191" s="18">
        <f>IF(ISNUMBER(D191), $B199 * E191, "")</f>
        <v>985.22167487684385</v>
      </c>
      <c r="G191" s="31">
        <v>19.600000000000001</v>
      </c>
      <c r="H191" s="32">
        <f t="shared" si="103"/>
        <v>-3.448275862068962E-2</v>
      </c>
      <c r="I191" s="101">
        <f>IF(ISNUMBER(G191), $B199 * H191, "")</f>
        <v>-3448.2758620689619</v>
      </c>
      <c r="J191" s="15">
        <v>20</v>
      </c>
      <c r="K191" s="32">
        <f t="shared" si="104"/>
        <v>-1.4778325123152743E-2</v>
      </c>
      <c r="L191" s="18">
        <f>IF(ISNUMBER(J191), $B199 * K191, "")</f>
        <v>-1477.8325123152742</v>
      </c>
      <c r="M191" s="31">
        <v>19.399999999999999</v>
      </c>
      <c r="N191" s="32">
        <f t="shared" si="105"/>
        <v>-4.4334975369458234E-2</v>
      </c>
      <c r="O191" s="18">
        <f>IF(ISNUMBER(M191), $B199 * N191, "")</f>
        <v>-4433.4975369458234</v>
      </c>
      <c r="Q191" s="227"/>
      <c r="R191" s="227"/>
      <c r="S191" s="227"/>
    </row>
    <row r="192" spans="1:19" ht="17.25" thickBot="1">
      <c r="A192" s="125" t="s">
        <v>160</v>
      </c>
      <c r="B192" s="126">
        <v>1825</v>
      </c>
      <c r="C192" s="77">
        <v>-1.3513513499999999E-2</v>
      </c>
      <c r="D192" s="15">
        <v>1835</v>
      </c>
      <c r="E192" s="32">
        <f t="shared" si="102"/>
        <v>5.4794520547945206E-3</v>
      </c>
      <c r="F192" s="18">
        <f>IF(ISNUMBER(D192), $B199 * E192, "")</f>
        <v>547.94520547945206</v>
      </c>
      <c r="G192" s="31">
        <v>1775</v>
      </c>
      <c r="H192" s="32">
        <f t="shared" si="103"/>
        <v>-2.7397260273972601E-2</v>
      </c>
      <c r="I192" s="101">
        <f>IF(ISNUMBER(G192), $B199 * H192, "")</f>
        <v>-2739.7260273972602</v>
      </c>
      <c r="J192" s="15">
        <v>1785</v>
      </c>
      <c r="K192" s="32">
        <f t="shared" si="104"/>
        <v>-2.1917808219178082E-2</v>
      </c>
      <c r="L192" s="18">
        <f>IF(ISNUMBER(J192), $B199 * K192, "")</f>
        <v>-2191.7808219178082</v>
      </c>
      <c r="M192" s="31">
        <v>1715</v>
      </c>
      <c r="N192" s="32">
        <f t="shared" si="105"/>
        <v>-6.0273972602739728E-2</v>
      </c>
      <c r="O192" s="18">
        <f>IF(ISNUMBER(M192), $B199 * N192, "")</f>
        <v>-6027.3972602739732</v>
      </c>
      <c r="Q192" s="222"/>
      <c r="R192" s="222"/>
      <c r="S192" s="222"/>
    </row>
    <row r="193" spans="1:19" ht="17.25" thickBot="1">
      <c r="A193" s="127" t="s">
        <v>98</v>
      </c>
      <c r="B193" s="128">
        <v>4.9000000000000004</v>
      </c>
      <c r="C193" s="78">
        <v>-1.4084507E-2</v>
      </c>
      <c r="D193" s="20">
        <v>4.93</v>
      </c>
      <c r="E193" s="21">
        <f t="shared" si="102"/>
        <v>6.1224489795917054E-3</v>
      </c>
      <c r="F193" s="22">
        <f>IF(ISNUMBER(D193), $B199 * E193, "")</f>
        <v>612.24489795917054</v>
      </c>
      <c r="G193" s="30">
        <v>4.82</v>
      </c>
      <c r="H193" s="21">
        <f t="shared" si="103"/>
        <v>-1.632653061224491E-2</v>
      </c>
      <c r="I193" s="105">
        <f>IF(ISNUMBER(G193), $B199 * H193, "")</f>
        <v>-1632.653061224491</v>
      </c>
      <c r="J193" s="20">
        <v>4.83</v>
      </c>
      <c r="K193" s="21">
        <f t="shared" si="104"/>
        <v>-1.4285714285714343E-2</v>
      </c>
      <c r="L193" s="22">
        <f>IF(ISNUMBER(J193), $B199 * K193, "")</f>
        <v>-1428.5714285714344</v>
      </c>
      <c r="M193" s="30">
        <v>4.6900000000000004</v>
      </c>
      <c r="N193" s="21">
        <f t="shared" si="105"/>
        <v>-4.2857142857142844E-2</v>
      </c>
      <c r="O193" s="22">
        <f>IF(ISNUMBER(M193), $B199 * N193, "")</f>
        <v>-4285.7142857142844</v>
      </c>
      <c r="Q193" s="222"/>
      <c r="R193" s="222"/>
      <c r="S193" s="222"/>
    </row>
    <row r="194" spans="1:19" ht="17.25" thickBot="1">
      <c r="A194" s="125" t="s">
        <v>266</v>
      </c>
      <c r="B194" s="129">
        <v>305</v>
      </c>
      <c r="C194" s="80">
        <v>-1.6129032299999999E-2</v>
      </c>
      <c r="D194" s="106">
        <v>307</v>
      </c>
      <c r="E194" s="107">
        <f>IF(ISNUMBER(D194), (D194 - $B194) / $B194, "")</f>
        <v>6.5573770491803279E-3</v>
      </c>
      <c r="F194" s="108">
        <f>IF(ISNUMBER(D194), $B199 * E194, "")</f>
        <v>655.73770491803282</v>
      </c>
      <c r="G194" s="109">
        <v>300</v>
      </c>
      <c r="H194" s="107">
        <f>IF(ISNUMBER(G194), (G194 - $B194) / $B194, "")</f>
        <v>-1.6393442622950821E-2</v>
      </c>
      <c r="I194" s="110">
        <f>IF(ISNUMBER(G194), $B199 * H194, "")</f>
        <v>-1639.344262295082</v>
      </c>
      <c r="J194" s="106">
        <v>301</v>
      </c>
      <c r="K194" s="107">
        <f>IF(ISNUMBER(J194), (J194 - $B194) / $B194, "")</f>
        <v>-1.3114754098360656E-2</v>
      </c>
      <c r="L194" s="108">
        <f>IF(ISNUMBER(J194), $B199 * K194, "")</f>
        <v>-1311.4754098360656</v>
      </c>
      <c r="M194" s="109">
        <v>294</v>
      </c>
      <c r="N194" s="107">
        <f>IF(ISNUMBER(M194), (M194 - $B194) / $B194, "")</f>
        <v>-3.6065573770491806E-2</v>
      </c>
      <c r="O194" s="108">
        <f>IF(ISNUMBER(M194), $B199 * N194, "")</f>
        <v>-3606.5573770491806</v>
      </c>
      <c r="Q194" s="227"/>
      <c r="R194" s="227"/>
      <c r="S194" s="227"/>
    </row>
    <row r="195" spans="1:19" ht="17.25" thickBot="1">
      <c r="A195" s="125" t="s">
        <v>106</v>
      </c>
      <c r="B195" s="126">
        <v>308100</v>
      </c>
      <c r="C195" s="77">
        <v>-3.1284389199999998E-2</v>
      </c>
      <c r="D195" s="15">
        <v>305800</v>
      </c>
      <c r="E195" s="32">
        <f t="shared" ref="E195:E198" si="106">IF(ISNUMBER(D195), (D195 - $B195) / $B195, "")</f>
        <v>-7.4651087309315156E-3</v>
      </c>
      <c r="F195" s="18">
        <f>IF(ISNUMBER(D195), $B199 * E195, "")</f>
        <v>-746.51087309315153</v>
      </c>
      <c r="G195" s="31">
        <v>292900</v>
      </c>
      <c r="H195" s="32">
        <f t="shared" ref="H195:H198" si="107">IF(ISNUMBER(G195), (G195 - $B195) / $B195, "")</f>
        <v>-4.9334631613112627E-2</v>
      </c>
      <c r="I195" s="101">
        <f>IF(ISNUMBER(G195), $B199 * H195, "")</f>
        <v>-4933.4631613112624</v>
      </c>
      <c r="J195" s="15">
        <v>292700</v>
      </c>
      <c r="K195" s="32">
        <f t="shared" ref="K195:K198" si="108">IF(ISNUMBER(J195), (J195 - $B195) / $B195, "")</f>
        <v>-4.9983771502758845E-2</v>
      </c>
      <c r="L195" s="18">
        <f>IF(ISNUMBER(J195), $B199 * K195, "")</f>
        <v>-4998.3771502758846</v>
      </c>
      <c r="M195" s="31">
        <v>291600</v>
      </c>
      <c r="N195" s="32">
        <f t="shared" ref="N195:N198" si="109">IF(ISNUMBER(M195), (M195 - $B195) / $B195, "")</f>
        <v>-5.3554040895813046E-2</v>
      </c>
      <c r="O195" s="18">
        <f>IF(ISNUMBER(M195), $B199 * N195, "")</f>
        <v>-5355.404089581305</v>
      </c>
      <c r="Q195" s="227"/>
      <c r="R195" s="227"/>
      <c r="S195" s="227"/>
    </row>
    <row r="196" spans="1:19" ht="17.25" thickBot="1">
      <c r="A196" s="125" t="s">
        <v>88</v>
      </c>
      <c r="B196" s="126">
        <v>253250</v>
      </c>
      <c r="C196" s="77">
        <v>-3.9081768199999999E-2</v>
      </c>
      <c r="D196" s="15">
        <v>249600</v>
      </c>
      <c r="E196" s="32">
        <f t="shared" si="106"/>
        <v>-1.4412635735439289E-2</v>
      </c>
      <c r="F196" s="18">
        <f>IF(ISNUMBER(D196), $B199 * E196, "")</f>
        <v>-1441.2635735439289</v>
      </c>
      <c r="G196" s="31">
        <v>241650</v>
      </c>
      <c r="H196" s="32">
        <f t="shared" si="107"/>
        <v>-4.5804540967423493E-2</v>
      </c>
      <c r="I196" s="101">
        <f>IF(ISNUMBER(G196), $B199 * H196, "")</f>
        <v>-4580.4540967423491</v>
      </c>
      <c r="J196" s="15">
        <v>243250</v>
      </c>
      <c r="K196" s="32">
        <f t="shared" si="108"/>
        <v>-3.9486673247778874E-2</v>
      </c>
      <c r="L196" s="18">
        <f>IF(ISNUMBER(J196), $B199 * K196, "")</f>
        <v>-3948.6673247778872</v>
      </c>
      <c r="M196" s="31">
        <v>237800</v>
      </c>
      <c r="N196" s="32">
        <f t="shared" si="109"/>
        <v>-6.1006910167818361E-2</v>
      </c>
      <c r="O196" s="18">
        <f>IF(ISNUMBER(M196), $B199 * N196, "")</f>
        <v>-6100.691016781836</v>
      </c>
      <c r="Q196" s="227"/>
      <c r="R196" s="227"/>
      <c r="S196" s="227"/>
    </row>
    <row r="197" spans="1:19">
      <c r="A197" s="125" t="s">
        <v>232</v>
      </c>
      <c r="B197" s="126">
        <v>988</v>
      </c>
      <c r="C197" s="77">
        <v>-4.5410628000000001E-2</v>
      </c>
      <c r="D197" s="15">
        <v>992</v>
      </c>
      <c r="E197" s="32">
        <f t="shared" si="106"/>
        <v>4.048582995951417E-3</v>
      </c>
      <c r="F197" s="18">
        <f>IF(ISNUMBER(D197), $B199 * E197, "")</f>
        <v>404.85829959514172</v>
      </c>
      <c r="G197" s="31">
        <v>945</v>
      </c>
      <c r="H197" s="32">
        <f t="shared" si="107"/>
        <v>-4.3522267206477734E-2</v>
      </c>
      <c r="I197" s="101">
        <f>IF(ISNUMBER(G197), $B199 * H197, "")</f>
        <v>-4352.2267206477736</v>
      </c>
      <c r="J197" s="15">
        <v>957</v>
      </c>
      <c r="K197" s="32">
        <f t="shared" si="108"/>
        <v>-3.137651821862348E-2</v>
      </c>
      <c r="L197" s="18">
        <f>IF(ISNUMBER(J197), $B199 * K197, "")</f>
        <v>-3137.6518218623478</v>
      </c>
      <c r="M197" s="31">
        <v>930</v>
      </c>
      <c r="N197" s="32">
        <f t="shared" si="109"/>
        <v>-5.8704453441295545E-2</v>
      </c>
      <c r="O197" s="18">
        <f>IF(ISNUMBER(M197), $B199 * N197, "")</f>
        <v>-5870.4453441295545</v>
      </c>
      <c r="Q197" s="249"/>
      <c r="R197" s="250"/>
      <c r="S197" s="251"/>
    </row>
    <row r="198" spans="1:19" ht="17.25" thickBot="1">
      <c r="A198" s="130" t="s">
        <v>228</v>
      </c>
      <c r="B198" s="131">
        <v>1055</v>
      </c>
      <c r="C198" s="79">
        <v>-5.8035714299999999E-2</v>
      </c>
      <c r="D198" s="24">
        <v>1050</v>
      </c>
      <c r="E198" s="25">
        <f t="shared" si="106"/>
        <v>-4.7393364928909956E-3</v>
      </c>
      <c r="F198" s="104">
        <f>IF(ISNUMBER(D198), $B199 * E198, "")</f>
        <v>-473.93364928909955</v>
      </c>
      <c r="G198" s="102">
        <v>1015</v>
      </c>
      <c r="H198" s="25">
        <f t="shared" si="107"/>
        <v>-3.7914691943127965E-2</v>
      </c>
      <c r="I198" s="103">
        <f>IF(ISNUMBER(G198), $B199 * H198, "")</f>
        <v>-3791.4691943127964</v>
      </c>
      <c r="J198" s="24">
        <v>1005</v>
      </c>
      <c r="K198" s="25">
        <f t="shared" si="108"/>
        <v>-4.7393364928909949E-2</v>
      </c>
      <c r="L198" s="104">
        <f>IF(ISNUMBER(J198), $B199 * K198, "")</f>
        <v>-4739.336492890995</v>
      </c>
      <c r="M198" s="102">
        <v>989</v>
      </c>
      <c r="N198" s="25">
        <f t="shared" si="109"/>
        <v>-6.2559241706161131E-2</v>
      </c>
      <c r="O198" s="104">
        <f>IF(ISNUMBER(M198), $B199 * N198, "")</f>
        <v>-6255.9241706161129</v>
      </c>
      <c r="Q198" s="252"/>
      <c r="R198" s="253"/>
      <c r="S198" s="254"/>
    </row>
    <row r="199" spans="1:19" ht="17.25" thickBot="1">
      <c r="A199" s="132" t="s">
        <v>270</v>
      </c>
      <c r="B199" s="260">
        <f>$B$37</f>
        <v>100000</v>
      </c>
      <c r="C199" s="261"/>
      <c r="D199" s="26" t="s">
        <v>271</v>
      </c>
      <c r="E199" s="27">
        <f>IF(COUNT(E179:E198), SUM(E179:E198) / COUNT(E179:E198), 0)</f>
        <v>7.1586383406138003E-3</v>
      </c>
      <c r="F199" s="28">
        <f>SUM(F179:F198)</f>
        <v>14317.2766812276</v>
      </c>
      <c r="G199" s="26" t="s">
        <v>271</v>
      </c>
      <c r="H199" s="27">
        <f>IF(COUNT(H179:H198), SUM(H179:H198) / COUNT(H179:H198), 0)</f>
        <v>-2.3870693482005084E-2</v>
      </c>
      <c r="I199" s="28">
        <f>SUM(I179:I198)</f>
        <v>-47741.386964010162</v>
      </c>
      <c r="J199" s="26" t="s">
        <v>271</v>
      </c>
      <c r="K199" s="27">
        <f>IF(COUNT(K179:K198), SUM(K179:K198) / COUNT(K179:K198), 0)</f>
        <v>-1.9527242511001092E-2</v>
      </c>
      <c r="L199" s="28">
        <f>SUM(L179:L198)</f>
        <v>-39054.485022002184</v>
      </c>
      <c r="M199" s="26" t="s">
        <v>271</v>
      </c>
      <c r="N199" s="27">
        <f>IF(COUNT(N179:N198), SUM(N179:N198) / COUNT(N179:N198), 0)</f>
        <v>-4.7444984946907021E-2</v>
      </c>
      <c r="O199" s="28">
        <f>SUM(O179:O198)</f>
        <v>-94889.96989381405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8B1BC-407A-4915-8C3D-991FC55AB694}">
  <sheetPr codeName="Sheet17"/>
  <dimension ref="A1:S199"/>
  <sheetViews>
    <sheetView tabSelected="1"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44450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320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328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51,574 KRW (2.58%)</v>
      </c>
      <c r="H3" s="217"/>
      <c r="I3" s="218"/>
      <c r="J3" s="4" t="s">
        <v>7</v>
      </c>
      <c r="K3" s="213" t="s">
        <v>321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322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319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21,927 KRW (1.29%)</v>
      </c>
      <c r="H5" s="217"/>
      <c r="I5" s="218"/>
      <c r="J5" s="4" t="s">
        <v>15</v>
      </c>
      <c r="K5" s="213" t="s">
        <v>323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324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36,436 KRW (1.82%)</v>
      </c>
      <c r="H7" s="217"/>
      <c r="I7" s="218"/>
      <c r="J7" s="4" t="s">
        <v>21</v>
      </c>
      <c r="K7" s="213" t="s">
        <v>325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255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21,226 KRW (1.06%)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326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327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318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97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55149000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2.1442459999999998E-3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2021-09-11(토) 오전 00:00</v>
      </c>
      <c r="C15" s="268"/>
      <c r="D15" s="224" t="str">
        <f>TEXT($G$1, "[$-ko-KR]yyyy-mm-dd(ddd) ") &amp; "오후 14:00"</f>
        <v>2021-09-11(토) 오후 14:00</v>
      </c>
      <c r="E15" s="225"/>
      <c r="F15" s="226"/>
      <c r="G15" s="224" t="str">
        <f>TEXT($G$1, "[$-ko-KR]yyyy-mm-dd(ddd) ") &amp; "오후 19:00"</f>
        <v>2021-09-11(토) 오후 19:00</v>
      </c>
      <c r="H15" s="225"/>
      <c r="I15" s="226"/>
      <c r="J15" s="224" t="str">
        <f>TEXT($G$1, "[$-ko-KR]yyyy-mm-dd(ddd) ") &amp; "오후 21:00"</f>
        <v>2021-09-11(토) 오후 21:00</v>
      </c>
      <c r="K15" s="225"/>
      <c r="L15" s="226"/>
      <c r="M15" s="224" t="str">
        <f>TEXT($G$1+1, "[$-ko-KR]yyyy-mm-dd(ddd) ") &amp; "오전 00:00"</f>
        <v>2021-09-12(일)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97" t="s">
        <v>267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55149000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2.1442459999999998E-3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2021-09-11(토) 오전 00:00</v>
      </c>
      <c r="C42" s="265"/>
      <c r="D42" s="224" t="str">
        <f>TEXT($G$1, "[$-ko-KR]yyyy-mm-dd(ddd) ") &amp; "오후 14:00"</f>
        <v>2021-09-11(토) 오후 14:00</v>
      </c>
      <c r="E42" s="225"/>
      <c r="F42" s="226"/>
      <c r="G42" s="224" t="str">
        <f>TEXT($G$1, "[$-ko-KR]yyyy-mm-dd(ddd) ") &amp; "오후 19:00"</f>
        <v>2021-09-11(토) 오후 19:00</v>
      </c>
      <c r="H42" s="225"/>
      <c r="I42" s="226"/>
      <c r="J42" s="224" t="str">
        <f>TEXT($G$1, "[$-ko-KR]yyyy-mm-dd(ddd) ") &amp; "오후 21:00"</f>
        <v>2021-09-11(토) 오후 21:00</v>
      </c>
      <c r="K42" s="225"/>
      <c r="L42" s="226"/>
      <c r="M42" s="224" t="str">
        <f>TEXT($G$1+1, "[$-ko-KR]yyyy-mm-dd(ddd) ") &amp; "오전 00:00"</f>
        <v>2021-09-12(일)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7"/>
      <c r="R43" s="227"/>
      <c r="S43" s="227"/>
    </row>
    <row r="44" spans="1:19" ht="17.25" customHeight="1" thickBot="1">
      <c r="A44" s="123" t="s">
        <v>72</v>
      </c>
      <c r="B44" s="124">
        <v>29.3</v>
      </c>
      <c r="C44" s="76">
        <v>5.7761732900000001E-2</v>
      </c>
      <c r="D44" s="13">
        <v>29.3</v>
      </c>
      <c r="E44" s="14">
        <f>IF(ISNUMBER(D44), (D44 - $B44) / $B44, "")</f>
        <v>0</v>
      </c>
      <c r="F44" s="16">
        <f>IF(ISNUMBER(D44), $B64 * E44, "")</f>
        <v>0</v>
      </c>
      <c r="G44" s="29">
        <v>29.2</v>
      </c>
      <c r="H44" s="14">
        <f>IF(ISNUMBER(G44), (G44 - $B44) / $B44, "")</f>
        <v>-3.4129692832764991E-3</v>
      </c>
      <c r="I44" s="100">
        <f>IF(ISNUMBER(G44), $B64 * H44, "")</f>
        <v>-341.29692832764994</v>
      </c>
      <c r="J44" s="13">
        <v>29.4</v>
      </c>
      <c r="K44" s="14">
        <f>IF(ISNUMBER(J44), (J44 - $B44) / $B44, "")</f>
        <v>3.4129692832763777E-3</v>
      </c>
      <c r="L44" s="16">
        <f>IF(ISNUMBER(J44), $B64 * K44, "")</f>
        <v>341.29692832763777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2"/>
      <c r="R44" s="222"/>
      <c r="S44" s="222"/>
    </row>
    <row r="45" spans="1:19" ht="17.25" customHeight="1" thickBot="1">
      <c r="A45" s="125" t="s">
        <v>208</v>
      </c>
      <c r="B45" s="126">
        <v>14.5</v>
      </c>
      <c r="C45" s="77">
        <v>-6.8493151000000004E-3</v>
      </c>
      <c r="D45" s="15">
        <v>14.7</v>
      </c>
      <c r="E45" s="32">
        <f t="shared" ref="E45:E48" si="14">IF(ISNUMBER(D45), (D45 - $B45) / $B45, "")</f>
        <v>1.3793103448275813E-2</v>
      </c>
      <c r="F45" s="18">
        <f>IF(ISNUMBER(D45), $B64 * E45, "")</f>
        <v>1379.3103448275813</v>
      </c>
      <c r="G45" s="31">
        <v>14.9</v>
      </c>
      <c r="H45" s="32">
        <f t="shared" ref="H45:H48" si="15">IF(ISNUMBER(G45), (G45 - $B45) / $B45, "")</f>
        <v>2.7586206896551748E-2</v>
      </c>
      <c r="I45" s="101">
        <f>IF(ISNUMBER(G45), $B64 * H45, "")</f>
        <v>2758.6206896551748</v>
      </c>
      <c r="J45" s="15">
        <v>14.8</v>
      </c>
      <c r="K45" s="32">
        <f t="shared" ref="K45:K48" si="16">IF(ISNUMBER(J45), (J45 - $B45) / $B45, "")</f>
        <v>2.0689655172413841E-2</v>
      </c>
      <c r="L45" s="18">
        <f>IF(ISNUMBER(J45), $B64 * K45, "")</f>
        <v>2068.9655172413841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2"/>
      <c r="R45" s="222"/>
      <c r="S45" s="222"/>
    </row>
    <row r="46" spans="1:19" ht="17.25" customHeight="1" thickBot="1">
      <c r="A46" s="125" t="s">
        <v>98</v>
      </c>
      <c r="B46" s="126">
        <v>4.6900000000000004</v>
      </c>
      <c r="C46" s="77">
        <v>-5.0607287399999999E-2</v>
      </c>
      <c r="D46" s="15">
        <v>4.7699999999999996</v>
      </c>
      <c r="E46" s="32">
        <f t="shared" si="14"/>
        <v>1.7057569296375089E-2</v>
      </c>
      <c r="F46" s="18">
        <f>IF(ISNUMBER(D46), $B64 * E46, "")</f>
        <v>1705.7569296375088</v>
      </c>
      <c r="G46" s="31">
        <v>4.7699999999999996</v>
      </c>
      <c r="H46" s="32">
        <f t="shared" si="15"/>
        <v>1.7057569296375089E-2</v>
      </c>
      <c r="I46" s="101">
        <f>IF(ISNUMBER(G46), $B64 * H46, "")</f>
        <v>1705.7569296375088</v>
      </c>
      <c r="J46" s="15">
        <v>4.79</v>
      </c>
      <c r="K46" s="32">
        <f t="shared" si="16"/>
        <v>2.1321961620469006E-2</v>
      </c>
      <c r="L46" s="18">
        <f>IF(ISNUMBER(J46), $B64 * K46, "")</f>
        <v>2132.1961620469006</v>
      </c>
      <c r="M46" s="31"/>
      <c r="N46" s="32" t="str">
        <f t="shared" si="17"/>
        <v/>
      </c>
      <c r="O46" s="18" t="str">
        <f>IF(ISNUMBER(M46), $B64 * N46, "")</f>
        <v/>
      </c>
      <c r="Q46" s="227"/>
      <c r="R46" s="227"/>
      <c r="S46" s="227"/>
    </row>
    <row r="47" spans="1:19" ht="17.25" customHeight="1" thickBot="1">
      <c r="A47" s="125" t="s">
        <v>240</v>
      </c>
      <c r="B47" s="126">
        <v>71.2</v>
      </c>
      <c r="C47" s="77">
        <v>-5.5702917800000001E-2</v>
      </c>
      <c r="D47" s="15">
        <v>70.900000000000006</v>
      </c>
      <c r="E47" s="32">
        <f t="shared" si="14"/>
        <v>-4.2134831460673757E-3</v>
      </c>
      <c r="F47" s="18">
        <f>IF(ISNUMBER(D47), $B64 * E47, "")</f>
        <v>-421.34831460673757</v>
      </c>
      <c r="G47" s="31">
        <v>71.3</v>
      </c>
      <c r="H47" s="32">
        <f t="shared" si="15"/>
        <v>1.4044943820223921E-3</v>
      </c>
      <c r="I47" s="101">
        <f>IF(ISNUMBER(G47), $B64 * H47, "")</f>
        <v>140.44943820223921</v>
      </c>
      <c r="J47" s="15">
        <v>71.2</v>
      </c>
      <c r="K47" s="32">
        <f t="shared" si="16"/>
        <v>0</v>
      </c>
      <c r="L47" s="18">
        <f>IF(ISNUMBER(J47), $B64 * K47, "")</f>
        <v>0</v>
      </c>
      <c r="M47" s="31"/>
      <c r="N47" s="32" t="str">
        <f t="shared" si="17"/>
        <v/>
      </c>
      <c r="O47" s="18" t="str">
        <f>IF(ISNUMBER(M47), $B64 * N47, "")</f>
        <v/>
      </c>
      <c r="Q47" s="227"/>
      <c r="R47" s="227"/>
      <c r="S47" s="227"/>
    </row>
    <row r="48" spans="1:19" ht="17.25" customHeight="1" thickBot="1">
      <c r="A48" s="127" t="s">
        <v>234</v>
      </c>
      <c r="B48" s="128">
        <v>89.5</v>
      </c>
      <c r="C48" s="78">
        <v>-5.5907172999999998E-2</v>
      </c>
      <c r="D48" s="20">
        <v>88.5</v>
      </c>
      <c r="E48" s="21">
        <f t="shared" si="14"/>
        <v>-1.11731843575419E-2</v>
      </c>
      <c r="F48" s="22">
        <f>IF(ISNUMBER(D48), $B64 * E48, "")</f>
        <v>-1117.31843575419</v>
      </c>
      <c r="G48" s="30">
        <v>89.1</v>
      </c>
      <c r="H48" s="21">
        <f t="shared" si="15"/>
        <v>-4.4692737430168236E-3</v>
      </c>
      <c r="I48" s="105">
        <f>IF(ISNUMBER(G48), $B64 * H48, "")</f>
        <v>-446.92737430168233</v>
      </c>
      <c r="J48" s="20">
        <v>88.9</v>
      </c>
      <c r="K48" s="21">
        <f t="shared" si="16"/>
        <v>-6.7039106145250762E-3</v>
      </c>
      <c r="L48" s="22">
        <f>IF(ISNUMBER(J48), $B64 * K48, "")</f>
        <v>-670.39106145250764</v>
      </c>
      <c r="M48" s="30"/>
      <c r="N48" s="21" t="str">
        <f t="shared" si="17"/>
        <v/>
      </c>
      <c r="O48" s="22" t="str">
        <f>IF(ISNUMBER(M48), $B64 * N48, "")</f>
        <v/>
      </c>
      <c r="Q48" s="227"/>
      <c r="R48" s="227"/>
      <c r="S48" s="227"/>
    </row>
    <row r="49" spans="1:19" ht="17.25" customHeight="1" thickBot="1">
      <c r="A49" s="125" t="s">
        <v>216</v>
      </c>
      <c r="B49" s="129">
        <v>11.5</v>
      </c>
      <c r="C49" s="80">
        <v>-5.7377049200000002E-2</v>
      </c>
      <c r="D49" s="106">
        <v>11.6</v>
      </c>
      <c r="E49" s="107">
        <f>IF(ISNUMBER(D49), (D49 - $B49) / $B49, "")</f>
        <v>8.6956521739130124E-3</v>
      </c>
      <c r="F49" s="108">
        <f>IF(ISNUMBER(D49), $B64 * E49, "")</f>
        <v>869.56521739130119</v>
      </c>
      <c r="G49" s="109">
        <v>11.8</v>
      </c>
      <c r="H49" s="107">
        <f>IF(ISNUMBER(G49), (G49 - $B49) / $B49, "")</f>
        <v>2.6086956521739191E-2</v>
      </c>
      <c r="I49" s="110">
        <f>IF(ISNUMBER(G49), $B64 * H49, "")</f>
        <v>2608.6956521739194</v>
      </c>
      <c r="J49" s="106">
        <v>11.7</v>
      </c>
      <c r="K49" s="107">
        <f>IF(ISNUMBER(J49), (J49 - $B49) / $B49, "")</f>
        <v>1.7391304347826025E-2</v>
      </c>
      <c r="L49" s="108">
        <f>IF(ISNUMBER(J49), $B64 * K49, "")</f>
        <v>1739.1304347826024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7"/>
      <c r="R49" s="227"/>
      <c r="S49" s="227"/>
    </row>
    <row r="50" spans="1:19" ht="17.25" customHeight="1" thickBot="1">
      <c r="A50" s="125" t="s">
        <v>202</v>
      </c>
      <c r="B50" s="126">
        <v>88.2</v>
      </c>
      <c r="C50" s="77">
        <v>-6.5677966099999999E-2</v>
      </c>
      <c r="D50" s="15">
        <v>88.8</v>
      </c>
      <c r="E50" s="32">
        <f t="shared" ref="E50:E53" si="18">IF(ISNUMBER(D50), (D50 - $B50) / $B50, "")</f>
        <v>6.8027210884353097E-3</v>
      </c>
      <c r="F50" s="18">
        <f>IF(ISNUMBER(D50), $B64 * E50, "")</f>
        <v>680.27210884353099</v>
      </c>
      <c r="G50" s="31">
        <v>89.9</v>
      </c>
      <c r="H50" s="32">
        <f t="shared" ref="H50:H53" si="19">IF(ISNUMBER(G50), (G50 - $B50) / $B50, "")</f>
        <v>1.9274376417233591E-2</v>
      </c>
      <c r="I50" s="101">
        <f>IF(ISNUMBER(G50), $B64 * H50, "")</f>
        <v>1927.4376417233591</v>
      </c>
      <c r="J50" s="15">
        <v>89.5</v>
      </c>
      <c r="K50" s="32">
        <f t="shared" ref="K50:K53" si="20">IF(ISNUMBER(J50), (J50 - $B50) / $B50, "")</f>
        <v>1.4739229024943278E-2</v>
      </c>
      <c r="L50" s="18">
        <f>IF(ISNUMBER(J50), $B64 * K50, "")</f>
        <v>1473.9229024943279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7"/>
      <c r="R50" s="227"/>
      <c r="S50" s="227"/>
    </row>
    <row r="51" spans="1:19" ht="17.25" customHeight="1" thickBot="1">
      <c r="A51" s="125" t="s">
        <v>148</v>
      </c>
      <c r="B51" s="126">
        <v>22.3</v>
      </c>
      <c r="C51" s="77">
        <v>-7.0833333299999995E-2</v>
      </c>
      <c r="D51" s="15">
        <v>22.4</v>
      </c>
      <c r="E51" s="32">
        <f t="shared" si="18"/>
        <v>4.4843049327353305E-3</v>
      </c>
      <c r="F51" s="18">
        <f>IF(ISNUMBER(D51), $B64 * E51, "")</f>
        <v>448.43049327353305</v>
      </c>
      <c r="G51" s="31">
        <v>22.4</v>
      </c>
      <c r="H51" s="32">
        <f t="shared" si="19"/>
        <v>4.4843049327353305E-3</v>
      </c>
      <c r="I51" s="101">
        <f>IF(ISNUMBER(G51), $B64 * H51, "")</f>
        <v>448.43049327353305</v>
      </c>
      <c r="J51" s="15">
        <v>22.7</v>
      </c>
      <c r="K51" s="32">
        <f t="shared" si="20"/>
        <v>1.7937219730941641E-2</v>
      </c>
      <c r="L51" s="18">
        <f>IF(ISNUMBER(J51), $B64 * K51, "")</f>
        <v>1793.7219730941642</v>
      </c>
      <c r="M51" s="31"/>
      <c r="N51" s="32" t="str">
        <f t="shared" si="21"/>
        <v/>
      </c>
      <c r="O51" s="18" t="str">
        <f>IF(ISNUMBER(M51), $B64 * N51, "")</f>
        <v/>
      </c>
      <c r="Q51" s="227"/>
      <c r="R51" s="227"/>
      <c r="S51" s="227"/>
    </row>
    <row r="52" spans="1:19" ht="17.25" customHeight="1" thickBot="1">
      <c r="A52" s="125" t="s">
        <v>250</v>
      </c>
      <c r="B52" s="126">
        <v>93.7</v>
      </c>
      <c r="C52" s="77">
        <v>-7.2277227700000002E-2</v>
      </c>
      <c r="D52" s="15">
        <v>99.4</v>
      </c>
      <c r="E52" s="32">
        <f t="shared" si="18"/>
        <v>6.0832443970117424E-2</v>
      </c>
      <c r="F52" s="18">
        <f>IF(ISNUMBER(D52), $B64 * E52, "")</f>
        <v>6083.244397011742</v>
      </c>
      <c r="G52" s="31">
        <v>99</v>
      </c>
      <c r="H52" s="32">
        <f t="shared" si="19"/>
        <v>5.6563500533617896E-2</v>
      </c>
      <c r="I52" s="101">
        <f>IF(ISNUMBER(G52), $B64 * H52, "")</f>
        <v>5656.3500533617898</v>
      </c>
      <c r="J52" s="15">
        <v>99.3</v>
      </c>
      <c r="K52" s="32">
        <f t="shared" si="20"/>
        <v>5.9765208110992465E-2</v>
      </c>
      <c r="L52" s="18">
        <f>IF(ISNUMBER(J52), $B64 * K52, "")</f>
        <v>5976.5208110992462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-7.5862069000000004E-2</v>
      </c>
      <c r="D53" s="24">
        <v>13.5</v>
      </c>
      <c r="E53" s="25">
        <f t="shared" si="18"/>
        <v>7.4626865671641521E-3</v>
      </c>
      <c r="F53" s="104">
        <f>IF(ISNUMBER(D53), $B64 * E53, "")</f>
        <v>746.26865671641519</v>
      </c>
      <c r="G53" s="102">
        <v>13.7</v>
      </c>
      <c r="H53" s="25">
        <f t="shared" si="19"/>
        <v>2.2388059701492456E-2</v>
      </c>
      <c r="I53" s="103">
        <f>IF(ISNUMBER(G53), $B64 * H53, "")</f>
        <v>2238.8059701492457</v>
      </c>
      <c r="J53" s="24">
        <v>13.7</v>
      </c>
      <c r="K53" s="25">
        <f t="shared" si="20"/>
        <v>2.2388059701492456E-2</v>
      </c>
      <c r="L53" s="104">
        <f>IF(ISNUMBER(J53), $B64 * K53, "")</f>
        <v>2238.8059701492457</v>
      </c>
      <c r="M53" s="102"/>
      <c r="N53" s="25" t="str">
        <f t="shared" si="21"/>
        <v/>
      </c>
      <c r="O53" s="104" t="str">
        <f>IF(ISNUMBER(M53), $B64 * N53, "")</f>
        <v/>
      </c>
      <c r="Q53" s="236"/>
      <c r="R53" s="237"/>
      <c r="S53" s="238"/>
    </row>
    <row r="54" spans="1:19" ht="17.25" customHeight="1">
      <c r="A54" s="123" t="s">
        <v>178</v>
      </c>
      <c r="B54" s="124">
        <v>19.399999999999999</v>
      </c>
      <c r="C54" s="76">
        <v>-7.6190476199999996E-2</v>
      </c>
      <c r="D54" s="13">
        <v>19.2</v>
      </c>
      <c r="E54" s="14">
        <f>IF(ISNUMBER(D54), (D54 - $B54) / $B54, "")</f>
        <v>-1.0309278350515427E-2</v>
      </c>
      <c r="F54" s="16">
        <f>IF(ISNUMBER(D54), $B64 * E54, "")</f>
        <v>-1030.9278350515428</v>
      </c>
      <c r="G54" s="29">
        <v>19.2</v>
      </c>
      <c r="H54" s="14">
        <f>IF(ISNUMBER(G54), (G54 - $B54) / $B54, "")</f>
        <v>-1.0309278350515427E-2</v>
      </c>
      <c r="I54" s="100">
        <f>IF(ISNUMBER(G54), $B64 * H54, "")</f>
        <v>-1030.9278350515428</v>
      </c>
      <c r="J54" s="13">
        <v>19.2</v>
      </c>
      <c r="K54" s="14">
        <f>IF(ISNUMBER(J54), (J54 - $B54) / $B54, "")</f>
        <v>-1.0309278350515427E-2</v>
      </c>
      <c r="L54" s="16">
        <f>IF(ISNUMBER(J54), $B64 * K54, "")</f>
        <v>-1030.9278350515428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9"/>
      <c r="R54" s="240"/>
      <c r="S54" s="241"/>
    </row>
    <row r="55" spans="1:19" ht="17.25" customHeight="1" thickBot="1">
      <c r="A55" s="125" t="s">
        <v>210</v>
      </c>
      <c r="B55" s="126">
        <v>15.2</v>
      </c>
      <c r="C55" s="77">
        <v>-7.8787878800000002E-2</v>
      </c>
      <c r="D55" s="15">
        <v>15.1</v>
      </c>
      <c r="E55" s="32">
        <f t="shared" ref="E55:E58" si="22">IF(ISNUMBER(D55), (D55 - $B55) / $B55, "")</f>
        <v>-6.5789473684210297E-3</v>
      </c>
      <c r="F55" s="18">
        <f>IF(ISNUMBER(D55), $B64 * E55, "")</f>
        <v>-657.89473684210293</v>
      </c>
      <c r="G55" s="31">
        <v>15.2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15.2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2"/>
      <c r="R55" s="243"/>
      <c r="S55" s="244"/>
    </row>
    <row r="56" spans="1:19" ht="17.25" customHeight="1" thickBot="1">
      <c r="A56" s="125" t="s">
        <v>188</v>
      </c>
      <c r="B56" s="126">
        <v>14.4</v>
      </c>
      <c r="C56" s="77">
        <v>-8.2802547800000001E-2</v>
      </c>
      <c r="D56" s="15">
        <v>14.7</v>
      </c>
      <c r="E56" s="32">
        <f t="shared" si="22"/>
        <v>2.0833333333333259E-2</v>
      </c>
      <c r="F56" s="18">
        <f>IF(ISNUMBER(D56), $B64 * E56, "")</f>
        <v>2083.3333333333258</v>
      </c>
      <c r="G56" s="31">
        <v>14.5</v>
      </c>
      <c r="H56" s="32">
        <f t="shared" si="23"/>
        <v>6.9444444444444198E-3</v>
      </c>
      <c r="I56" s="101">
        <f>IF(ISNUMBER(G56), $B64 * H56, "")</f>
        <v>694.44444444444196</v>
      </c>
      <c r="J56" s="15">
        <v>14.5</v>
      </c>
      <c r="K56" s="32">
        <f t="shared" si="24"/>
        <v>6.9444444444444198E-3</v>
      </c>
      <c r="L56" s="18">
        <f>IF(ISNUMBER(J56), $B64 * K56, "")</f>
        <v>694.44444444444196</v>
      </c>
      <c r="M56" s="31"/>
      <c r="N56" s="32" t="str">
        <f t="shared" si="25"/>
        <v/>
      </c>
      <c r="O56" s="18" t="str">
        <f>IF(ISNUMBER(M56), $B64 * N56, "")</f>
        <v/>
      </c>
      <c r="Q56" s="227"/>
      <c r="R56" s="227"/>
      <c r="S56" s="227"/>
    </row>
    <row r="57" spans="1:19" ht="17.25" customHeight="1" thickBot="1">
      <c r="A57" s="125" t="s">
        <v>190</v>
      </c>
      <c r="B57" s="126">
        <v>18.7</v>
      </c>
      <c r="C57" s="77">
        <v>-8.3333333300000006E-2</v>
      </c>
      <c r="D57" s="15">
        <v>18.899999999999999</v>
      </c>
      <c r="E57" s="32">
        <f t="shared" si="22"/>
        <v>1.0695187165775364E-2</v>
      </c>
      <c r="F57" s="18">
        <f>IF(ISNUMBER(D57), $B64 * E57, "")</f>
        <v>1069.5187165775365</v>
      </c>
      <c r="G57" s="31">
        <v>18.899999999999999</v>
      </c>
      <c r="H57" s="32">
        <f t="shared" si="23"/>
        <v>1.0695187165775364E-2</v>
      </c>
      <c r="I57" s="101">
        <f>IF(ISNUMBER(G57), $B64 * H57, "")</f>
        <v>1069.5187165775365</v>
      </c>
      <c r="J57" s="15">
        <v>19</v>
      </c>
      <c r="K57" s="32">
        <f t="shared" si="24"/>
        <v>1.6042780748663141E-2</v>
      </c>
      <c r="L57" s="18">
        <f>IF(ISNUMBER(J57), $B64 * K57, "")</f>
        <v>1604.2780748663142</v>
      </c>
      <c r="M57" s="31"/>
      <c r="N57" s="32" t="str">
        <f t="shared" si="25"/>
        <v/>
      </c>
      <c r="O57" s="18" t="str">
        <f>IF(ISNUMBER(M57), $B64 * N57, "")</f>
        <v/>
      </c>
      <c r="Q57" s="222"/>
      <c r="R57" s="222"/>
      <c r="S57" s="222"/>
    </row>
    <row r="58" spans="1:19" ht="17.25" customHeight="1" thickBot="1">
      <c r="A58" s="127" t="s">
        <v>204</v>
      </c>
      <c r="B58" s="128">
        <v>18</v>
      </c>
      <c r="C58" s="78">
        <v>-8.6294416200000001E-2</v>
      </c>
      <c r="D58" s="20">
        <v>18</v>
      </c>
      <c r="E58" s="21">
        <f t="shared" si="22"/>
        <v>0</v>
      </c>
      <c r="F58" s="22">
        <f>IF(ISNUMBER(D58), $B64 * E58, "")</f>
        <v>0</v>
      </c>
      <c r="G58" s="30">
        <v>18.100000000000001</v>
      </c>
      <c r="H58" s="21">
        <f t="shared" si="23"/>
        <v>5.5555555555556347E-3</v>
      </c>
      <c r="I58" s="105">
        <f>IF(ISNUMBER(G58), $B64 * H58, "")</f>
        <v>555.5555555555635</v>
      </c>
      <c r="J58" s="20">
        <v>18.100000000000001</v>
      </c>
      <c r="K58" s="21">
        <f t="shared" si="24"/>
        <v>5.5555555555556347E-3</v>
      </c>
      <c r="L58" s="22">
        <f>IF(ISNUMBER(J58), $B64 * K58, "")</f>
        <v>555.5555555555635</v>
      </c>
      <c r="M58" s="30"/>
      <c r="N58" s="21" t="str">
        <f t="shared" si="25"/>
        <v/>
      </c>
      <c r="O58" s="22" t="str">
        <f>IF(ISNUMBER(M58), $B64 * N58, "")</f>
        <v/>
      </c>
      <c r="Q58" s="222"/>
      <c r="R58" s="222"/>
      <c r="S58" s="222"/>
    </row>
    <row r="59" spans="1:19" ht="17.25" customHeight="1" thickBot="1">
      <c r="A59" s="125" t="s">
        <v>65</v>
      </c>
      <c r="B59" s="129">
        <v>88.4</v>
      </c>
      <c r="C59" s="80">
        <v>-9.9796334E-2</v>
      </c>
      <c r="D59" s="106">
        <v>90.5</v>
      </c>
      <c r="E59" s="107">
        <f>IF(ISNUMBER(D59), (D59 - $B59) / $B59, "")</f>
        <v>2.3755656108597218E-2</v>
      </c>
      <c r="F59" s="108">
        <f>IF(ISNUMBER(D59), $B64 * E59, "")</f>
        <v>2375.5656108597218</v>
      </c>
      <c r="G59" s="109">
        <v>91.2</v>
      </c>
      <c r="H59" s="107">
        <f>IF(ISNUMBER(G59), (G59 - $B59) / $B59, "")</f>
        <v>3.1674208144796344E-2</v>
      </c>
      <c r="I59" s="110">
        <f>IF(ISNUMBER(G59), $B64 * H59, "")</f>
        <v>3167.4208144796344</v>
      </c>
      <c r="J59" s="106">
        <v>90</v>
      </c>
      <c r="K59" s="107">
        <f>IF(ISNUMBER(J59), (J59 - $B59) / $B59, "")</f>
        <v>1.8099547511312153E-2</v>
      </c>
      <c r="L59" s="108">
        <f>IF(ISNUMBER(J59), $B64 * K59, "")</f>
        <v>1809.9547511312153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7"/>
      <c r="R59" s="227"/>
      <c r="S59" s="227"/>
    </row>
    <row r="60" spans="1:19" ht="17.25" customHeight="1" thickBot="1">
      <c r="A60" s="125" t="s">
        <v>122</v>
      </c>
      <c r="B60" s="126">
        <v>41.7</v>
      </c>
      <c r="C60" s="77">
        <v>-0.1051502146</v>
      </c>
      <c r="D60" s="15">
        <v>41.5</v>
      </c>
      <c r="E60" s="32">
        <f t="shared" ref="E60:E63" si="26">IF(ISNUMBER(D60), (D60 - $B60) / $B60, "")</f>
        <v>-4.7961630695444327E-3</v>
      </c>
      <c r="F60" s="18">
        <f>IF(ISNUMBER(D60), $B64 * E60, "")</f>
        <v>-479.61630695444325</v>
      </c>
      <c r="G60" s="31">
        <v>42.1</v>
      </c>
      <c r="H60" s="32">
        <f t="shared" ref="H60:H63" si="27">IF(ISNUMBER(G60), (G60 - $B60) / $B60, "")</f>
        <v>9.5923261390886937E-3</v>
      </c>
      <c r="I60" s="101">
        <f>IF(ISNUMBER(G60), $B64 * H60, "")</f>
        <v>959.23261390886933</v>
      </c>
      <c r="J60" s="15">
        <v>42.2</v>
      </c>
      <c r="K60" s="32">
        <f t="shared" ref="K60:K63" si="28">IF(ISNUMBER(J60), (J60 - $B60) / $B60, "")</f>
        <v>1.1990407673860911E-2</v>
      </c>
      <c r="L60" s="18">
        <f>IF(ISNUMBER(J60), $B64 * K60, "")</f>
        <v>1199.0407673860911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7"/>
      <c r="R60" s="227"/>
      <c r="S60" s="22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132" t="s">
        <v>270</v>
      </c>
      <c r="B64" s="260">
        <f>$B$37</f>
        <v>100000</v>
      </c>
      <c r="C64" s="261"/>
      <c r="D64" s="26" t="s">
        <v>271</v>
      </c>
      <c r="E64" s="27">
        <f>IF(COUNT(E44:E63), SUM(E44:E63) / COUNT(E44:E63), 0)</f>
        <v>8.078917752507752E-3</v>
      </c>
      <c r="F64" s="28">
        <f>SUM(F44:F63)</f>
        <v>13734.160179263177</v>
      </c>
      <c r="G64" s="26" t="s">
        <v>271</v>
      </c>
      <c r="H64" s="27">
        <f>IF(COUNT(H44:H63), SUM(H44:H63) / COUNT(H44:H63), 0)</f>
        <v>1.3006804044389378E-2</v>
      </c>
      <c r="I64" s="28">
        <f>SUM(I44:I63)</f>
        <v>22111.56687546194</v>
      </c>
      <c r="J64" s="26" t="s">
        <v>271</v>
      </c>
      <c r="K64" s="27">
        <f>IF(COUNT(K44:K63), SUM(K44:K63) / COUNT(K44:K63), 0)</f>
        <v>1.2897950233008874E-2</v>
      </c>
      <c r="L64" s="28">
        <f>SUM(L44:L63)</f>
        <v>21926.515396115083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97" t="s">
        <v>267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55149000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2.1442459999999998E-3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2021-09-11(토) 오전 00:00</v>
      </c>
      <c r="C69" s="265"/>
      <c r="D69" s="224" t="str">
        <f>TEXT($G$1, "[$-ko-KR]yyyy-mm-dd(ddd) ") &amp; "오후 14:00"</f>
        <v>2021-09-11(토) 오후 14:00</v>
      </c>
      <c r="E69" s="225"/>
      <c r="F69" s="226"/>
      <c r="G69" s="224" t="str">
        <f>TEXT($G$1, "[$-ko-KR]yyyy-mm-dd(ddd) ") &amp; "오후 19:00"</f>
        <v>2021-09-11(토) 오후 19:00</v>
      </c>
      <c r="H69" s="225"/>
      <c r="I69" s="226"/>
      <c r="J69" s="224" t="str">
        <f>TEXT($G$1, "[$-ko-KR]yyyy-mm-dd(ddd) ") &amp; "오후 21:00"</f>
        <v>2021-09-11(토) 오후 21:00</v>
      </c>
      <c r="K69" s="225"/>
      <c r="L69" s="226"/>
      <c r="M69" s="224" t="str">
        <f>TEXT($G$1+1, "[$-ko-KR]yyyy-mm-dd(ddd) ") &amp; "오전 00:00"</f>
        <v>2021-09-12(일)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7"/>
      <c r="R70" s="227"/>
      <c r="S70" s="227"/>
    </row>
    <row r="71" spans="1:19" ht="17.25" thickBot="1">
      <c r="A71" s="123" t="s">
        <v>174</v>
      </c>
      <c r="B71" s="124">
        <v>486</v>
      </c>
      <c r="C71" s="76">
        <v>6.1135371199999997E-2</v>
      </c>
      <c r="D71" s="13">
        <v>439</v>
      </c>
      <c r="E71" s="14">
        <f>IF(ISNUMBER(D71), (D71 - $B71) / $B71, "")</f>
        <v>-9.6707818930041156E-2</v>
      </c>
      <c r="F71" s="16">
        <f>IF(ISNUMBER(D71), $B91 * E71, "")</f>
        <v>-9670.7818930041158</v>
      </c>
      <c r="G71" s="29">
        <v>446</v>
      </c>
      <c r="H71" s="14">
        <f>IF(ISNUMBER(G71), (G71 - $B71) / $B71, "")</f>
        <v>-8.2304526748971193E-2</v>
      </c>
      <c r="I71" s="100">
        <f>IF(ISNUMBER(G71), $B91 * H71, "")</f>
        <v>-8230.4526748971202</v>
      </c>
      <c r="J71" s="13">
        <v>447</v>
      </c>
      <c r="K71" s="14">
        <f>IF(ISNUMBER(J71), (J71 - $B71) / $B71, "")</f>
        <v>-8.0246913580246909E-2</v>
      </c>
      <c r="L71" s="16">
        <f>IF(ISNUMBER(J71), $B91 * K71, "")</f>
        <v>-8024.691358024691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2"/>
      <c r="R71" s="222"/>
      <c r="S71" s="222"/>
    </row>
    <row r="72" spans="1:19" ht="17.25" thickBot="1">
      <c r="A72" s="125" t="s">
        <v>132</v>
      </c>
      <c r="B72" s="126">
        <v>131</v>
      </c>
      <c r="C72" s="77">
        <v>7.6923076999999996E-3</v>
      </c>
      <c r="D72" s="15">
        <v>129</v>
      </c>
      <c r="E72" s="32">
        <f t="shared" ref="E72:E75" si="30">IF(ISNUMBER(D72), (D72 - $B72) / $B72, "")</f>
        <v>-1.5267175572519083E-2</v>
      </c>
      <c r="F72" s="18">
        <f>IF(ISNUMBER(D72), $B91 * E72, "")</f>
        <v>-1526.7175572519084</v>
      </c>
      <c r="G72" s="31">
        <v>132</v>
      </c>
      <c r="H72" s="32">
        <f t="shared" ref="H72:H75" si="31">IF(ISNUMBER(G72), (G72 - $B72) / $B72, "")</f>
        <v>7.6335877862595417E-3</v>
      </c>
      <c r="I72" s="101">
        <f>IF(ISNUMBER(G72), $B91 * H72, "")</f>
        <v>763.35877862595419</v>
      </c>
      <c r="J72" s="15">
        <v>132</v>
      </c>
      <c r="K72" s="32">
        <f t="shared" ref="K72:K75" si="32">IF(ISNUMBER(J72), (J72 - $B72) / $B72, "")</f>
        <v>7.6335877862595417E-3</v>
      </c>
      <c r="L72" s="18">
        <f>IF(ISNUMBER(J72), $B91 * K72, "")</f>
        <v>763.35877862595419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2"/>
      <c r="R72" s="222"/>
      <c r="S72" s="222"/>
    </row>
    <row r="73" spans="1:19" ht="17.25" thickBot="1">
      <c r="A73" s="125" t="s">
        <v>218</v>
      </c>
      <c r="B73" s="126">
        <v>149</v>
      </c>
      <c r="C73" s="77">
        <v>-1.3245033099999999E-2</v>
      </c>
      <c r="D73" s="15">
        <v>153</v>
      </c>
      <c r="E73" s="32">
        <f t="shared" si="30"/>
        <v>2.6845637583892617E-2</v>
      </c>
      <c r="F73" s="18">
        <f>IF(ISNUMBER(D73), $B91 * E73, "")</f>
        <v>2684.5637583892617</v>
      </c>
      <c r="G73" s="31">
        <v>155</v>
      </c>
      <c r="H73" s="32">
        <f t="shared" si="31"/>
        <v>4.0268456375838924E-2</v>
      </c>
      <c r="I73" s="101">
        <f>IF(ISNUMBER(G73), $B91 * H73, "")</f>
        <v>4026.8456375838923</v>
      </c>
      <c r="J73" s="15">
        <v>156</v>
      </c>
      <c r="K73" s="32">
        <f t="shared" si="32"/>
        <v>4.6979865771812082E-2</v>
      </c>
      <c r="L73" s="18">
        <f>IF(ISNUMBER(J73), $B91 * K73, "")</f>
        <v>4697.9865771812083</v>
      </c>
      <c r="M73" s="31"/>
      <c r="N73" s="32" t="str">
        <f t="shared" si="33"/>
        <v/>
      </c>
      <c r="O73" s="18" t="str">
        <f>IF(ISNUMBER(M73), $B91 * N73, "")</f>
        <v/>
      </c>
      <c r="Q73" s="227"/>
      <c r="R73" s="227"/>
      <c r="S73" s="227"/>
    </row>
    <row r="74" spans="1:19" ht="17.25" thickBot="1">
      <c r="A74" s="125" t="s">
        <v>51</v>
      </c>
      <c r="B74" s="126">
        <v>391</v>
      </c>
      <c r="C74" s="77">
        <v>-2.2499999999999999E-2</v>
      </c>
      <c r="D74" s="15">
        <v>389</v>
      </c>
      <c r="E74" s="32">
        <f t="shared" si="30"/>
        <v>-5.1150895140664966E-3</v>
      </c>
      <c r="F74" s="18">
        <f>IF(ISNUMBER(D74), $B91 * E74, "")</f>
        <v>-511.50895140664966</v>
      </c>
      <c r="G74" s="31">
        <v>395</v>
      </c>
      <c r="H74" s="32">
        <f t="shared" si="31"/>
        <v>1.0230179028132993E-2</v>
      </c>
      <c r="I74" s="101">
        <f>IF(ISNUMBER(G74), $B91 * H74, "")</f>
        <v>1023.0179028132993</v>
      </c>
      <c r="J74" s="15">
        <v>398</v>
      </c>
      <c r="K74" s="32">
        <f t="shared" si="32"/>
        <v>1.7902813299232736E-2</v>
      </c>
      <c r="L74" s="18">
        <f>IF(ISNUMBER(J74), $B91 * K74, "")</f>
        <v>1790.2813299232737</v>
      </c>
      <c r="M74" s="31"/>
      <c r="N74" s="32" t="str">
        <f t="shared" si="33"/>
        <v/>
      </c>
      <c r="O74" s="18" t="str">
        <f>IF(ISNUMBER(M74), $B91 * N74, "")</f>
        <v/>
      </c>
      <c r="Q74" s="227"/>
      <c r="R74" s="227"/>
      <c r="S74" s="227"/>
    </row>
    <row r="75" spans="1:19" ht="17.25" thickBot="1">
      <c r="A75" s="127" t="s">
        <v>236</v>
      </c>
      <c r="B75" s="128">
        <v>725</v>
      </c>
      <c r="C75" s="78">
        <v>-2.8150134E-2</v>
      </c>
      <c r="D75" s="20">
        <v>746</v>
      </c>
      <c r="E75" s="21">
        <f t="shared" si="30"/>
        <v>2.8965517241379312E-2</v>
      </c>
      <c r="F75" s="22">
        <f>IF(ISNUMBER(D75), $B91 * E75, "")</f>
        <v>2896.5517241379312</v>
      </c>
      <c r="G75" s="30">
        <v>758</v>
      </c>
      <c r="H75" s="21">
        <f t="shared" si="31"/>
        <v>4.5517241379310347E-2</v>
      </c>
      <c r="I75" s="105">
        <f>IF(ISNUMBER(G75), $B91 * H75, "")</f>
        <v>4551.7241379310344</v>
      </c>
      <c r="J75" s="20">
        <v>753</v>
      </c>
      <c r="K75" s="21">
        <f t="shared" si="32"/>
        <v>3.8620689655172416E-2</v>
      </c>
      <c r="L75" s="22">
        <f>IF(ISNUMBER(J75), $B91 * K75, "")</f>
        <v>3862.0689655172414</v>
      </c>
      <c r="M75" s="30"/>
      <c r="N75" s="21" t="str">
        <f t="shared" si="33"/>
        <v/>
      </c>
      <c r="O75" s="22" t="str">
        <f>IF(ISNUMBER(M75), $B91 * N75, "")</f>
        <v/>
      </c>
      <c r="Q75" s="227"/>
      <c r="R75" s="227"/>
      <c r="S75" s="227"/>
    </row>
    <row r="76" spans="1:19" ht="17.25" thickBot="1">
      <c r="A76" s="125" t="s">
        <v>152</v>
      </c>
      <c r="B76" s="129">
        <v>108</v>
      </c>
      <c r="C76" s="80">
        <v>-3.5714285700000001E-2</v>
      </c>
      <c r="D76" s="106">
        <v>116</v>
      </c>
      <c r="E76" s="107">
        <f>IF(ISNUMBER(D76), (D76 - $B76) / $B76, "")</f>
        <v>7.407407407407407E-2</v>
      </c>
      <c r="F76" s="108">
        <f>IF(ISNUMBER(D76), $B91 * E76, "")</f>
        <v>7407.4074074074069</v>
      </c>
      <c r="G76" s="109">
        <v>116</v>
      </c>
      <c r="H76" s="107">
        <f>IF(ISNUMBER(G76), (G76 - $B76) / $B76, "")</f>
        <v>7.407407407407407E-2</v>
      </c>
      <c r="I76" s="110">
        <f>IF(ISNUMBER(G76), $B91 * H76, "")</f>
        <v>7407.4074074074069</v>
      </c>
      <c r="J76" s="106">
        <v>116</v>
      </c>
      <c r="K76" s="107">
        <f>IF(ISNUMBER(J76), (J76 - $B76) / $B76, "")</f>
        <v>7.407407407407407E-2</v>
      </c>
      <c r="L76" s="108">
        <f>IF(ISNUMBER(J76), $B91 * K76, "")</f>
        <v>7407.4074074074069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7"/>
      <c r="R76" s="227"/>
      <c r="S76" s="227"/>
    </row>
    <row r="77" spans="1:19" ht="17.25" thickBot="1">
      <c r="A77" s="125" t="s">
        <v>266</v>
      </c>
      <c r="B77" s="126">
        <v>294</v>
      </c>
      <c r="C77" s="77">
        <v>-3.60655738E-2</v>
      </c>
      <c r="D77" s="15">
        <v>294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296</v>
      </c>
      <c r="H77" s="32">
        <f t="shared" ref="H77:H80" si="35">IF(ISNUMBER(G77), (G77 - $B77) / $B77, "")</f>
        <v>6.8027210884353739E-3</v>
      </c>
      <c r="I77" s="101">
        <f>IF(ISNUMBER(G77), $B91 * H77, "")</f>
        <v>680.27210884353735</v>
      </c>
      <c r="J77" s="15">
        <v>298</v>
      </c>
      <c r="K77" s="32">
        <f t="shared" ref="K77:K80" si="36">IF(ISNUMBER(J77), (J77 - $B77) / $B77, "")</f>
        <v>1.3605442176870748E-2</v>
      </c>
      <c r="L77" s="18">
        <f>IF(ISNUMBER(J77), $B91 * K77, "")</f>
        <v>1360.5442176870747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7"/>
      <c r="R77" s="227"/>
      <c r="S77" s="227"/>
    </row>
    <row r="78" spans="1:19" ht="17.25" thickBot="1">
      <c r="A78" s="125" t="s">
        <v>110</v>
      </c>
      <c r="B78" s="126">
        <v>188</v>
      </c>
      <c r="C78" s="77">
        <v>-4.08163265E-2</v>
      </c>
      <c r="D78" s="15">
        <v>191</v>
      </c>
      <c r="E78" s="32">
        <f t="shared" si="34"/>
        <v>1.5957446808510637E-2</v>
      </c>
      <c r="F78" s="18">
        <f>IF(ISNUMBER(D78), $B91 * E78, "")</f>
        <v>1595.7446808510638</v>
      </c>
      <c r="G78" s="31">
        <v>191</v>
      </c>
      <c r="H78" s="32">
        <f t="shared" si="35"/>
        <v>1.5957446808510637E-2</v>
      </c>
      <c r="I78" s="101">
        <f>IF(ISNUMBER(G78), $B91 * H78, "")</f>
        <v>1595.7446808510638</v>
      </c>
      <c r="J78" s="15">
        <v>191</v>
      </c>
      <c r="K78" s="32">
        <f t="shared" si="36"/>
        <v>1.5957446808510637E-2</v>
      </c>
      <c r="L78" s="18">
        <f>IF(ISNUMBER(J78), $B91 * K78, "")</f>
        <v>1595.7446808510638</v>
      </c>
      <c r="M78" s="31"/>
      <c r="N78" s="32" t="str">
        <f t="shared" si="37"/>
        <v/>
      </c>
      <c r="O78" s="18" t="str">
        <f>IF(ISNUMBER(M78), $B91 * N78, "")</f>
        <v/>
      </c>
      <c r="Q78" s="227"/>
      <c r="R78" s="227"/>
      <c r="S78" s="227"/>
    </row>
    <row r="79" spans="1:19" ht="17.25" thickBot="1">
      <c r="A79" s="125" t="s">
        <v>118</v>
      </c>
      <c r="B79" s="126">
        <v>210</v>
      </c>
      <c r="C79" s="77">
        <v>-4.1095890400000001E-2</v>
      </c>
      <c r="D79" s="15">
        <v>212</v>
      </c>
      <c r="E79" s="32">
        <f t="shared" si="34"/>
        <v>9.5238095238095247E-3</v>
      </c>
      <c r="F79" s="18">
        <f>IF(ISNUMBER(D79), $B91 * E79, "")</f>
        <v>952.38095238095252</v>
      </c>
      <c r="G79" s="31">
        <v>214</v>
      </c>
      <c r="H79" s="32">
        <f t="shared" si="35"/>
        <v>1.9047619047619049E-2</v>
      </c>
      <c r="I79" s="101">
        <f>IF(ISNUMBER(G79), $B91 * H79, "")</f>
        <v>1904.761904761905</v>
      </c>
      <c r="J79" s="15">
        <v>214</v>
      </c>
      <c r="K79" s="32">
        <f t="shared" si="36"/>
        <v>1.9047619047619049E-2</v>
      </c>
      <c r="L79" s="18">
        <f>IF(ISNUMBER(J79), $B91 * K79, "")</f>
        <v>1904.761904761905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86</v>
      </c>
      <c r="B80" s="131">
        <v>398</v>
      </c>
      <c r="C80" s="79">
        <v>-4.7846890000000003E-2</v>
      </c>
      <c r="D80" s="24">
        <v>402</v>
      </c>
      <c r="E80" s="25">
        <f t="shared" si="34"/>
        <v>1.0050251256281407E-2</v>
      </c>
      <c r="F80" s="104">
        <f>IF(ISNUMBER(D80), $B91 * E80, "")</f>
        <v>1005.0251256281407</v>
      </c>
      <c r="G80" s="102">
        <v>406</v>
      </c>
      <c r="H80" s="25">
        <f t="shared" si="35"/>
        <v>2.0100502512562814E-2</v>
      </c>
      <c r="I80" s="103">
        <f>IF(ISNUMBER(G80), $B91 * H80, "")</f>
        <v>2010.0502512562814</v>
      </c>
      <c r="J80" s="24">
        <v>405</v>
      </c>
      <c r="K80" s="25">
        <f t="shared" si="36"/>
        <v>1.7587939698492462E-2</v>
      </c>
      <c r="L80" s="104">
        <f>IF(ISNUMBER(J80), $B91 * K80, "")</f>
        <v>1758.7939698492462</v>
      </c>
      <c r="M80" s="102"/>
      <c r="N80" s="25" t="str">
        <f t="shared" si="37"/>
        <v/>
      </c>
      <c r="O80" s="104" t="str">
        <f>IF(ISNUMBER(M80), $B91 * N80, "")</f>
        <v/>
      </c>
      <c r="Q80" s="236"/>
      <c r="R80" s="237"/>
      <c r="S80" s="238"/>
    </row>
    <row r="81" spans="1:19">
      <c r="A81" s="123" t="s">
        <v>128</v>
      </c>
      <c r="B81" s="124">
        <v>139</v>
      </c>
      <c r="C81" s="76">
        <v>-4.7945205499999997E-2</v>
      </c>
      <c r="D81" s="13">
        <v>139</v>
      </c>
      <c r="E81" s="14">
        <f>IF(ISNUMBER(D81), (D81 - $B81) / $B81, "")</f>
        <v>0</v>
      </c>
      <c r="F81" s="16">
        <f>IF(ISNUMBER(D81), $B91 * E81, "")</f>
        <v>0</v>
      </c>
      <c r="G81" s="29">
        <v>141</v>
      </c>
      <c r="H81" s="14">
        <f>IF(ISNUMBER(G81), (G81 - $B81) / $B81, "")</f>
        <v>1.4388489208633094E-2</v>
      </c>
      <c r="I81" s="100">
        <f>IF(ISNUMBER(G81), $B91 * H81, "")</f>
        <v>1438.8489208633093</v>
      </c>
      <c r="J81" s="13">
        <v>142</v>
      </c>
      <c r="K81" s="14">
        <f>IF(ISNUMBER(J81), (J81 - $B81) / $B81, "")</f>
        <v>2.1582733812949641E-2</v>
      </c>
      <c r="L81" s="16">
        <f>IF(ISNUMBER(J81), $B91 * K81, "")</f>
        <v>2158.2733812949641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9"/>
      <c r="R81" s="240"/>
      <c r="S81" s="241"/>
    </row>
    <row r="82" spans="1:19" ht="17.25" thickBot="1">
      <c r="A82" s="125" t="s">
        <v>238</v>
      </c>
      <c r="B82" s="126">
        <v>126</v>
      </c>
      <c r="C82" s="77">
        <v>-5.2631578900000003E-2</v>
      </c>
      <c r="D82" s="15">
        <v>127</v>
      </c>
      <c r="E82" s="32">
        <f t="shared" ref="E82:E85" si="38">IF(ISNUMBER(D82), (D82 - $B82) / $B82, "")</f>
        <v>7.9365079365079361E-3</v>
      </c>
      <c r="F82" s="18">
        <f>IF(ISNUMBER(D82), $B91 * E82, "")</f>
        <v>793.65079365079362</v>
      </c>
      <c r="G82" s="31">
        <v>126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127</v>
      </c>
      <c r="K82" s="32">
        <f t="shared" ref="K82:K85" si="40">IF(ISNUMBER(J82), (J82 - $B82) / $B82, "")</f>
        <v>7.9365079365079361E-3</v>
      </c>
      <c r="L82" s="18">
        <f>IF(ISNUMBER(J82), $B91 * K82, "")</f>
        <v>793.65079365079362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2"/>
      <c r="R82" s="243"/>
      <c r="S82" s="244"/>
    </row>
    <row r="83" spans="1:19" ht="17.25" thickBot="1">
      <c r="A83" s="125" t="s">
        <v>80</v>
      </c>
      <c r="B83" s="126">
        <v>923</v>
      </c>
      <c r="C83" s="77">
        <v>-5.6237218800000002E-2</v>
      </c>
      <c r="D83" s="15">
        <v>938</v>
      </c>
      <c r="E83" s="32">
        <f t="shared" si="38"/>
        <v>1.6251354279523293E-2</v>
      </c>
      <c r="F83" s="18">
        <f>IF(ISNUMBER(D83), $B91 * E83, "")</f>
        <v>1625.1354279523293</v>
      </c>
      <c r="G83" s="31">
        <v>949</v>
      </c>
      <c r="H83" s="32">
        <f t="shared" si="39"/>
        <v>2.8169014084507043E-2</v>
      </c>
      <c r="I83" s="101">
        <f>IF(ISNUMBER(G83), $B91 * H83, "")</f>
        <v>2816.9014084507044</v>
      </c>
      <c r="J83" s="15">
        <v>948</v>
      </c>
      <c r="K83" s="32">
        <f t="shared" si="40"/>
        <v>2.7085590465872156E-2</v>
      </c>
      <c r="L83" s="18">
        <f>IF(ISNUMBER(J83), $B91 * K83, "")</f>
        <v>2708.5590465872156</v>
      </c>
      <c r="M83" s="31"/>
      <c r="N83" s="32" t="str">
        <f t="shared" si="41"/>
        <v/>
      </c>
      <c r="O83" s="18" t="str">
        <f>IF(ISNUMBER(M83), $B91 * N83, "")</f>
        <v/>
      </c>
      <c r="Q83" s="227"/>
      <c r="R83" s="227"/>
      <c r="S83" s="227"/>
    </row>
    <row r="84" spans="1:19" ht="17.25" thickBot="1">
      <c r="A84" s="125" t="s">
        <v>144</v>
      </c>
      <c r="B84" s="126">
        <v>117</v>
      </c>
      <c r="C84" s="77">
        <v>-5.6451612900000003E-2</v>
      </c>
      <c r="D84" s="15">
        <v>116</v>
      </c>
      <c r="E84" s="32">
        <f t="shared" si="38"/>
        <v>-8.5470085470085479E-3</v>
      </c>
      <c r="F84" s="18">
        <f>IF(ISNUMBER(D84), $B91 * E84, "")</f>
        <v>-854.70085470085473</v>
      </c>
      <c r="G84" s="31">
        <v>117</v>
      </c>
      <c r="H84" s="32">
        <f t="shared" si="39"/>
        <v>0</v>
      </c>
      <c r="I84" s="101">
        <f>IF(ISNUMBER(G84), $B91 * H84, "")</f>
        <v>0</v>
      </c>
      <c r="J84" s="15">
        <v>120</v>
      </c>
      <c r="K84" s="32">
        <f t="shared" si="40"/>
        <v>2.564102564102564E-2</v>
      </c>
      <c r="L84" s="18">
        <f>IF(ISNUMBER(J84), $B91 * K84, "")</f>
        <v>2564.102564102564</v>
      </c>
      <c r="M84" s="31"/>
      <c r="N84" s="32" t="str">
        <f t="shared" si="41"/>
        <v/>
      </c>
      <c r="O84" s="18" t="str">
        <f>IF(ISNUMBER(M84), $B91 * N84, "")</f>
        <v/>
      </c>
      <c r="Q84" s="222"/>
      <c r="R84" s="222"/>
      <c r="S84" s="222"/>
    </row>
    <row r="85" spans="1:19" ht="17.25" thickBot="1">
      <c r="A85" s="127" t="s">
        <v>194</v>
      </c>
      <c r="B85" s="128">
        <v>131</v>
      </c>
      <c r="C85" s="78">
        <v>-5.75539568E-2</v>
      </c>
      <c r="D85" s="20">
        <v>133</v>
      </c>
      <c r="E85" s="21">
        <f t="shared" si="38"/>
        <v>1.5267175572519083E-2</v>
      </c>
      <c r="F85" s="22">
        <f>IF(ISNUMBER(D85), $B91 * E85, "")</f>
        <v>1526.7175572519084</v>
      </c>
      <c r="G85" s="30">
        <v>134</v>
      </c>
      <c r="H85" s="21">
        <f t="shared" si="39"/>
        <v>2.2900763358778626E-2</v>
      </c>
      <c r="I85" s="105">
        <f>IF(ISNUMBER(G85), $B91 * H85, "")</f>
        <v>2290.0763358778627</v>
      </c>
      <c r="J85" s="20">
        <v>134</v>
      </c>
      <c r="K85" s="21">
        <f t="shared" si="40"/>
        <v>2.2900763358778626E-2</v>
      </c>
      <c r="L85" s="22">
        <f>IF(ISNUMBER(J85), $B91 * K85, "")</f>
        <v>2290.0763358778627</v>
      </c>
      <c r="M85" s="30"/>
      <c r="N85" s="21" t="str">
        <f t="shared" si="41"/>
        <v/>
      </c>
      <c r="O85" s="22" t="str">
        <f>IF(ISNUMBER(M85), $B91 * N85, "")</f>
        <v/>
      </c>
      <c r="Q85" s="222"/>
      <c r="R85" s="222"/>
      <c r="S85" s="222"/>
    </row>
    <row r="86" spans="1:19" ht="17.25" thickBot="1">
      <c r="A86" s="125" t="s">
        <v>61</v>
      </c>
      <c r="B86" s="129">
        <v>994</v>
      </c>
      <c r="C86" s="80">
        <v>-5.7819905200000001E-2</v>
      </c>
      <c r="D86" s="106">
        <v>1005</v>
      </c>
      <c r="E86" s="107">
        <f>IF(ISNUMBER(D86), (D86 - $B86) / $B86, "")</f>
        <v>1.1066398390342052E-2</v>
      </c>
      <c r="F86" s="108">
        <f>IF(ISNUMBER(D86), $B91 * E86, "")</f>
        <v>1106.6398390342051</v>
      </c>
      <c r="G86" s="109">
        <v>1020</v>
      </c>
      <c r="H86" s="107">
        <f>IF(ISNUMBER(G86), (G86 - $B86) / $B86, "")</f>
        <v>2.6156941649899398E-2</v>
      </c>
      <c r="I86" s="110">
        <f>IF(ISNUMBER(G86), $B91 * H86, "")</f>
        <v>2615.69416498994</v>
      </c>
      <c r="J86" s="106">
        <v>1015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7"/>
      <c r="R86" s="227"/>
      <c r="S86" s="227"/>
    </row>
    <row r="87" spans="1:19" ht="17.25" thickBot="1">
      <c r="A87" s="125" t="s">
        <v>138</v>
      </c>
      <c r="B87" s="126">
        <v>375</v>
      </c>
      <c r="C87" s="77">
        <v>-6.25E-2</v>
      </c>
      <c r="D87" s="15">
        <v>376</v>
      </c>
      <c r="E87" s="32">
        <f t="shared" ref="E87:E90" si="42">IF(ISNUMBER(D87), (D87 - $B87) / $B87, "")</f>
        <v>2.6666666666666666E-3</v>
      </c>
      <c r="F87" s="18">
        <f>IF(ISNUMBER(D87), $B91 * E87, "")</f>
        <v>266.66666666666669</v>
      </c>
      <c r="G87" s="31">
        <v>380</v>
      </c>
      <c r="H87" s="32">
        <f t="shared" ref="H87:H90" si="43">IF(ISNUMBER(G87), (G87 - $B87) / $B87, "")</f>
        <v>1.3333333333333334E-2</v>
      </c>
      <c r="I87" s="101">
        <f>IF(ISNUMBER(G87), $B91 * H87, "")</f>
        <v>1333.3333333333335</v>
      </c>
      <c r="J87" s="15">
        <v>379</v>
      </c>
      <c r="K87" s="32">
        <f t="shared" ref="K87:K90" si="44">IF(ISNUMBER(J87), (J87 - $B87) / $B87, "")</f>
        <v>1.0666666666666666E-2</v>
      </c>
      <c r="L87" s="18">
        <f>IF(ISNUMBER(J87), $B91 * K87, "")</f>
        <v>1066.6666666666667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7"/>
      <c r="R87" s="227"/>
      <c r="S87" s="227"/>
    </row>
    <row r="88" spans="1:19" ht="17.25" thickBot="1">
      <c r="A88" s="125" t="s">
        <v>57</v>
      </c>
      <c r="B88" s="126">
        <v>214</v>
      </c>
      <c r="C88" s="77">
        <v>-6.9565217400000004E-2</v>
      </c>
      <c r="D88" s="15">
        <v>218</v>
      </c>
      <c r="E88" s="32">
        <f t="shared" si="42"/>
        <v>1.8691588785046728E-2</v>
      </c>
      <c r="F88" s="18">
        <f>IF(ISNUMBER(D88), $B91 * E88, "")</f>
        <v>1869.1588785046727</v>
      </c>
      <c r="G88" s="31">
        <v>222</v>
      </c>
      <c r="H88" s="32">
        <f t="shared" si="43"/>
        <v>3.7383177570093455E-2</v>
      </c>
      <c r="I88" s="101">
        <f>IF(ISNUMBER(G88), $B91 * H88, "")</f>
        <v>3738.3177570093453</v>
      </c>
      <c r="J88" s="15">
        <v>222</v>
      </c>
      <c r="K88" s="32">
        <f t="shared" si="44"/>
        <v>3.7383177570093455E-2</v>
      </c>
      <c r="L88" s="18">
        <f>IF(ISNUMBER(J88), $B91 * K88, "")</f>
        <v>3738.3177570093453</v>
      </c>
      <c r="M88" s="31"/>
      <c r="N88" s="32" t="str">
        <f t="shared" si="45"/>
        <v/>
      </c>
      <c r="O88" s="18" t="str">
        <f>IF(ISNUMBER(M88), $B91 * N88, "")</f>
        <v/>
      </c>
      <c r="Q88" s="227"/>
      <c r="R88" s="227"/>
      <c r="S88" s="227"/>
    </row>
    <row r="89" spans="1:19">
      <c r="A89" s="125" t="s">
        <v>162</v>
      </c>
      <c r="B89" s="126">
        <v>108</v>
      </c>
      <c r="C89" s="77">
        <v>-7.6923076899999998E-2</v>
      </c>
      <c r="D89" s="15">
        <v>110</v>
      </c>
      <c r="E89" s="32">
        <f t="shared" si="42"/>
        <v>1.8518518518518517E-2</v>
      </c>
      <c r="F89" s="18">
        <f>IF(ISNUMBER(D89), $B91 * E89, "")</f>
        <v>1851.8518518518517</v>
      </c>
      <c r="G89" s="31">
        <v>111</v>
      </c>
      <c r="H89" s="32">
        <f t="shared" si="43"/>
        <v>2.7777777777777776E-2</v>
      </c>
      <c r="I89" s="101">
        <f>IF(ISNUMBER(G89), $B91 * H89, "")</f>
        <v>2777.7777777777778</v>
      </c>
      <c r="J89" s="15">
        <v>112</v>
      </c>
      <c r="K89" s="32">
        <f t="shared" si="44"/>
        <v>3.7037037037037035E-2</v>
      </c>
      <c r="L89" s="18">
        <f>IF(ISNUMBER(J89), $B91 * K89, "")</f>
        <v>3703.7037037037035</v>
      </c>
      <c r="M89" s="31"/>
      <c r="N89" s="32" t="str">
        <f t="shared" si="45"/>
        <v/>
      </c>
      <c r="O89" s="18" t="str">
        <f>IF(ISNUMBER(M89), $B91 * N89, "")</f>
        <v/>
      </c>
      <c r="Q89" s="249"/>
      <c r="R89" s="250"/>
      <c r="S89" s="251"/>
    </row>
    <row r="90" spans="1:19" ht="17.25" thickBot="1">
      <c r="A90" s="130" t="s">
        <v>164</v>
      </c>
      <c r="B90" s="131">
        <v>991</v>
      </c>
      <c r="C90" s="79">
        <v>-7.8139534900000002E-2</v>
      </c>
      <c r="D90" s="24">
        <v>974</v>
      </c>
      <c r="E90" s="25">
        <f t="shared" si="42"/>
        <v>-1.7154389505549948E-2</v>
      </c>
      <c r="F90" s="104">
        <f>IF(ISNUMBER(D90), $B91 * E90, "")</f>
        <v>-1715.4389505549948</v>
      </c>
      <c r="G90" s="102">
        <v>992</v>
      </c>
      <c r="H90" s="25">
        <f t="shared" si="43"/>
        <v>1.0090817356205853E-3</v>
      </c>
      <c r="I90" s="103">
        <f>IF(ISNUMBER(G90), $B91 * H90, "")</f>
        <v>100.90817356205852</v>
      </c>
      <c r="J90" s="24">
        <v>973</v>
      </c>
      <c r="K90" s="25">
        <f t="shared" si="44"/>
        <v>-1.8163471241170535E-2</v>
      </c>
      <c r="L90" s="104">
        <f>IF(ISNUMBER(J90), $B91 * K90, "")</f>
        <v>-1816.3471241170535</v>
      </c>
      <c r="M90" s="102"/>
      <c r="N90" s="25" t="str">
        <f t="shared" si="45"/>
        <v/>
      </c>
      <c r="O90" s="104" t="str">
        <f>IF(ISNUMBER(M90), $B91 * N90, "")</f>
        <v/>
      </c>
      <c r="Q90" s="252"/>
      <c r="R90" s="253"/>
      <c r="S90" s="254"/>
    </row>
    <row r="91" spans="1:19" ht="17.25" thickBot="1">
      <c r="A91" s="132" t="s">
        <v>270</v>
      </c>
      <c r="B91" s="260">
        <f>$B$37</f>
        <v>100000</v>
      </c>
      <c r="C91" s="261"/>
      <c r="D91" s="26" t="s">
        <v>271</v>
      </c>
      <c r="E91" s="27">
        <f>IF(COUNT(E71:E90), SUM(E71:E90) / COUNT(E71:E90), 0)</f>
        <v>5.651173228394331E-3</v>
      </c>
      <c r="F91" s="28">
        <f>SUM(F71:F90)</f>
        <v>11302.346456788662</v>
      </c>
      <c r="G91" s="26" t="s">
        <v>271</v>
      </c>
      <c r="H91" s="27">
        <f>IF(COUNT(H71:H90), SUM(H71:H90) / COUNT(H71:H90), 0)</f>
        <v>1.6422294003520792E-2</v>
      </c>
      <c r="I91" s="28">
        <f>SUM(I71:I90)</f>
        <v>32844.588007041581</v>
      </c>
      <c r="J91" s="26" t="s">
        <v>271</v>
      </c>
      <c r="K91" s="27">
        <f>IF(COUNT(K71:K90), SUM(K71:K90) / COUNT(K71:K90), 0)</f>
        <v>1.8217967827446887E-2</v>
      </c>
      <c r="L91" s="28">
        <f>SUM(L71:L90)</f>
        <v>36435.935654893765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97" t="s">
        <v>267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55149000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2.1442459999999998E-3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2021-09-11(토) 오전 00:00</v>
      </c>
      <c r="C96" s="265"/>
      <c r="D96" s="224" t="str">
        <f>TEXT($G$1, "[$-ko-KR]yyyy-mm-dd(ddd) ") &amp; "오후 14:00"</f>
        <v>2021-09-11(토) 오후 14:00</v>
      </c>
      <c r="E96" s="225"/>
      <c r="F96" s="226"/>
      <c r="G96" s="224" t="str">
        <f>TEXT($G$1, "[$-ko-KR]yyyy-mm-dd(ddd) ") &amp; "오후 19:00"</f>
        <v>2021-09-11(토) 오후 19:00</v>
      </c>
      <c r="H96" s="225"/>
      <c r="I96" s="226"/>
      <c r="J96" s="224" t="str">
        <f>TEXT($G$1, "[$-ko-KR]yyyy-mm-dd(ddd) ") &amp; "오후 21:00"</f>
        <v>2021-09-11(토) 오후 21:00</v>
      </c>
      <c r="K96" s="225"/>
      <c r="L96" s="226"/>
      <c r="M96" s="224" t="str">
        <f>TEXT($G$1+1, "[$-ko-KR]yyyy-mm-dd(ddd) ") &amp; "오전 00:00"</f>
        <v>2021-09-12(일)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7"/>
      <c r="R97" s="227"/>
      <c r="S97" s="227"/>
    </row>
    <row r="98" spans="1:19" ht="17.25" thickBot="1">
      <c r="A98" s="123" t="s">
        <v>108</v>
      </c>
      <c r="B98" s="124">
        <v>2205</v>
      </c>
      <c r="C98" s="76">
        <v>0.15445026179999999</v>
      </c>
      <c r="D98" s="13">
        <v>2100</v>
      </c>
      <c r="E98" s="14">
        <f>IF(ISNUMBER(D98), (D98 - $B98) / $B98, "")</f>
        <v>-4.7619047619047616E-2</v>
      </c>
      <c r="F98" s="16">
        <f>IF(ISNUMBER(D98), $B118 * E98, "")</f>
        <v>-4761.9047619047615</v>
      </c>
      <c r="G98" s="29">
        <v>2155</v>
      </c>
      <c r="H98" s="14">
        <f>IF(ISNUMBER(G98), (G98 - $B98) / $B98, "")</f>
        <v>-2.2675736961451247E-2</v>
      </c>
      <c r="I98" s="100">
        <f>IF(ISNUMBER(G98), $B118 * H98, "")</f>
        <v>-2267.5736961451248</v>
      </c>
      <c r="J98" s="13">
        <v>2120</v>
      </c>
      <c r="K98" s="14">
        <f>IF(ISNUMBER(J98), (J98 - $B98) / $B98, "")</f>
        <v>-3.8548752834467119E-2</v>
      </c>
      <c r="L98" s="16">
        <f>IF(ISNUMBER(J98), $B118 * K98, "")</f>
        <v>-3854.8752834467118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2"/>
      <c r="R98" s="222"/>
      <c r="S98" s="222"/>
    </row>
    <row r="99" spans="1:19" ht="17.25" thickBot="1">
      <c r="A99" s="125" t="s">
        <v>174</v>
      </c>
      <c r="B99" s="126">
        <v>486</v>
      </c>
      <c r="C99" s="77">
        <v>6.1135371199999997E-2</v>
      </c>
      <c r="D99" s="15">
        <v>439</v>
      </c>
      <c r="E99" s="32">
        <f t="shared" ref="E99:E102" si="46">IF(ISNUMBER(D99), (D99 - $B99) / $B99, "")</f>
        <v>-9.6707818930041156E-2</v>
      </c>
      <c r="F99" s="18">
        <f>IF(ISNUMBER(D99), $B118 * E99, "")</f>
        <v>-9670.7818930041158</v>
      </c>
      <c r="G99" s="31">
        <v>446</v>
      </c>
      <c r="H99" s="32">
        <f t="shared" ref="H99:H102" si="47">IF(ISNUMBER(G99), (G99 - $B99) / $B99, "")</f>
        <v>-8.2304526748971193E-2</v>
      </c>
      <c r="I99" s="101">
        <f>IF(ISNUMBER(G99), $B118 * H99, "")</f>
        <v>-8230.4526748971202</v>
      </c>
      <c r="J99" s="15">
        <v>447</v>
      </c>
      <c r="K99" s="32">
        <f t="shared" ref="K99:K102" si="48">IF(ISNUMBER(J99), (J99 - $B99) / $B99, "")</f>
        <v>-8.0246913580246909E-2</v>
      </c>
      <c r="L99" s="18">
        <f>IF(ISNUMBER(J99), $B118 * K99, "")</f>
        <v>-8024.691358024691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2"/>
      <c r="R99" s="222"/>
      <c r="S99" s="222"/>
    </row>
    <row r="100" spans="1:19" ht="17.25" thickBot="1">
      <c r="A100" s="125" t="s">
        <v>72</v>
      </c>
      <c r="B100" s="126">
        <v>29.3</v>
      </c>
      <c r="C100" s="77">
        <v>5.7761732900000001E-2</v>
      </c>
      <c r="D100" s="15">
        <v>29.3</v>
      </c>
      <c r="E100" s="32">
        <f t="shared" si="46"/>
        <v>0</v>
      </c>
      <c r="F100" s="18">
        <f>IF(ISNUMBER(D100), $B118 * E100, "")</f>
        <v>0</v>
      </c>
      <c r="G100" s="31">
        <v>29.2</v>
      </c>
      <c r="H100" s="32">
        <f t="shared" si="47"/>
        <v>-3.4129692832764991E-3</v>
      </c>
      <c r="I100" s="101">
        <f>IF(ISNUMBER(G100), $B118 * H100, "")</f>
        <v>-341.29692832764994</v>
      </c>
      <c r="J100" s="15">
        <v>29.4</v>
      </c>
      <c r="K100" s="32">
        <f t="shared" si="48"/>
        <v>3.4129692832763777E-3</v>
      </c>
      <c r="L100" s="18">
        <f>IF(ISNUMBER(J100), $B118 * K100, "")</f>
        <v>341.29692832763777</v>
      </c>
      <c r="M100" s="31"/>
      <c r="N100" s="32" t="str">
        <f t="shared" si="49"/>
        <v/>
      </c>
      <c r="O100" s="18" t="str">
        <f>IF(ISNUMBER(M100), $B118 * N100, "")</f>
        <v/>
      </c>
      <c r="Q100" s="227"/>
      <c r="R100" s="227"/>
      <c r="S100" s="227"/>
    </row>
    <row r="101" spans="1:19" ht="17.25" thickBot="1">
      <c r="A101" s="125" t="s">
        <v>96</v>
      </c>
      <c r="B101" s="126">
        <v>6835</v>
      </c>
      <c r="C101" s="77">
        <v>1.9388516000000001E-2</v>
      </c>
      <c r="D101" s="15">
        <v>7970</v>
      </c>
      <c r="E101" s="32">
        <f t="shared" si="46"/>
        <v>0.16605705925384054</v>
      </c>
      <c r="F101" s="18">
        <f>IF(ISNUMBER(D101), $B118 * E101, "")</f>
        <v>16605.705925384053</v>
      </c>
      <c r="G101" s="31">
        <v>8010</v>
      </c>
      <c r="H101" s="32">
        <f t="shared" si="47"/>
        <v>0.17190929041697148</v>
      </c>
      <c r="I101" s="101">
        <f>IF(ISNUMBER(G101), $B118 * H101, "")</f>
        <v>17190.929041697149</v>
      </c>
      <c r="J101" s="15">
        <v>7695</v>
      </c>
      <c r="K101" s="32">
        <f t="shared" si="48"/>
        <v>0.12582297000731529</v>
      </c>
      <c r="L101" s="18">
        <f>IF(ISNUMBER(J101), $B118 * K101, "")</f>
        <v>12582.297000731529</v>
      </c>
      <c r="M101" s="31"/>
      <c r="N101" s="32" t="str">
        <f t="shared" si="49"/>
        <v/>
      </c>
      <c r="O101" s="18" t="str">
        <f>IF(ISNUMBER(M101), $B118 * N101, "")</f>
        <v/>
      </c>
      <c r="Q101" s="227"/>
      <c r="R101" s="227"/>
      <c r="S101" s="227"/>
    </row>
    <row r="102" spans="1:19" ht="17.25" thickBot="1">
      <c r="A102" s="127" t="s">
        <v>176</v>
      </c>
      <c r="B102" s="128">
        <v>1900</v>
      </c>
      <c r="C102" s="78">
        <v>7.9575597000000001E-3</v>
      </c>
      <c r="D102" s="20">
        <v>1840</v>
      </c>
      <c r="E102" s="21">
        <f t="shared" si="46"/>
        <v>-3.1578947368421054E-2</v>
      </c>
      <c r="F102" s="22">
        <f>IF(ISNUMBER(D102), $B118 * E102, "")</f>
        <v>-3157.8947368421054</v>
      </c>
      <c r="G102" s="30">
        <v>1880</v>
      </c>
      <c r="H102" s="21">
        <f t="shared" si="47"/>
        <v>-1.0526315789473684E-2</v>
      </c>
      <c r="I102" s="105">
        <f>IF(ISNUMBER(G102), $B118 * H102, "")</f>
        <v>-1052.6315789473683</v>
      </c>
      <c r="J102" s="20">
        <v>1875</v>
      </c>
      <c r="K102" s="21">
        <f t="shared" si="48"/>
        <v>-1.3157894736842105E-2</v>
      </c>
      <c r="L102" s="22">
        <f>IF(ISNUMBER(J102), $B118 * K102, "")</f>
        <v>-1315.7894736842104</v>
      </c>
      <c r="M102" s="30"/>
      <c r="N102" s="21" t="str">
        <f t="shared" si="49"/>
        <v/>
      </c>
      <c r="O102" s="22" t="str">
        <f>IF(ISNUMBER(M102), $B118 * N102, "")</f>
        <v/>
      </c>
      <c r="Q102" s="227"/>
      <c r="R102" s="227"/>
      <c r="S102" s="227"/>
    </row>
    <row r="103" spans="1:19" ht="17.25" thickBot="1">
      <c r="A103" s="125" t="s">
        <v>132</v>
      </c>
      <c r="B103" s="129">
        <v>131</v>
      </c>
      <c r="C103" s="80">
        <v>7.6923076999999996E-3</v>
      </c>
      <c r="D103" s="106">
        <v>129</v>
      </c>
      <c r="E103" s="107">
        <f>IF(ISNUMBER(D103), (D103 - $B103) / $B103, "")</f>
        <v>-1.5267175572519083E-2</v>
      </c>
      <c r="F103" s="108">
        <f>IF(ISNUMBER(D103), $B118 * E103, "")</f>
        <v>-1526.7175572519084</v>
      </c>
      <c r="G103" s="109">
        <v>132</v>
      </c>
      <c r="H103" s="107">
        <f>IF(ISNUMBER(G103), (G103 - $B103) / $B103, "")</f>
        <v>7.6335877862595417E-3</v>
      </c>
      <c r="I103" s="110">
        <f>IF(ISNUMBER(G103), $B118 * H103, "")</f>
        <v>763.35877862595419</v>
      </c>
      <c r="J103" s="106">
        <v>132</v>
      </c>
      <c r="K103" s="107">
        <f>IF(ISNUMBER(J103), (J103 - $B103) / $B103, "")</f>
        <v>7.6335877862595417E-3</v>
      </c>
      <c r="L103" s="108">
        <f>IF(ISNUMBER(J103), $B118 * K103, "")</f>
        <v>763.35877862595419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7"/>
      <c r="R103" s="227"/>
      <c r="S103" s="227"/>
    </row>
    <row r="104" spans="1:19" ht="17.25" thickBot="1">
      <c r="A104" s="125" t="s">
        <v>136</v>
      </c>
      <c r="B104" s="126">
        <v>2200</v>
      </c>
      <c r="C104" s="77">
        <v>-2.2675737E-3</v>
      </c>
      <c r="D104" s="15">
        <v>2260</v>
      </c>
      <c r="E104" s="32">
        <f t="shared" ref="E104:E107" si="50">IF(ISNUMBER(D104), (D104 - $B104) / $B104, "")</f>
        <v>2.7272727272727271E-2</v>
      </c>
      <c r="F104" s="18">
        <f>IF(ISNUMBER(D104), $B118 * E104, "")</f>
        <v>2727.272727272727</v>
      </c>
      <c r="G104" s="31">
        <v>2300</v>
      </c>
      <c r="H104" s="32">
        <f t="shared" ref="H104:H107" si="51">IF(ISNUMBER(G104), (G104 - $B104) / $B104, "")</f>
        <v>4.5454545454545456E-2</v>
      </c>
      <c r="I104" s="101">
        <f>IF(ISNUMBER(G104), $B118 * H104, "")</f>
        <v>4545.454545454546</v>
      </c>
      <c r="J104" s="15">
        <v>2290</v>
      </c>
      <c r="K104" s="32">
        <f t="shared" ref="K104:K107" si="52">IF(ISNUMBER(J104), (J104 - $B104) / $B104, "")</f>
        <v>4.0909090909090909E-2</v>
      </c>
      <c r="L104" s="18">
        <f>IF(ISNUMBER(J104), $B118 * K104, "")</f>
        <v>4090.909090909091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7"/>
      <c r="R104" s="227"/>
      <c r="S104" s="227"/>
    </row>
    <row r="105" spans="1:19" ht="17.25" thickBot="1">
      <c r="A105" s="125" t="s">
        <v>248</v>
      </c>
      <c r="B105" s="126">
        <v>2915</v>
      </c>
      <c r="C105" s="77">
        <v>-6.8143101000000001E-3</v>
      </c>
      <c r="D105" s="15">
        <v>2965</v>
      </c>
      <c r="E105" s="32">
        <f t="shared" si="50"/>
        <v>1.7152658662092625E-2</v>
      </c>
      <c r="F105" s="18">
        <f>IF(ISNUMBER(D105), $B118 * E105, "")</f>
        <v>1715.2658662092624</v>
      </c>
      <c r="G105" s="31">
        <v>3105</v>
      </c>
      <c r="H105" s="32">
        <f t="shared" si="51"/>
        <v>6.5180102915951971E-2</v>
      </c>
      <c r="I105" s="101">
        <f>IF(ISNUMBER(G105), $B118 * H105, "")</f>
        <v>6518.0102915951975</v>
      </c>
      <c r="J105" s="15">
        <v>3065</v>
      </c>
      <c r="K105" s="32">
        <f t="shared" si="52"/>
        <v>5.1457975986277875E-2</v>
      </c>
      <c r="L105" s="18">
        <f>IF(ISNUMBER(J105), $B118 * K105, "")</f>
        <v>5145.7975986277879</v>
      </c>
      <c r="M105" s="31"/>
      <c r="N105" s="32" t="str">
        <f t="shared" si="53"/>
        <v/>
      </c>
      <c r="O105" s="18" t="str">
        <f>IF(ISNUMBER(M105), $B118 * N105, "")</f>
        <v/>
      </c>
      <c r="Q105" s="227"/>
      <c r="R105" s="227"/>
      <c r="S105" s="227"/>
    </row>
    <row r="106" spans="1:19" ht="17.25" thickBot="1">
      <c r="A106" s="125" t="s">
        <v>208</v>
      </c>
      <c r="B106" s="126">
        <v>14.5</v>
      </c>
      <c r="C106" s="77">
        <v>-6.8493151000000004E-3</v>
      </c>
      <c r="D106" s="15">
        <v>14.7</v>
      </c>
      <c r="E106" s="32">
        <f t="shared" si="50"/>
        <v>1.3793103448275813E-2</v>
      </c>
      <c r="F106" s="18">
        <f>IF(ISNUMBER(D106), $B118 * E106, "")</f>
        <v>1379.3103448275813</v>
      </c>
      <c r="G106" s="31">
        <v>14.9</v>
      </c>
      <c r="H106" s="32">
        <f t="shared" si="51"/>
        <v>2.7586206896551748E-2</v>
      </c>
      <c r="I106" s="101">
        <f>IF(ISNUMBER(G106), $B118 * H106, "")</f>
        <v>2758.6206896551748</v>
      </c>
      <c r="J106" s="15">
        <v>14.8</v>
      </c>
      <c r="K106" s="32">
        <f t="shared" si="52"/>
        <v>2.0689655172413841E-2</v>
      </c>
      <c r="L106" s="18">
        <f>IF(ISNUMBER(J106), $B118 * K106, "")</f>
        <v>2068.9655172413841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49</v>
      </c>
      <c r="B107" s="131">
        <v>55361000</v>
      </c>
      <c r="C107" s="79">
        <v>-9.6422182000000002E-3</v>
      </c>
      <c r="D107" s="24">
        <v>55035000</v>
      </c>
      <c r="E107" s="25">
        <f t="shared" si="50"/>
        <v>-5.8886219540831997E-3</v>
      </c>
      <c r="F107" s="104">
        <f>IF(ISNUMBER(D107), $B118 * E107, "")</f>
        <v>-588.86219540831996</v>
      </c>
      <c r="G107" s="102">
        <v>55227000</v>
      </c>
      <c r="H107" s="25">
        <f t="shared" si="51"/>
        <v>-2.4204765087335852E-3</v>
      </c>
      <c r="I107" s="103">
        <f>IF(ISNUMBER(G107), $B118 * H107, "")</f>
        <v>-242.04765087335852</v>
      </c>
      <c r="J107" s="24">
        <v>55149000</v>
      </c>
      <c r="K107" s="25">
        <f t="shared" si="52"/>
        <v>-3.8294105959068661E-3</v>
      </c>
      <c r="L107" s="104">
        <f>IF(ISNUMBER(J107), $B118 * K107, "")</f>
        <v>-382.94105959068662</v>
      </c>
      <c r="M107" s="102"/>
      <c r="N107" s="25" t="str">
        <f t="shared" si="53"/>
        <v/>
      </c>
      <c r="O107" s="104" t="str">
        <f>IF(ISNUMBER(M107), $B118 * N107, "")</f>
        <v/>
      </c>
      <c r="Q107" s="236"/>
      <c r="R107" s="237"/>
      <c r="S107" s="238"/>
    </row>
    <row r="108" spans="1:19">
      <c r="A108" s="123" t="s">
        <v>218</v>
      </c>
      <c r="B108" s="124">
        <v>149</v>
      </c>
      <c r="C108" s="76">
        <v>-1.3245033099999999E-2</v>
      </c>
      <c r="D108" s="13">
        <v>153</v>
      </c>
      <c r="E108" s="14">
        <f>IF(ISNUMBER(D108), (D108 - $B108) / $B108, "")</f>
        <v>2.6845637583892617E-2</v>
      </c>
      <c r="F108" s="16">
        <f>IF(ISNUMBER(D108), $B118 * E108, "")</f>
        <v>2684.5637583892617</v>
      </c>
      <c r="G108" s="29">
        <v>155</v>
      </c>
      <c r="H108" s="14">
        <f>IF(ISNUMBER(G108), (G108 - $B108) / $B108, "")</f>
        <v>4.0268456375838924E-2</v>
      </c>
      <c r="I108" s="100">
        <f>IF(ISNUMBER(G108), $B118 * H108, "")</f>
        <v>4026.8456375838923</v>
      </c>
      <c r="J108" s="13">
        <v>156</v>
      </c>
      <c r="K108" s="14">
        <f>IF(ISNUMBER(J108), (J108 - $B108) / $B108, "")</f>
        <v>4.6979865771812082E-2</v>
      </c>
      <c r="L108" s="16">
        <f>IF(ISNUMBER(J108), $B118 * K108, "")</f>
        <v>4697.9865771812083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9"/>
      <c r="R108" s="240"/>
      <c r="S108" s="241"/>
    </row>
    <row r="109" spans="1:19" ht="17.25" thickBot="1">
      <c r="A109" s="125" t="s">
        <v>134</v>
      </c>
      <c r="B109" s="126">
        <v>35450</v>
      </c>
      <c r="C109" s="77">
        <v>-1.39082058E-2</v>
      </c>
      <c r="D109" s="15">
        <v>35350</v>
      </c>
      <c r="E109" s="32">
        <f t="shared" ref="E109:E112" si="54">IF(ISNUMBER(D109), (D109 - $B109) / $B109, "")</f>
        <v>-2.8208744710860366E-3</v>
      </c>
      <c r="F109" s="18">
        <f>IF(ISNUMBER(D109), $B118 * E109, "")</f>
        <v>-282.08744710860367</v>
      </c>
      <c r="G109" s="31">
        <v>36050</v>
      </c>
      <c r="H109" s="32">
        <f t="shared" ref="H109:H112" si="55">IF(ISNUMBER(G109), (G109 - $B109) / $B109, "")</f>
        <v>1.6925246826516221E-2</v>
      </c>
      <c r="I109" s="101">
        <f>IF(ISNUMBER(G109), $B118 * H109, "")</f>
        <v>1692.5246826516222</v>
      </c>
      <c r="J109" s="15">
        <v>36670</v>
      </c>
      <c r="K109" s="32">
        <f t="shared" ref="K109:K112" si="56">IF(ISNUMBER(J109), (J109 - $B109) / $B109, "")</f>
        <v>3.4414668547249651E-2</v>
      </c>
      <c r="L109" s="18">
        <f>IF(ISNUMBER(J109), $B118 * K109, "")</f>
        <v>3441.4668547249653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2"/>
      <c r="R109" s="243"/>
      <c r="S109" s="244"/>
    </row>
    <row r="110" spans="1:19" ht="17.25" thickBot="1">
      <c r="A110" s="125" t="s">
        <v>90</v>
      </c>
      <c r="B110" s="126">
        <v>1295</v>
      </c>
      <c r="C110" s="77">
        <v>-1.52091255E-2</v>
      </c>
      <c r="D110" s="15">
        <v>1300</v>
      </c>
      <c r="E110" s="32">
        <f t="shared" si="54"/>
        <v>3.8610038610038611E-3</v>
      </c>
      <c r="F110" s="18">
        <f>IF(ISNUMBER(D110), $B118 * E110, "")</f>
        <v>386.10038610038612</v>
      </c>
      <c r="G110" s="31">
        <v>1320</v>
      </c>
      <c r="H110" s="32">
        <f t="shared" si="55"/>
        <v>1.9305019305019305E-2</v>
      </c>
      <c r="I110" s="101">
        <f>IF(ISNUMBER(G110), $B118 * H110, "")</f>
        <v>1930.5019305019305</v>
      </c>
      <c r="J110" s="15">
        <v>1340</v>
      </c>
      <c r="K110" s="32">
        <f t="shared" si="56"/>
        <v>3.4749034749034749E-2</v>
      </c>
      <c r="L110" s="18">
        <f>IF(ISNUMBER(J110), $B118 * K110, "")</f>
        <v>3474.9034749034749</v>
      </c>
      <c r="M110" s="31"/>
      <c r="N110" s="32" t="str">
        <f t="shared" si="57"/>
        <v/>
      </c>
      <c r="O110" s="18" t="str">
        <f>IF(ISNUMBER(M110), $B118 * N110, "")</f>
        <v/>
      </c>
      <c r="Q110" s="227"/>
      <c r="R110" s="227"/>
      <c r="S110" s="227"/>
    </row>
    <row r="111" spans="1:19" ht="17.25" thickBot="1">
      <c r="A111" s="125" t="s">
        <v>126</v>
      </c>
      <c r="B111" s="126">
        <v>212900</v>
      </c>
      <c r="C111" s="77">
        <v>-2.22732491E-2</v>
      </c>
      <c r="D111" s="15">
        <v>214700</v>
      </c>
      <c r="E111" s="32">
        <f t="shared" si="54"/>
        <v>8.4546735556599341E-3</v>
      </c>
      <c r="F111" s="18">
        <f>IF(ISNUMBER(D111), $B118 * E111, "")</f>
        <v>845.46735556599344</v>
      </c>
      <c r="G111" s="31">
        <v>220900</v>
      </c>
      <c r="H111" s="32">
        <f t="shared" si="55"/>
        <v>3.7576326914044153E-2</v>
      </c>
      <c r="I111" s="101">
        <f>IF(ISNUMBER(G111), $B118 * H111, "")</f>
        <v>3757.6326914044153</v>
      </c>
      <c r="J111" s="15">
        <v>224850</v>
      </c>
      <c r="K111" s="32">
        <f t="shared" si="56"/>
        <v>5.6129638327853455E-2</v>
      </c>
      <c r="L111" s="18">
        <f>IF(ISNUMBER(J111), $B118 * K111, "")</f>
        <v>5612.9638327853454</v>
      </c>
      <c r="M111" s="31"/>
      <c r="N111" s="32" t="str">
        <f t="shared" si="57"/>
        <v/>
      </c>
      <c r="O111" s="18" t="str">
        <f>IF(ISNUMBER(M111), $B118 * N111, "")</f>
        <v/>
      </c>
      <c r="Q111" s="222"/>
      <c r="R111" s="222"/>
      <c r="S111" s="222"/>
    </row>
    <row r="112" spans="1:19" ht="17.25" thickBot="1">
      <c r="A112" s="127" t="s">
        <v>51</v>
      </c>
      <c r="B112" s="128">
        <v>391</v>
      </c>
      <c r="C112" s="78">
        <v>-2.2499999999999999E-2</v>
      </c>
      <c r="D112" s="20">
        <v>389</v>
      </c>
      <c r="E112" s="21">
        <f t="shared" si="54"/>
        <v>-5.1150895140664966E-3</v>
      </c>
      <c r="F112" s="22">
        <f>IF(ISNUMBER(D112), $B118 * E112, "")</f>
        <v>-511.50895140664966</v>
      </c>
      <c r="G112" s="30">
        <v>395</v>
      </c>
      <c r="H112" s="21">
        <f t="shared" si="55"/>
        <v>1.0230179028132993E-2</v>
      </c>
      <c r="I112" s="105">
        <f>IF(ISNUMBER(G112), $B118 * H112, "")</f>
        <v>1023.0179028132993</v>
      </c>
      <c r="J112" s="20">
        <v>398</v>
      </c>
      <c r="K112" s="21">
        <f t="shared" si="56"/>
        <v>1.7902813299232736E-2</v>
      </c>
      <c r="L112" s="22">
        <f>IF(ISNUMBER(J112), $B118 * K112, "")</f>
        <v>1790.2813299232737</v>
      </c>
      <c r="M112" s="30"/>
      <c r="N112" s="21" t="str">
        <f t="shared" si="57"/>
        <v/>
      </c>
      <c r="O112" s="22" t="str">
        <f>IF(ISNUMBER(M112), $B118 * N112, "")</f>
        <v/>
      </c>
      <c r="Q112" s="222"/>
      <c r="R112" s="222"/>
      <c r="S112" s="222"/>
    </row>
    <row r="113" spans="1:19" ht="17.25" thickBot="1">
      <c r="A113" s="125" t="s">
        <v>78</v>
      </c>
      <c r="B113" s="129">
        <v>776000</v>
      </c>
      <c r="C113" s="80">
        <v>-2.69592476E-2</v>
      </c>
      <c r="D113" s="106">
        <v>773600</v>
      </c>
      <c r="E113" s="107">
        <f>IF(ISNUMBER(D113), (D113 - $B113) / $B113, "")</f>
        <v>-3.092783505154639E-3</v>
      </c>
      <c r="F113" s="108">
        <f>IF(ISNUMBER(D113), $B118 * E113, "")</f>
        <v>-309.2783505154639</v>
      </c>
      <c r="G113" s="109">
        <v>777900</v>
      </c>
      <c r="H113" s="107">
        <f>IF(ISNUMBER(G113), (G113 - $B113) / $B113, "")</f>
        <v>2.4484536082474227E-3</v>
      </c>
      <c r="I113" s="110">
        <f>IF(ISNUMBER(G113), $B118 * H113, "")</f>
        <v>244.84536082474227</v>
      </c>
      <c r="J113" s="106">
        <v>780500</v>
      </c>
      <c r="K113" s="107">
        <f>IF(ISNUMBER(J113), (J113 - $B113) / $B113, "")</f>
        <v>5.7989690721649487E-3</v>
      </c>
      <c r="L113" s="108">
        <f>IF(ISNUMBER(J113), $B118 * K113, "")</f>
        <v>579.89690721649481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7"/>
      <c r="R113" s="227"/>
      <c r="S113" s="227"/>
    </row>
    <row r="114" spans="1:19" ht="17.25" thickBot="1">
      <c r="A114" s="125" t="s">
        <v>236</v>
      </c>
      <c r="B114" s="126">
        <v>725</v>
      </c>
      <c r="C114" s="77">
        <v>-2.8150134E-2</v>
      </c>
      <c r="D114" s="15">
        <v>746</v>
      </c>
      <c r="E114" s="32">
        <f t="shared" ref="E114:E117" si="58">IF(ISNUMBER(D114), (D114 - $B114) / $B114, "")</f>
        <v>2.8965517241379312E-2</v>
      </c>
      <c r="F114" s="18">
        <f>IF(ISNUMBER(D114), $B118 * E114, "")</f>
        <v>2896.5517241379312</v>
      </c>
      <c r="G114" s="31">
        <v>758</v>
      </c>
      <c r="H114" s="32">
        <f t="shared" ref="H114:H117" si="59">IF(ISNUMBER(G114), (G114 - $B114) / $B114, "")</f>
        <v>4.5517241379310347E-2</v>
      </c>
      <c r="I114" s="101">
        <f>IF(ISNUMBER(G114), $B118 * H114, "")</f>
        <v>4551.7241379310344</v>
      </c>
      <c r="J114" s="15">
        <v>753</v>
      </c>
      <c r="K114" s="32">
        <f t="shared" ref="K114:K117" si="60">IF(ISNUMBER(J114), (J114 - $B114) / $B114, "")</f>
        <v>3.8620689655172416E-2</v>
      </c>
      <c r="L114" s="18">
        <f>IF(ISNUMBER(J114), $B118 * K114, "")</f>
        <v>3862.0689655172414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7"/>
      <c r="R114" s="227"/>
      <c r="S114" s="227"/>
    </row>
    <row r="115" spans="1:19" ht="17.25" thickBot="1">
      <c r="A115" s="125" t="s">
        <v>74</v>
      </c>
      <c r="B115" s="126">
        <v>31320</v>
      </c>
      <c r="C115" s="77">
        <v>-3.1839258099999997E-2</v>
      </c>
      <c r="D115" s="15">
        <v>35630</v>
      </c>
      <c r="E115" s="32">
        <f t="shared" si="58"/>
        <v>0.13761174968071518</v>
      </c>
      <c r="F115" s="18">
        <f>IF(ISNUMBER(D115), $B118 * E115, "")</f>
        <v>13761.174968071518</v>
      </c>
      <c r="G115" s="31">
        <v>35470</v>
      </c>
      <c r="H115" s="32">
        <f t="shared" si="59"/>
        <v>0.13250319284802042</v>
      </c>
      <c r="I115" s="101">
        <f>IF(ISNUMBER(G115), $B118 * H115, "")</f>
        <v>13250.319284802043</v>
      </c>
      <c r="J115" s="15">
        <v>34050</v>
      </c>
      <c r="K115" s="32">
        <f t="shared" si="60"/>
        <v>8.7164750957854406E-2</v>
      </c>
      <c r="L115" s="18">
        <f>IF(ISNUMBER(J115), $B118 * K115, "")</f>
        <v>8716.4750957854412</v>
      </c>
      <c r="M115" s="31"/>
      <c r="N115" s="32" t="str">
        <f t="shared" si="61"/>
        <v/>
      </c>
      <c r="O115" s="18" t="str">
        <f>IF(ISNUMBER(M115), $B118 * N115, "")</f>
        <v/>
      </c>
      <c r="Q115" s="227"/>
      <c r="R115" s="227"/>
      <c r="S115" s="227"/>
    </row>
    <row r="116" spans="1:19">
      <c r="A116" s="125" t="s">
        <v>94</v>
      </c>
      <c r="B116" s="126">
        <v>3994000</v>
      </c>
      <c r="C116" s="77">
        <v>-3.3631744499999998E-2</v>
      </c>
      <c r="D116" s="15">
        <v>3972000</v>
      </c>
      <c r="E116" s="32">
        <f t="shared" si="58"/>
        <v>-5.5082623935903859E-3</v>
      </c>
      <c r="F116" s="18">
        <f>IF(ISNUMBER(D116), $B118 * E116, "")</f>
        <v>-550.8262393590386</v>
      </c>
      <c r="G116" s="31">
        <v>4002000</v>
      </c>
      <c r="H116" s="32">
        <f t="shared" si="59"/>
        <v>2.00300450676014E-3</v>
      </c>
      <c r="I116" s="101">
        <f>IF(ISNUMBER(G116), $B118 * H116, "")</f>
        <v>200.30045067601401</v>
      </c>
      <c r="J116" s="15">
        <v>4017000</v>
      </c>
      <c r="K116" s="32">
        <f t="shared" si="60"/>
        <v>5.7586379569354029E-3</v>
      </c>
      <c r="L116" s="18">
        <f>IF(ISNUMBER(J116), $B118 * K116, "")</f>
        <v>575.86379569354028</v>
      </c>
      <c r="M116" s="31"/>
      <c r="N116" s="32" t="str">
        <f t="shared" si="61"/>
        <v/>
      </c>
      <c r="O116" s="18" t="str">
        <f>IF(ISNUMBER(M116), $B118 * N116, "")</f>
        <v/>
      </c>
      <c r="Q116" s="249"/>
      <c r="R116" s="250"/>
      <c r="S116" s="251"/>
    </row>
    <row r="117" spans="1:19" ht="17.25" thickBot="1">
      <c r="A117" s="130" t="s">
        <v>152</v>
      </c>
      <c r="B117" s="131">
        <v>108</v>
      </c>
      <c r="C117" s="79">
        <v>-3.5714285700000001E-2</v>
      </c>
      <c r="D117" s="24">
        <v>116</v>
      </c>
      <c r="E117" s="25">
        <f t="shared" si="58"/>
        <v>7.407407407407407E-2</v>
      </c>
      <c r="F117" s="104">
        <f>IF(ISNUMBER(D117), $B118 * E117, "")</f>
        <v>7407.4074074074069</v>
      </c>
      <c r="G117" s="102">
        <v>116</v>
      </c>
      <c r="H117" s="25">
        <f t="shared" si="59"/>
        <v>7.407407407407407E-2</v>
      </c>
      <c r="I117" s="103">
        <f>IF(ISNUMBER(G117), $B118 * H117, "")</f>
        <v>7407.4074074074069</v>
      </c>
      <c r="J117" s="24">
        <v>116</v>
      </c>
      <c r="K117" s="25">
        <f t="shared" si="60"/>
        <v>7.407407407407407E-2</v>
      </c>
      <c r="L117" s="104">
        <f>IF(ISNUMBER(J117), $B118 * K117, "")</f>
        <v>7407.4074074074069</v>
      </c>
      <c r="M117" s="102"/>
      <c r="N117" s="25" t="str">
        <f t="shared" si="61"/>
        <v/>
      </c>
      <c r="O117" s="104" t="str">
        <f>IF(ISNUMBER(M117), $B118 * N117, "")</f>
        <v/>
      </c>
      <c r="Q117" s="252"/>
      <c r="R117" s="253"/>
      <c r="S117" s="254"/>
    </row>
    <row r="118" spans="1:19" ht="17.25" thickBot="1">
      <c r="A118" s="132" t="s">
        <v>270</v>
      </c>
      <c r="B118" s="260">
        <f>$B$37</f>
        <v>100000</v>
      </c>
      <c r="C118" s="261"/>
      <c r="D118" s="26" t="s">
        <v>271</v>
      </c>
      <c r="E118" s="27">
        <f>IF(COUNT(E98:E117), SUM(E98:E117) / COUNT(E98:E117), 0)</f>
        <v>1.4524479165282577E-2</v>
      </c>
      <c r="F118" s="28">
        <f>SUM(F98:F117)</f>
        <v>29048.958330565154</v>
      </c>
      <c r="G118" s="26" t="s">
        <v>271</v>
      </c>
      <c r="H118" s="27">
        <f>IF(COUNT(H98:H117), SUM(H98:H117) / COUNT(H98:H117), 0)</f>
        <v>2.8863745152216902E-2</v>
      </c>
      <c r="I118" s="28">
        <f>SUM(I98:I117)</f>
        <v>57727.490304433792</v>
      </c>
      <c r="J118" s="26" t="s">
        <v>271</v>
      </c>
      <c r="K118" s="27">
        <f>IF(COUNT(K98:K117), SUM(K98:K117) / COUNT(K98:K117), 0)</f>
        <v>2.5786820990427735E-2</v>
      </c>
      <c r="L118" s="28">
        <f>SUM(L98:L117)</f>
        <v>51573.641980855478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55"/>
      <c r="R118" s="256"/>
      <c r="S118" s="257"/>
    </row>
    <row r="120" spans="1:19" ht="17.25" thickBot="1"/>
    <row r="121" spans="1:19" ht="17.25" thickBot="1">
      <c r="A121" s="201" t="s">
        <v>258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97" t="s">
        <v>267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55149000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2.1442459999999998E-3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2021-09-11(토) 오전 00:00</v>
      </c>
      <c r="C123" s="265"/>
      <c r="D123" s="224" t="str">
        <f>TEXT($G$1, "[$-ko-KR]yyyy-mm-dd(ddd) ") &amp; "오후 14:00"</f>
        <v>2021-09-11(토) 오후 14:00</v>
      </c>
      <c r="E123" s="225"/>
      <c r="F123" s="226"/>
      <c r="G123" s="224" t="str">
        <f>TEXT($G$1, "[$-ko-KR]yyyy-mm-dd(ddd) ") &amp; "오후 19:00"</f>
        <v>2021-09-11(토) 오후 19:00</v>
      </c>
      <c r="H123" s="225"/>
      <c r="I123" s="226"/>
      <c r="J123" s="224" t="str">
        <f>TEXT($G$1, "[$-ko-KR]yyyy-mm-dd(ddd) ") &amp; "오후 21:00"</f>
        <v>2021-09-11(토) 오후 21:00</v>
      </c>
      <c r="K123" s="225"/>
      <c r="L123" s="226"/>
      <c r="M123" s="224" t="str">
        <f>TEXT($G$1+1, "[$-ko-KR]yyyy-mm-dd(ddd) ") &amp; "오전 00:00"</f>
        <v>2021-09-12(일)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7"/>
      <c r="R124" s="227"/>
      <c r="S124" s="227"/>
    </row>
    <row r="125" spans="1:19" ht="17.25" thickBot="1">
      <c r="A125" s="123" t="s">
        <v>72</v>
      </c>
      <c r="B125" s="124">
        <v>29.3</v>
      </c>
      <c r="C125" s="76">
        <v>5.7761732900000001E-2</v>
      </c>
      <c r="D125" s="13">
        <v>29.3</v>
      </c>
      <c r="E125" s="14">
        <f>IF(ISNUMBER(D125), (D125 - $B125) / $B125, "")</f>
        <v>0</v>
      </c>
      <c r="F125" s="16">
        <f>IF(ISNUMBER(D125), $B145 * E125, "")</f>
        <v>0</v>
      </c>
      <c r="G125" s="29">
        <v>29.2</v>
      </c>
      <c r="H125" s="14">
        <f>IF(ISNUMBER(G125), (G125 - $B125) / $B125, "")</f>
        <v>-3.4129692832764991E-3</v>
      </c>
      <c r="I125" s="100">
        <f>IF(ISNUMBER(G125), $B145 * H125, "")</f>
        <v>-341.29692832764994</v>
      </c>
      <c r="J125" s="13">
        <v>29.4</v>
      </c>
      <c r="K125" s="14">
        <f>IF(ISNUMBER(J125), (J125 - $B125) / $B125, "")</f>
        <v>3.4129692832763777E-3</v>
      </c>
      <c r="L125" s="16">
        <f>IF(ISNUMBER(J125), $B145 * K125, "")</f>
        <v>341.29692832763777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2"/>
      <c r="R125" s="222"/>
      <c r="S125" s="222"/>
    </row>
    <row r="126" spans="1:19" ht="17.25" thickBot="1">
      <c r="A126" s="125" t="s">
        <v>208</v>
      </c>
      <c r="B126" s="126">
        <v>14.5</v>
      </c>
      <c r="C126" s="77">
        <v>-6.8493151000000004E-3</v>
      </c>
      <c r="D126" s="15">
        <v>14.7</v>
      </c>
      <c r="E126" s="32">
        <f t="shared" ref="E126:E129" si="62">IF(ISNUMBER(D126), (D126 - $B126) / $B126, "")</f>
        <v>1.3793103448275813E-2</v>
      </c>
      <c r="F126" s="18">
        <f>IF(ISNUMBER(D126), $B145 * E126, "")</f>
        <v>1379.3103448275813</v>
      </c>
      <c r="G126" s="31">
        <v>14.9</v>
      </c>
      <c r="H126" s="32">
        <f t="shared" ref="H126:H129" si="63">IF(ISNUMBER(G126), (G126 - $B126) / $B126, "")</f>
        <v>2.7586206896551748E-2</v>
      </c>
      <c r="I126" s="101">
        <f>IF(ISNUMBER(G126), $B145 * H126, "")</f>
        <v>2758.6206896551748</v>
      </c>
      <c r="J126" s="15">
        <v>14.8</v>
      </c>
      <c r="K126" s="32">
        <f t="shared" ref="K126:K129" si="64">IF(ISNUMBER(J126), (J126 - $B126) / $B126, "")</f>
        <v>2.0689655172413841E-2</v>
      </c>
      <c r="L126" s="18">
        <f>IF(ISNUMBER(J126), $B145 * K126, "")</f>
        <v>2068.9655172413841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2"/>
      <c r="R126" s="222"/>
      <c r="S126" s="222"/>
    </row>
    <row r="127" spans="1:19" ht="17.25" thickBot="1">
      <c r="A127" s="125" t="s">
        <v>98</v>
      </c>
      <c r="B127" s="126">
        <v>4.6900000000000004</v>
      </c>
      <c r="C127" s="77">
        <v>-5.0607287399999999E-2</v>
      </c>
      <c r="D127" s="15">
        <v>4.7699999999999996</v>
      </c>
      <c r="E127" s="32">
        <f t="shared" si="62"/>
        <v>1.7057569296375089E-2</v>
      </c>
      <c r="F127" s="18">
        <f>IF(ISNUMBER(D127), $B145 * E127, "")</f>
        <v>1705.7569296375088</v>
      </c>
      <c r="G127" s="31">
        <v>4.7699999999999996</v>
      </c>
      <c r="H127" s="32">
        <f t="shared" si="63"/>
        <v>1.7057569296375089E-2</v>
      </c>
      <c r="I127" s="101">
        <f>IF(ISNUMBER(G127), $B145 * H127, "")</f>
        <v>1705.7569296375088</v>
      </c>
      <c r="J127" s="15">
        <v>4.79</v>
      </c>
      <c r="K127" s="32">
        <f t="shared" si="64"/>
        <v>2.1321961620469006E-2</v>
      </c>
      <c r="L127" s="18">
        <f>IF(ISNUMBER(J127), $B145 * K127, "")</f>
        <v>2132.1961620469006</v>
      </c>
      <c r="M127" s="31"/>
      <c r="N127" s="32" t="str">
        <f t="shared" si="65"/>
        <v/>
      </c>
      <c r="O127" s="18" t="str">
        <f>IF(ISNUMBER(M127), $B145 * N127, "")</f>
        <v/>
      </c>
      <c r="Q127" s="227"/>
      <c r="R127" s="227"/>
      <c r="S127" s="227"/>
    </row>
    <row r="128" spans="1:19" ht="17.25" thickBot="1">
      <c r="A128" s="125" t="s">
        <v>240</v>
      </c>
      <c r="B128" s="126">
        <v>71.2</v>
      </c>
      <c r="C128" s="77">
        <v>-5.5702917800000001E-2</v>
      </c>
      <c r="D128" s="15">
        <v>70.900000000000006</v>
      </c>
      <c r="E128" s="32">
        <f t="shared" si="62"/>
        <v>-4.2134831460673757E-3</v>
      </c>
      <c r="F128" s="18">
        <f>IF(ISNUMBER(D128), $B145 * E128, "")</f>
        <v>-421.34831460673757</v>
      </c>
      <c r="G128" s="31">
        <v>71.3</v>
      </c>
      <c r="H128" s="32">
        <f t="shared" si="63"/>
        <v>1.4044943820223921E-3</v>
      </c>
      <c r="I128" s="101">
        <f>IF(ISNUMBER(G128), $B145 * H128, "")</f>
        <v>140.44943820223921</v>
      </c>
      <c r="J128" s="15">
        <v>71.2</v>
      </c>
      <c r="K128" s="32">
        <f t="shared" si="64"/>
        <v>0</v>
      </c>
      <c r="L128" s="18">
        <f>IF(ISNUMBER(J128), $B145 * K128, "")</f>
        <v>0</v>
      </c>
      <c r="M128" s="31"/>
      <c r="N128" s="32" t="str">
        <f t="shared" si="65"/>
        <v/>
      </c>
      <c r="O128" s="18" t="str">
        <f>IF(ISNUMBER(M128), $B145 * N128, "")</f>
        <v/>
      </c>
      <c r="Q128" s="227"/>
      <c r="R128" s="227"/>
      <c r="S128" s="227"/>
    </row>
    <row r="129" spans="1:19" ht="17.25" thickBot="1">
      <c r="A129" s="127" t="s">
        <v>234</v>
      </c>
      <c r="B129" s="128">
        <v>89.5</v>
      </c>
      <c r="C129" s="78">
        <v>-5.5907172999999998E-2</v>
      </c>
      <c r="D129" s="20">
        <v>88.5</v>
      </c>
      <c r="E129" s="21">
        <f t="shared" si="62"/>
        <v>-1.11731843575419E-2</v>
      </c>
      <c r="F129" s="22">
        <f>IF(ISNUMBER(D129), $B145 * E129, "")</f>
        <v>-1117.31843575419</v>
      </c>
      <c r="G129" s="30">
        <v>89.1</v>
      </c>
      <c r="H129" s="21">
        <f t="shared" si="63"/>
        <v>-4.4692737430168236E-3</v>
      </c>
      <c r="I129" s="105">
        <f>IF(ISNUMBER(G129), $B145 * H129, "")</f>
        <v>-446.92737430168233</v>
      </c>
      <c r="J129" s="20">
        <v>88.9</v>
      </c>
      <c r="K129" s="21">
        <f t="shared" si="64"/>
        <v>-6.7039106145250762E-3</v>
      </c>
      <c r="L129" s="22">
        <f>IF(ISNUMBER(J129), $B145 * K129, "")</f>
        <v>-670.39106145250764</v>
      </c>
      <c r="M129" s="30"/>
      <c r="N129" s="21" t="str">
        <f t="shared" si="65"/>
        <v/>
      </c>
      <c r="O129" s="22" t="str">
        <f>IF(ISNUMBER(M129), $B145 * N129, "")</f>
        <v/>
      </c>
      <c r="Q129" s="227"/>
      <c r="R129" s="227"/>
      <c r="S129" s="227"/>
    </row>
    <row r="130" spans="1:19" ht="17.25" thickBot="1">
      <c r="A130" s="125" t="s">
        <v>216</v>
      </c>
      <c r="B130" s="129">
        <v>11.5</v>
      </c>
      <c r="C130" s="80">
        <v>-5.7377049200000002E-2</v>
      </c>
      <c r="D130" s="106">
        <v>11.6</v>
      </c>
      <c r="E130" s="107">
        <f>IF(ISNUMBER(D130), (D130 - $B130) / $B130, "")</f>
        <v>8.6956521739130124E-3</v>
      </c>
      <c r="F130" s="108">
        <f>IF(ISNUMBER(D130), $B145 * E130, "")</f>
        <v>869.56521739130119</v>
      </c>
      <c r="G130" s="109">
        <v>11.8</v>
      </c>
      <c r="H130" s="107">
        <f>IF(ISNUMBER(G130), (G130 - $B130) / $B130, "")</f>
        <v>2.6086956521739191E-2</v>
      </c>
      <c r="I130" s="110">
        <f>IF(ISNUMBER(G130), $B145 * H130, "")</f>
        <v>2608.6956521739194</v>
      </c>
      <c r="J130" s="106">
        <v>11.7</v>
      </c>
      <c r="K130" s="107">
        <f>IF(ISNUMBER(J130), (J130 - $B130) / $B130, "")</f>
        <v>1.7391304347826025E-2</v>
      </c>
      <c r="L130" s="108">
        <f>IF(ISNUMBER(J130), $B145 * K130, "")</f>
        <v>1739.1304347826024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7"/>
      <c r="R130" s="227"/>
      <c r="S130" s="227"/>
    </row>
    <row r="131" spans="1:19" ht="17.25" thickBot="1">
      <c r="A131" s="125" t="s">
        <v>202</v>
      </c>
      <c r="B131" s="126">
        <v>88.2</v>
      </c>
      <c r="C131" s="77">
        <v>-6.5677966099999999E-2</v>
      </c>
      <c r="D131" s="15">
        <v>88.8</v>
      </c>
      <c r="E131" s="32">
        <f t="shared" ref="E131:E134" si="66">IF(ISNUMBER(D131), (D131 - $B131) / $B131, "")</f>
        <v>6.8027210884353097E-3</v>
      </c>
      <c r="F131" s="18">
        <f>IF(ISNUMBER(D131), $B145 * E131, "")</f>
        <v>680.27210884353099</v>
      </c>
      <c r="G131" s="31">
        <v>89.9</v>
      </c>
      <c r="H131" s="32">
        <f t="shared" ref="H131:H134" si="67">IF(ISNUMBER(G131), (G131 - $B131) / $B131, "")</f>
        <v>1.9274376417233591E-2</v>
      </c>
      <c r="I131" s="101">
        <f>IF(ISNUMBER(G131), $B145 * H131, "")</f>
        <v>1927.4376417233591</v>
      </c>
      <c r="J131" s="15">
        <v>89.5</v>
      </c>
      <c r="K131" s="32">
        <f t="shared" ref="K131:K134" si="68">IF(ISNUMBER(J131), (J131 - $B131) / $B131, "")</f>
        <v>1.4739229024943278E-2</v>
      </c>
      <c r="L131" s="18">
        <f>IF(ISNUMBER(J131), $B145 * K131, "")</f>
        <v>1473.9229024943279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7"/>
      <c r="R131" s="227"/>
      <c r="S131" s="227"/>
    </row>
    <row r="132" spans="1:19" ht="17.25" thickBot="1">
      <c r="A132" s="125" t="s">
        <v>148</v>
      </c>
      <c r="B132" s="126">
        <v>22.3</v>
      </c>
      <c r="C132" s="77">
        <v>-7.0833333299999995E-2</v>
      </c>
      <c r="D132" s="15">
        <v>22.4</v>
      </c>
      <c r="E132" s="32">
        <f t="shared" si="66"/>
        <v>4.4843049327353305E-3</v>
      </c>
      <c r="F132" s="18">
        <f>IF(ISNUMBER(D132), $B145 * E132, "")</f>
        <v>448.43049327353305</v>
      </c>
      <c r="G132" s="31">
        <v>22.4</v>
      </c>
      <c r="H132" s="32">
        <f t="shared" si="67"/>
        <v>4.4843049327353305E-3</v>
      </c>
      <c r="I132" s="101">
        <f>IF(ISNUMBER(G132), $B145 * H132, "")</f>
        <v>448.43049327353305</v>
      </c>
      <c r="J132" s="15">
        <v>22.7</v>
      </c>
      <c r="K132" s="32">
        <f t="shared" si="68"/>
        <v>1.7937219730941641E-2</v>
      </c>
      <c r="L132" s="18">
        <f>IF(ISNUMBER(J132), $B145 * K132, "")</f>
        <v>1793.7219730941642</v>
      </c>
      <c r="M132" s="31"/>
      <c r="N132" s="32" t="str">
        <f t="shared" si="69"/>
        <v/>
      </c>
      <c r="O132" s="18" t="str">
        <f>IF(ISNUMBER(M132), $B145 * N132, "")</f>
        <v/>
      </c>
      <c r="Q132" s="227"/>
      <c r="R132" s="227"/>
      <c r="S132" s="227"/>
    </row>
    <row r="133" spans="1:19" ht="17.25" thickBot="1">
      <c r="A133" s="125" t="s">
        <v>250</v>
      </c>
      <c r="B133" s="126">
        <v>93.7</v>
      </c>
      <c r="C133" s="77">
        <v>-7.2277227700000002E-2</v>
      </c>
      <c r="D133" s="15">
        <v>99.4</v>
      </c>
      <c r="E133" s="32">
        <f t="shared" si="66"/>
        <v>6.0832443970117424E-2</v>
      </c>
      <c r="F133" s="18">
        <f>IF(ISNUMBER(D133), $B145 * E133, "")</f>
        <v>6083.244397011742</v>
      </c>
      <c r="G133" s="31">
        <v>99</v>
      </c>
      <c r="H133" s="32">
        <f t="shared" si="67"/>
        <v>5.6563500533617896E-2</v>
      </c>
      <c r="I133" s="101">
        <f>IF(ISNUMBER(G133), $B145 * H133, "")</f>
        <v>5656.3500533617898</v>
      </c>
      <c r="J133" s="15">
        <v>99.3</v>
      </c>
      <c r="K133" s="32">
        <f t="shared" si="68"/>
        <v>5.9765208110992465E-2</v>
      </c>
      <c r="L133" s="18">
        <f>IF(ISNUMBER(J133), $B145 * K133, "")</f>
        <v>5976.5208110992462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-7.5862069000000004E-2</v>
      </c>
      <c r="D134" s="24">
        <v>13.5</v>
      </c>
      <c r="E134" s="25">
        <f t="shared" si="66"/>
        <v>7.4626865671641521E-3</v>
      </c>
      <c r="F134" s="104">
        <f>IF(ISNUMBER(D134), $B145 * E134, "")</f>
        <v>746.26865671641519</v>
      </c>
      <c r="G134" s="102">
        <v>13.7</v>
      </c>
      <c r="H134" s="25">
        <f t="shared" si="67"/>
        <v>2.2388059701492456E-2</v>
      </c>
      <c r="I134" s="103">
        <f>IF(ISNUMBER(G134), $B145 * H134, "")</f>
        <v>2238.8059701492457</v>
      </c>
      <c r="J134" s="24">
        <v>13.7</v>
      </c>
      <c r="K134" s="25">
        <f t="shared" si="68"/>
        <v>2.2388059701492456E-2</v>
      </c>
      <c r="L134" s="104">
        <f>IF(ISNUMBER(J134), $B145 * K134, "")</f>
        <v>2238.8059701492457</v>
      </c>
      <c r="M134" s="102"/>
      <c r="N134" s="25" t="str">
        <f t="shared" si="69"/>
        <v/>
      </c>
      <c r="O134" s="104" t="str">
        <f>IF(ISNUMBER(M134), $B145 * N134, "")</f>
        <v/>
      </c>
      <c r="Q134" s="236"/>
      <c r="R134" s="237"/>
      <c r="S134" s="238"/>
    </row>
    <row r="135" spans="1:19">
      <c r="A135" s="123" t="s">
        <v>178</v>
      </c>
      <c r="B135" s="124">
        <v>19.399999999999999</v>
      </c>
      <c r="C135" s="76">
        <v>-7.6190476199999996E-2</v>
      </c>
      <c r="D135" s="13">
        <v>19.2</v>
      </c>
      <c r="E135" s="14">
        <f>IF(ISNUMBER(D135), (D135 - $B135) / $B135, "")</f>
        <v>-1.0309278350515427E-2</v>
      </c>
      <c r="F135" s="16">
        <f>IF(ISNUMBER(D135), $B145 * E135, "")</f>
        <v>-1030.9278350515428</v>
      </c>
      <c r="G135" s="29">
        <v>19.2</v>
      </c>
      <c r="H135" s="14">
        <f>IF(ISNUMBER(G135), (G135 - $B135) / $B135, "")</f>
        <v>-1.0309278350515427E-2</v>
      </c>
      <c r="I135" s="100">
        <f>IF(ISNUMBER(G135), $B145 * H135, "")</f>
        <v>-1030.9278350515428</v>
      </c>
      <c r="J135" s="13">
        <v>19.2</v>
      </c>
      <c r="K135" s="14">
        <f>IF(ISNUMBER(J135), (J135 - $B135) / $B135, "")</f>
        <v>-1.0309278350515427E-2</v>
      </c>
      <c r="L135" s="16">
        <f>IF(ISNUMBER(J135), $B145 * K135, "")</f>
        <v>-1030.9278350515428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9"/>
      <c r="R135" s="240"/>
      <c r="S135" s="241"/>
    </row>
    <row r="136" spans="1:19" ht="17.25" thickBot="1">
      <c r="A136" s="125" t="s">
        <v>210</v>
      </c>
      <c r="B136" s="126">
        <v>15.2</v>
      </c>
      <c r="C136" s="77">
        <v>-7.8787878800000002E-2</v>
      </c>
      <c r="D136" s="15">
        <v>15.1</v>
      </c>
      <c r="E136" s="32">
        <f t="shared" ref="E136:E139" si="70">IF(ISNUMBER(D136), (D136 - $B136) / $B136, "")</f>
        <v>-6.5789473684210297E-3</v>
      </c>
      <c r="F136" s="18">
        <f>IF(ISNUMBER(D136), $B145 * E136, "")</f>
        <v>-657.89473684210293</v>
      </c>
      <c r="G136" s="31">
        <v>15.2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15.2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2"/>
      <c r="R136" s="243"/>
      <c r="S136" s="244"/>
    </row>
    <row r="137" spans="1:19" ht="17.25" thickBot="1">
      <c r="A137" s="125" t="s">
        <v>188</v>
      </c>
      <c r="B137" s="126">
        <v>14.4</v>
      </c>
      <c r="C137" s="77">
        <v>-8.2802547800000001E-2</v>
      </c>
      <c r="D137" s="15">
        <v>14.7</v>
      </c>
      <c r="E137" s="32">
        <f t="shared" si="70"/>
        <v>2.0833333333333259E-2</v>
      </c>
      <c r="F137" s="18">
        <f>IF(ISNUMBER(D137), $B145 * E137, "")</f>
        <v>2083.3333333333258</v>
      </c>
      <c r="G137" s="31">
        <v>14.5</v>
      </c>
      <c r="H137" s="32">
        <f t="shared" si="71"/>
        <v>6.9444444444444198E-3</v>
      </c>
      <c r="I137" s="101">
        <f>IF(ISNUMBER(G137), $B145 * H137, "")</f>
        <v>694.44444444444196</v>
      </c>
      <c r="J137" s="15">
        <v>14.5</v>
      </c>
      <c r="K137" s="32">
        <f t="shared" si="72"/>
        <v>6.9444444444444198E-3</v>
      </c>
      <c r="L137" s="18">
        <f>IF(ISNUMBER(J137), $B145 * K137, "")</f>
        <v>694.44444444444196</v>
      </c>
      <c r="M137" s="31"/>
      <c r="N137" s="32" t="str">
        <f t="shared" si="73"/>
        <v/>
      </c>
      <c r="O137" s="18" t="str">
        <f>IF(ISNUMBER(M137), $B145 * N137, "")</f>
        <v/>
      </c>
      <c r="Q137" s="227"/>
      <c r="R137" s="227"/>
      <c r="S137" s="227"/>
    </row>
    <row r="138" spans="1:19" ht="17.25" thickBot="1">
      <c r="A138" s="125" t="s">
        <v>190</v>
      </c>
      <c r="B138" s="126">
        <v>18.7</v>
      </c>
      <c r="C138" s="77">
        <v>-8.3333333300000006E-2</v>
      </c>
      <c r="D138" s="15">
        <v>18.899999999999999</v>
      </c>
      <c r="E138" s="32">
        <f t="shared" si="70"/>
        <v>1.0695187165775364E-2</v>
      </c>
      <c r="F138" s="18">
        <f>IF(ISNUMBER(D138), $B145 * E138, "")</f>
        <v>1069.5187165775365</v>
      </c>
      <c r="G138" s="31">
        <v>18.899999999999999</v>
      </c>
      <c r="H138" s="32">
        <f t="shared" si="71"/>
        <v>1.0695187165775364E-2</v>
      </c>
      <c r="I138" s="101">
        <f>IF(ISNUMBER(G138), $B145 * H138, "")</f>
        <v>1069.5187165775365</v>
      </c>
      <c r="J138" s="15">
        <v>19</v>
      </c>
      <c r="K138" s="32">
        <f t="shared" si="72"/>
        <v>1.6042780748663141E-2</v>
      </c>
      <c r="L138" s="18">
        <f>IF(ISNUMBER(J138), $B145 * K138, "")</f>
        <v>1604.2780748663142</v>
      </c>
      <c r="M138" s="31"/>
      <c r="N138" s="32" t="str">
        <f t="shared" si="73"/>
        <v/>
      </c>
      <c r="O138" s="18" t="str">
        <f>IF(ISNUMBER(M138), $B145 * N138, "")</f>
        <v/>
      </c>
      <c r="Q138" s="222"/>
      <c r="R138" s="222"/>
      <c r="S138" s="222"/>
    </row>
    <row r="139" spans="1:19" ht="17.25" thickBot="1">
      <c r="A139" s="127" t="s">
        <v>204</v>
      </c>
      <c r="B139" s="128">
        <v>18</v>
      </c>
      <c r="C139" s="78">
        <v>-8.6294416200000001E-2</v>
      </c>
      <c r="D139" s="20">
        <v>18</v>
      </c>
      <c r="E139" s="21">
        <f t="shared" si="70"/>
        <v>0</v>
      </c>
      <c r="F139" s="22">
        <f>IF(ISNUMBER(D139), $B145 * E139, "")</f>
        <v>0</v>
      </c>
      <c r="G139" s="30">
        <v>18.100000000000001</v>
      </c>
      <c r="H139" s="21">
        <f t="shared" si="71"/>
        <v>5.5555555555556347E-3</v>
      </c>
      <c r="I139" s="105">
        <f>IF(ISNUMBER(G139), $B145 * H139, "")</f>
        <v>555.5555555555635</v>
      </c>
      <c r="J139" s="20">
        <v>18.100000000000001</v>
      </c>
      <c r="K139" s="21">
        <f t="shared" si="72"/>
        <v>5.5555555555556347E-3</v>
      </c>
      <c r="L139" s="22">
        <f>IF(ISNUMBER(J139), $B145 * K139, "")</f>
        <v>555.5555555555635</v>
      </c>
      <c r="M139" s="30"/>
      <c r="N139" s="21" t="str">
        <f t="shared" si="73"/>
        <v/>
      </c>
      <c r="O139" s="22" t="str">
        <f>IF(ISNUMBER(M139), $B145 * N139, "")</f>
        <v/>
      </c>
      <c r="Q139" s="222"/>
      <c r="R139" s="222"/>
      <c r="S139" s="222"/>
    </row>
    <row r="140" spans="1:19" ht="17.25" thickBot="1">
      <c r="A140" s="125" t="s">
        <v>65</v>
      </c>
      <c r="B140" s="129">
        <v>88.4</v>
      </c>
      <c r="C140" s="80">
        <v>-9.9796334E-2</v>
      </c>
      <c r="D140" s="106">
        <v>90.5</v>
      </c>
      <c r="E140" s="107">
        <f>IF(ISNUMBER(D140), (D140 - $B140) / $B140, "")</f>
        <v>2.3755656108597218E-2</v>
      </c>
      <c r="F140" s="108">
        <f>IF(ISNUMBER(D140), $B145 * E140, "")</f>
        <v>2375.5656108597218</v>
      </c>
      <c r="G140" s="109">
        <v>91.2</v>
      </c>
      <c r="H140" s="107">
        <f>IF(ISNUMBER(G140), (G140 - $B140) / $B140, "")</f>
        <v>3.1674208144796344E-2</v>
      </c>
      <c r="I140" s="110">
        <f>IF(ISNUMBER(G140), $B145 * H140, "")</f>
        <v>3167.4208144796344</v>
      </c>
      <c r="J140" s="106">
        <v>90</v>
      </c>
      <c r="K140" s="107">
        <f>IF(ISNUMBER(J140), (J140 - $B140) / $B140, "")</f>
        <v>1.8099547511312153E-2</v>
      </c>
      <c r="L140" s="108">
        <f>IF(ISNUMBER(J140), $B145 * K140, "")</f>
        <v>1809.9547511312153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7"/>
      <c r="R140" s="227"/>
      <c r="S140" s="227"/>
    </row>
    <row r="141" spans="1:19" ht="17.25" thickBot="1">
      <c r="A141" s="125" t="s">
        <v>122</v>
      </c>
      <c r="B141" s="126">
        <v>41.7</v>
      </c>
      <c r="C141" s="77">
        <v>-0.1051502146</v>
      </c>
      <c r="D141" s="15">
        <v>41.5</v>
      </c>
      <c r="E141" s="32">
        <f t="shared" ref="E141:E144" si="74">IF(ISNUMBER(D141), (D141 - $B141) / $B141, "")</f>
        <v>-4.7961630695444327E-3</v>
      </c>
      <c r="F141" s="18">
        <f>IF(ISNUMBER(D141), $B145 * E141, "")</f>
        <v>-479.61630695444325</v>
      </c>
      <c r="G141" s="31">
        <v>42.1</v>
      </c>
      <c r="H141" s="32">
        <f t="shared" ref="H141:H144" si="75">IF(ISNUMBER(G141), (G141 - $B141) / $B141, "")</f>
        <v>9.5923261390886937E-3</v>
      </c>
      <c r="I141" s="101">
        <f>IF(ISNUMBER(G141), $B145 * H141, "")</f>
        <v>959.23261390886933</v>
      </c>
      <c r="J141" s="15">
        <v>42.2</v>
      </c>
      <c r="K141" s="32">
        <f t="shared" ref="K141:K144" si="76">IF(ISNUMBER(J141), (J141 - $B141) / $B141, "")</f>
        <v>1.1990407673860911E-2</v>
      </c>
      <c r="L141" s="18">
        <f>IF(ISNUMBER(J141), $B145 * K141, "")</f>
        <v>1199.0407673860911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7"/>
      <c r="R141" s="227"/>
      <c r="S141" s="22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132" t="s">
        <v>270</v>
      </c>
      <c r="B145" s="260">
        <f>$B$37</f>
        <v>100000</v>
      </c>
      <c r="C145" s="261"/>
      <c r="D145" s="26" t="s">
        <v>271</v>
      </c>
      <c r="E145" s="27">
        <f>IF(COUNT(E125:E144), SUM(E125:E144) / COUNT(E125:E144), 0)</f>
        <v>8.078917752507752E-3</v>
      </c>
      <c r="F145" s="28">
        <f>SUM(F125:F144)</f>
        <v>13734.160179263177</v>
      </c>
      <c r="G145" s="26" t="s">
        <v>271</v>
      </c>
      <c r="H145" s="27">
        <f>IF(COUNT(H125:H144), SUM(H125:H144) / COUNT(H125:H144), 0)</f>
        <v>1.3006804044389378E-2</v>
      </c>
      <c r="I145" s="28">
        <f>SUM(I125:I144)</f>
        <v>22111.56687546194</v>
      </c>
      <c r="J145" s="26" t="s">
        <v>271</v>
      </c>
      <c r="K145" s="27">
        <f>IF(COUNT(K125:K144), SUM(K125:K144) / COUNT(K125:K144), 0)</f>
        <v>1.2897950233008874E-2</v>
      </c>
      <c r="L145" s="28">
        <f>SUM(L125:L144)</f>
        <v>21926.515396115083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55"/>
      <c r="R145" s="256"/>
      <c r="S145" s="257"/>
    </row>
    <row r="147" spans="1:19" ht="17.25" thickBot="1"/>
    <row r="148" spans="1:19" ht="17.25" thickBot="1">
      <c r="A148" s="201" t="s">
        <v>259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97" t="s">
        <v>267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55149000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2.1442459999999998E-3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2021-09-11(토) 오전 00:00</v>
      </c>
      <c r="C150" s="265"/>
      <c r="D150" s="224" t="str">
        <f>TEXT($G$1, "[$-ko-KR]yyyy-mm-dd(ddd) ") &amp; "오후 14:00"</f>
        <v>2021-09-11(토) 오후 14:00</v>
      </c>
      <c r="E150" s="225"/>
      <c r="F150" s="226"/>
      <c r="G150" s="224" t="str">
        <f>TEXT($G$1, "[$-ko-KR]yyyy-mm-dd(ddd) ") &amp; "오후 19:00"</f>
        <v>2021-09-11(토) 오후 19:00</v>
      </c>
      <c r="H150" s="225"/>
      <c r="I150" s="226"/>
      <c r="J150" s="224" t="str">
        <f>TEXT($G$1, "[$-ko-KR]yyyy-mm-dd(ddd) ") &amp; "오후 21:00"</f>
        <v>2021-09-11(토) 오후 21:00</v>
      </c>
      <c r="K150" s="225"/>
      <c r="L150" s="226"/>
      <c r="M150" s="224" t="str">
        <f>TEXT($G$1+1, "[$-ko-KR]yyyy-mm-dd(ddd) ") &amp; "오전 00:00"</f>
        <v>2021-09-12(일)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7"/>
      <c r="R151" s="227"/>
      <c r="S151" s="227"/>
    </row>
    <row r="152" spans="1:19" ht="17.25" thickBot="1">
      <c r="A152" s="123" t="s">
        <v>61</v>
      </c>
      <c r="B152" s="124">
        <v>994</v>
      </c>
      <c r="C152" s="76">
        <v>-5.7819905200000001E-2</v>
      </c>
      <c r="D152" s="13">
        <v>1005</v>
      </c>
      <c r="E152" s="14">
        <f>IF(ISNUMBER(D152), (D152 - $B152) / $B152, "")</f>
        <v>1.1066398390342052E-2</v>
      </c>
      <c r="F152" s="16">
        <f>IF(ISNUMBER(D152), $B172 * E152, "")</f>
        <v>1106.6398390342051</v>
      </c>
      <c r="G152" s="29">
        <v>1020</v>
      </c>
      <c r="H152" s="14">
        <f>IF(ISNUMBER(G152), (G152 - $B152) / $B152, "")</f>
        <v>2.6156941649899398E-2</v>
      </c>
      <c r="I152" s="100">
        <f>IF(ISNUMBER(G152), $B172 * H152, "")</f>
        <v>2615.69416498994</v>
      </c>
      <c r="J152" s="13">
        <v>1015</v>
      </c>
      <c r="K152" s="14">
        <f>IF(ISNUMBER(J152), (J152 - $B152) / $B152, "")</f>
        <v>2.1126760563380281E-2</v>
      </c>
      <c r="L152" s="16">
        <f>IF(ISNUMBER(J152), $B172 * K152, "")</f>
        <v>2112.676056338028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2"/>
      <c r="R152" s="222"/>
      <c r="S152" s="222"/>
    </row>
    <row r="153" spans="1:19" ht="17.25" thickBot="1">
      <c r="A153" s="125" t="s">
        <v>138</v>
      </c>
      <c r="B153" s="126">
        <v>375</v>
      </c>
      <c r="C153" s="77">
        <v>-6.25E-2</v>
      </c>
      <c r="D153" s="15">
        <v>376</v>
      </c>
      <c r="E153" s="32">
        <f t="shared" ref="E153:E156" si="78">IF(ISNUMBER(D153), (D153 - $B153) / $B153, "")</f>
        <v>2.6666666666666666E-3</v>
      </c>
      <c r="F153" s="18">
        <f>IF(ISNUMBER(D153), $B172 * E153, "")</f>
        <v>266.66666666666669</v>
      </c>
      <c r="G153" s="31">
        <v>380</v>
      </c>
      <c r="H153" s="32">
        <f t="shared" ref="H153:H156" si="79">IF(ISNUMBER(G153), (G153 - $B153) / $B153, "")</f>
        <v>1.3333333333333334E-2</v>
      </c>
      <c r="I153" s="101">
        <f>IF(ISNUMBER(G153), $B172 * H153, "")</f>
        <v>1333.3333333333335</v>
      </c>
      <c r="J153" s="15">
        <v>379</v>
      </c>
      <c r="K153" s="32">
        <f t="shared" ref="K153:K156" si="80">IF(ISNUMBER(J153), (J153 - $B153) / $B153, "")</f>
        <v>1.0666666666666666E-2</v>
      </c>
      <c r="L153" s="18">
        <f>IF(ISNUMBER(J153), $B172 * K153, "")</f>
        <v>1066.6666666666667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2"/>
      <c r="R153" s="222"/>
      <c r="S153" s="222"/>
    </row>
    <row r="154" spans="1:19" ht="17.25" thickBot="1">
      <c r="A154" s="125" t="s">
        <v>57</v>
      </c>
      <c r="B154" s="126">
        <v>214</v>
      </c>
      <c r="C154" s="77">
        <v>-6.9565217400000004E-2</v>
      </c>
      <c r="D154" s="15">
        <v>218</v>
      </c>
      <c r="E154" s="32">
        <f t="shared" si="78"/>
        <v>1.8691588785046728E-2</v>
      </c>
      <c r="F154" s="18">
        <f>IF(ISNUMBER(D154), $B172 * E154, "")</f>
        <v>1869.1588785046727</v>
      </c>
      <c r="G154" s="31">
        <v>222</v>
      </c>
      <c r="H154" s="32">
        <f t="shared" si="79"/>
        <v>3.7383177570093455E-2</v>
      </c>
      <c r="I154" s="101">
        <f>IF(ISNUMBER(G154), $B172 * H154, "")</f>
        <v>3738.3177570093453</v>
      </c>
      <c r="J154" s="15">
        <v>222</v>
      </c>
      <c r="K154" s="32">
        <f t="shared" si="80"/>
        <v>3.7383177570093455E-2</v>
      </c>
      <c r="L154" s="18">
        <f>IF(ISNUMBER(J154), $B172 * K154, "")</f>
        <v>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27"/>
      <c r="R154" s="227"/>
      <c r="S154" s="227"/>
    </row>
    <row r="155" spans="1:19" ht="17.25" thickBot="1">
      <c r="A155" s="125" t="s">
        <v>162</v>
      </c>
      <c r="B155" s="126">
        <v>108</v>
      </c>
      <c r="C155" s="77">
        <v>-7.6923076899999998E-2</v>
      </c>
      <c r="D155" s="15">
        <v>110</v>
      </c>
      <c r="E155" s="32">
        <f t="shared" si="78"/>
        <v>1.8518518518518517E-2</v>
      </c>
      <c r="F155" s="18">
        <f>IF(ISNUMBER(D155), $B172 * E155, "")</f>
        <v>1851.8518518518517</v>
      </c>
      <c r="G155" s="31">
        <v>111</v>
      </c>
      <c r="H155" s="32">
        <f t="shared" si="79"/>
        <v>2.7777777777777776E-2</v>
      </c>
      <c r="I155" s="101">
        <f>IF(ISNUMBER(G155), $B172 * H155, "")</f>
        <v>2777.7777777777778</v>
      </c>
      <c r="J155" s="15">
        <v>112</v>
      </c>
      <c r="K155" s="32">
        <f t="shared" si="80"/>
        <v>3.7037037037037035E-2</v>
      </c>
      <c r="L155" s="18">
        <f>IF(ISNUMBER(J155), $B172 * K155, "")</f>
        <v>3703.7037037037035</v>
      </c>
      <c r="M155" s="31"/>
      <c r="N155" s="32" t="str">
        <f t="shared" si="81"/>
        <v/>
      </c>
      <c r="O155" s="18" t="str">
        <f>IF(ISNUMBER(M155), $B172 * N155, "")</f>
        <v/>
      </c>
      <c r="Q155" s="227"/>
      <c r="R155" s="227"/>
      <c r="S155" s="227"/>
    </row>
    <row r="156" spans="1:19" ht="17.25" thickBot="1">
      <c r="A156" s="127" t="s">
        <v>164</v>
      </c>
      <c r="B156" s="128">
        <v>991</v>
      </c>
      <c r="C156" s="78">
        <v>-7.8139534900000002E-2</v>
      </c>
      <c r="D156" s="20">
        <v>974</v>
      </c>
      <c r="E156" s="21">
        <f t="shared" si="78"/>
        <v>-1.7154389505549948E-2</v>
      </c>
      <c r="F156" s="22">
        <f>IF(ISNUMBER(D156), $B172 * E156, "")</f>
        <v>-1715.4389505549948</v>
      </c>
      <c r="G156" s="30">
        <v>992</v>
      </c>
      <c r="H156" s="21">
        <f t="shared" si="79"/>
        <v>1.0090817356205853E-3</v>
      </c>
      <c r="I156" s="105">
        <f>IF(ISNUMBER(G156), $B172 * H156, "")</f>
        <v>100.90817356205852</v>
      </c>
      <c r="J156" s="20">
        <v>973</v>
      </c>
      <c r="K156" s="21">
        <f t="shared" si="80"/>
        <v>-1.8163471241170535E-2</v>
      </c>
      <c r="L156" s="22">
        <f>IF(ISNUMBER(J156), $B172 * K156, "")</f>
        <v>-1816.3471241170535</v>
      </c>
      <c r="M156" s="30"/>
      <c r="N156" s="21" t="str">
        <f t="shared" si="81"/>
        <v/>
      </c>
      <c r="O156" s="22" t="str">
        <f>IF(ISNUMBER(M156), $B172 * N156, "")</f>
        <v/>
      </c>
      <c r="Q156" s="227"/>
      <c r="R156" s="227"/>
      <c r="S156" s="227"/>
    </row>
    <row r="157" spans="1:19" ht="17.25" thickBot="1">
      <c r="A157" s="125" t="s">
        <v>220</v>
      </c>
      <c r="B157" s="129">
        <v>236</v>
      </c>
      <c r="C157" s="80">
        <v>-8.1712062299999999E-2</v>
      </c>
      <c r="D157" s="106">
        <v>242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248</v>
      </c>
      <c r="H157" s="107">
        <f>IF(ISNUMBER(G157), (G157 - $B157) / $B157, "")</f>
        <v>5.0847457627118647E-2</v>
      </c>
      <c r="I157" s="110">
        <f>IF(ISNUMBER(G157), $B172 * H157, "")</f>
        <v>5084.7457627118647</v>
      </c>
      <c r="J157" s="106">
        <v>255</v>
      </c>
      <c r="K157" s="107">
        <f>IF(ISNUMBER(J157), (J157 - $B157) / $B157, "")</f>
        <v>8.050847457627118E-2</v>
      </c>
      <c r="L157" s="108">
        <f>IF(ISNUMBER(J157), $B172 * K157, "")</f>
        <v>8050.8474576271183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7"/>
      <c r="R157" s="227"/>
      <c r="S157" s="227"/>
    </row>
    <row r="158" spans="1:19" ht="17.25" thickBot="1">
      <c r="A158" s="125" t="s">
        <v>54</v>
      </c>
      <c r="B158" s="126">
        <v>366</v>
      </c>
      <c r="C158" s="77">
        <v>-8.2706766900000006E-2</v>
      </c>
      <c r="D158" s="15">
        <v>415</v>
      </c>
      <c r="E158" s="32">
        <f t="shared" ref="E158:E161" si="82">IF(ISNUMBER(D158), (D158 - $B158) / $B158, "")</f>
        <v>0.13387978142076504</v>
      </c>
      <c r="F158" s="18">
        <f>IF(ISNUMBER(D158), $B172 * E158, "")</f>
        <v>13387.978142076503</v>
      </c>
      <c r="G158" s="31">
        <v>436</v>
      </c>
      <c r="H158" s="32">
        <f t="shared" ref="H158:H161" si="83">IF(ISNUMBER(G158), (G158 - $B158) / $B158, "")</f>
        <v>0.19125683060109289</v>
      </c>
      <c r="I158" s="101">
        <f>IF(ISNUMBER(G158), $B172 * H158, "")</f>
        <v>19125.683060109288</v>
      </c>
      <c r="J158" s="15">
        <v>440</v>
      </c>
      <c r="K158" s="32">
        <f t="shared" ref="K158:K161" si="84">IF(ISNUMBER(J158), (J158 - $B158) / $B158, "")</f>
        <v>0.20218579234972678</v>
      </c>
      <c r="L158" s="18">
        <f>IF(ISNUMBER(J158), $B172 * K158, "")</f>
        <v>20218.579234972676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7"/>
      <c r="R158" s="227"/>
      <c r="S158" s="227"/>
    </row>
    <row r="159" spans="1:19" ht="17.25" thickBot="1">
      <c r="A159" s="125" t="s">
        <v>242</v>
      </c>
      <c r="B159" s="126">
        <v>623</v>
      </c>
      <c r="C159" s="77">
        <v>-8.3823529399999999E-2</v>
      </c>
      <c r="D159" s="15">
        <v>619</v>
      </c>
      <c r="E159" s="32">
        <f t="shared" si="82"/>
        <v>-6.420545746388443E-3</v>
      </c>
      <c r="F159" s="18">
        <f>IF(ISNUMBER(D159), $B172 * E159, "")</f>
        <v>-642.05457463884431</v>
      </c>
      <c r="G159" s="31">
        <v>626</v>
      </c>
      <c r="H159" s="32">
        <f t="shared" si="83"/>
        <v>4.815409309791332E-3</v>
      </c>
      <c r="I159" s="101">
        <f>IF(ISNUMBER(G159), $B172 * H159, "")</f>
        <v>481.54093097913318</v>
      </c>
      <c r="J159" s="15">
        <v>627</v>
      </c>
      <c r="K159" s="32">
        <f t="shared" si="84"/>
        <v>6.420545746388443E-3</v>
      </c>
      <c r="L159" s="18">
        <f>IF(ISNUMBER(J159), $B172 * K159, "")</f>
        <v>642.05457463884431</v>
      </c>
      <c r="M159" s="31"/>
      <c r="N159" s="32" t="str">
        <f t="shared" si="85"/>
        <v/>
      </c>
      <c r="O159" s="18" t="str">
        <f>IF(ISNUMBER(M159), $B172 * N159, "")</f>
        <v/>
      </c>
      <c r="Q159" s="227"/>
      <c r="R159" s="227"/>
      <c r="S159" s="227"/>
    </row>
    <row r="160" spans="1:19" ht="17.25" thickBot="1">
      <c r="A160" s="125" t="s">
        <v>166</v>
      </c>
      <c r="B160" s="126">
        <v>227</v>
      </c>
      <c r="C160" s="77">
        <v>-8.4677419399999995E-2</v>
      </c>
      <c r="D160" s="15">
        <v>230</v>
      </c>
      <c r="E160" s="32">
        <f t="shared" si="82"/>
        <v>1.3215859030837005E-2</v>
      </c>
      <c r="F160" s="18">
        <f>IF(ISNUMBER(D160), $B172 * E160, "")</f>
        <v>1321.5859030837005</v>
      </c>
      <c r="G160" s="31">
        <v>233</v>
      </c>
      <c r="H160" s="32">
        <f t="shared" si="83"/>
        <v>2.643171806167401E-2</v>
      </c>
      <c r="I160" s="101">
        <f>IF(ISNUMBER(G160), $B172 * H160, "")</f>
        <v>2643.171806167401</v>
      </c>
      <c r="J160" s="15">
        <v>232</v>
      </c>
      <c r="K160" s="32">
        <f t="shared" si="84"/>
        <v>2.2026431718061675E-2</v>
      </c>
      <c r="L160" s="18">
        <f>IF(ISNUMBER(J160), $B172 * K160, "")</f>
        <v>2202.6431718061676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230</v>
      </c>
      <c r="B161" s="131">
        <v>334</v>
      </c>
      <c r="C161" s="79">
        <v>-8.4931506800000001E-2</v>
      </c>
      <c r="D161" s="24">
        <v>354</v>
      </c>
      <c r="E161" s="25">
        <f t="shared" si="82"/>
        <v>5.9880239520958084E-2</v>
      </c>
      <c r="F161" s="104">
        <f>IF(ISNUMBER(D161), $B172 * E161, "")</f>
        <v>5988.0239520958085</v>
      </c>
      <c r="G161" s="102">
        <v>362</v>
      </c>
      <c r="H161" s="25">
        <f t="shared" si="83"/>
        <v>8.3832335329341312E-2</v>
      </c>
      <c r="I161" s="103">
        <f>IF(ISNUMBER(G161), $B172 * H161, "")</f>
        <v>8383.2335329341313</v>
      </c>
      <c r="J161" s="24">
        <v>361</v>
      </c>
      <c r="K161" s="25">
        <f t="shared" si="84"/>
        <v>8.0838323353293412E-2</v>
      </c>
      <c r="L161" s="104">
        <f>IF(ISNUMBER(J161), $B172 * K161, "")</f>
        <v>8083.8323353293408</v>
      </c>
      <c r="M161" s="102"/>
      <c r="N161" s="25" t="str">
        <f t="shared" si="85"/>
        <v/>
      </c>
      <c r="O161" s="104" t="str">
        <f>IF(ISNUMBER(M161), $B172 * N161, "")</f>
        <v/>
      </c>
      <c r="Q161" s="236"/>
      <c r="R161" s="237"/>
      <c r="S161" s="238"/>
    </row>
    <row r="162" spans="1:19">
      <c r="A162" s="123" t="s">
        <v>254</v>
      </c>
      <c r="B162" s="124">
        <v>418</v>
      </c>
      <c r="C162" s="76">
        <v>-8.5339168500000007E-2</v>
      </c>
      <c r="D162" s="13">
        <v>405</v>
      </c>
      <c r="E162" s="14">
        <f>IF(ISNUMBER(D162), (D162 - $B162) / $B162, "")</f>
        <v>-3.1100478468899521E-2</v>
      </c>
      <c r="F162" s="16">
        <f>IF(ISNUMBER(D162), $B172 * E162, "")</f>
        <v>-3110.0478468899519</v>
      </c>
      <c r="G162" s="29">
        <v>408</v>
      </c>
      <c r="H162" s="14">
        <f>IF(ISNUMBER(G162), (G162 - $B162) / $B162, "")</f>
        <v>-2.3923444976076555E-2</v>
      </c>
      <c r="I162" s="100">
        <f>IF(ISNUMBER(G162), $B172 * H162, "")</f>
        <v>-2392.3444976076553</v>
      </c>
      <c r="J162" s="13">
        <v>406</v>
      </c>
      <c r="K162" s="14">
        <f>IF(ISNUMBER(J162), (J162 - $B162) / $B162, "")</f>
        <v>-2.8708133971291867E-2</v>
      </c>
      <c r="L162" s="16">
        <f>IF(ISNUMBER(J162), $B172 * K162, "")</f>
        <v>-2870.8133971291868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9"/>
      <c r="R162" s="240"/>
      <c r="S162" s="241"/>
    </row>
    <row r="163" spans="1:19" ht="17.25" thickBot="1">
      <c r="A163" s="125" t="s">
        <v>130</v>
      </c>
      <c r="B163" s="126">
        <v>162</v>
      </c>
      <c r="C163" s="77">
        <v>-8.9887640399999996E-2</v>
      </c>
      <c r="D163" s="15">
        <v>170</v>
      </c>
      <c r="E163" s="32">
        <f t="shared" ref="E163:E166" si="86">IF(ISNUMBER(D163), (D163 - $B163) / $B163, "")</f>
        <v>4.9382716049382713E-2</v>
      </c>
      <c r="F163" s="18">
        <f>IF(ISNUMBER(D163), $B172 * E163, "")</f>
        <v>4938.2716049382716</v>
      </c>
      <c r="G163" s="31">
        <v>176</v>
      </c>
      <c r="H163" s="32">
        <f t="shared" ref="H163:H166" si="87">IF(ISNUMBER(G163), (G163 - $B163) / $B163, "")</f>
        <v>8.6419753086419748E-2</v>
      </c>
      <c r="I163" s="101">
        <f>IF(ISNUMBER(G163), $B172 * H163, "")</f>
        <v>8641.9753086419751</v>
      </c>
      <c r="J163" s="15">
        <v>174</v>
      </c>
      <c r="K163" s="32">
        <f t="shared" ref="K163:K166" si="88">IF(ISNUMBER(J163), (J163 - $B163) / $B163, "")</f>
        <v>7.407407407407407E-2</v>
      </c>
      <c r="L163" s="18">
        <f>IF(ISNUMBER(J163), $B172 * K163, "")</f>
        <v>7407.4074074074069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2"/>
      <c r="R163" s="243"/>
      <c r="S163" s="244"/>
    </row>
    <row r="164" spans="1:19" ht="17.25" thickBot="1">
      <c r="A164" s="125" t="s">
        <v>114</v>
      </c>
      <c r="B164" s="126">
        <v>948</v>
      </c>
      <c r="C164" s="77">
        <v>-9.2822966500000006E-2</v>
      </c>
      <c r="D164" s="15">
        <v>945</v>
      </c>
      <c r="E164" s="32">
        <f t="shared" si="86"/>
        <v>-3.1645569620253164E-3</v>
      </c>
      <c r="F164" s="18">
        <f>IF(ISNUMBER(D164), $B172 * E164, "")</f>
        <v>-316.45569620253161</v>
      </c>
      <c r="G164" s="31">
        <v>959</v>
      </c>
      <c r="H164" s="32">
        <f t="shared" si="87"/>
        <v>1.1603375527426161E-2</v>
      </c>
      <c r="I164" s="101">
        <f>IF(ISNUMBER(G164), $B172 * H164, "")</f>
        <v>1160.337552742616</v>
      </c>
      <c r="J164" s="15">
        <v>951</v>
      </c>
      <c r="K164" s="32">
        <f t="shared" si="88"/>
        <v>3.1645569620253164E-3</v>
      </c>
      <c r="L164" s="18">
        <f>IF(ISNUMBER(J164), $B172 * K164, "")</f>
        <v>316.45569620253161</v>
      </c>
      <c r="M164" s="31"/>
      <c r="N164" s="32" t="str">
        <f t="shared" si="89"/>
        <v/>
      </c>
      <c r="O164" s="18" t="str">
        <f>IF(ISNUMBER(M164), $B172 * N164, "")</f>
        <v/>
      </c>
      <c r="Q164" s="227"/>
      <c r="R164" s="227"/>
      <c r="S164" s="227"/>
    </row>
    <row r="165" spans="1:19" ht="17.25" thickBot="1">
      <c r="A165" s="125" t="s">
        <v>124</v>
      </c>
      <c r="B165" s="126">
        <v>632</v>
      </c>
      <c r="C165" s="77">
        <v>-9.84308131E-2</v>
      </c>
      <c r="D165" s="15">
        <v>645</v>
      </c>
      <c r="E165" s="32">
        <f t="shared" si="86"/>
        <v>2.0569620253164556E-2</v>
      </c>
      <c r="F165" s="18">
        <f>IF(ISNUMBER(D165), $B172 * E165, "")</f>
        <v>2056.9620253164558</v>
      </c>
      <c r="G165" s="31">
        <v>651</v>
      </c>
      <c r="H165" s="32">
        <f t="shared" si="87"/>
        <v>3.0063291139240507E-2</v>
      </c>
      <c r="I165" s="101">
        <f>IF(ISNUMBER(G165), $B172 * H165, "")</f>
        <v>3006.3291139240505</v>
      </c>
      <c r="J165" s="15">
        <v>652</v>
      </c>
      <c r="K165" s="32">
        <f t="shared" si="88"/>
        <v>3.1645569620253167E-2</v>
      </c>
      <c r="L165" s="18">
        <f>IF(ISNUMBER(J165), $B172 * K165, "")</f>
        <v>3164.5569620253168</v>
      </c>
      <c r="M165" s="31"/>
      <c r="N165" s="32" t="str">
        <f t="shared" si="89"/>
        <v/>
      </c>
      <c r="O165" s="18" t="str">
        <f>IF(ISNUMBER(M165), $B172 * N165, "")</f>
        <v/>
      </c>
      <c r="Q165" s="222"/>
      <c r="R165" s="222"/>
      <c r="S165" s="222"/>
    </row>
    <row r="166" spans="1:19" ht="17.25" thickBot="1">
      <c r="A166" s="127" t="s">
        <v>206</v>
      </c>
      <c r="B166" s="128">
        <v>809</v>
      </c>
      <c r="C166" s="78">
        <v>-9.9109131399999995E-2</v>
      </c>
      <c r="D166" s="20">
        <v>777</v>
      </c>
      <c r="E166" s="21">
        <f t="shared" si="86"/>
        <v>-3.9555006180469712E-2</v>
      </c>
      <c r="F166" s="22">
        <f>IF(ISNUMBER(D166), $B172 * E166, "")</f>
        <v>-3955.5006180469713</v>
      </c>
      <c r="G166" s="30">
        <v>782</v>
      </c>
      <c r="H166" s="21">
        <f t="shared" si="87"/>
        <v>-3.3374536464771322E-2</v>
      </c>
      <c r="I166" s="105">
        <f>IF(ISNUMBER(G166), $B172 * H166, "")</f>
        <v>-3337.4536464771322</v>
      </c>
      <c r="J166" s="20">
        <v>786</v>
      </c>
      <c r="K166" s="21">
        <f t="shared" si="88"/>
        <v>-2.843016069221261E-2</v>
      </c>
      <c r="L166" s="22">
        <f>IF(ISNUMBER(J166), $B172 * K166, "")</f>
        <v>-2843.0160692212608</v>
      </c>
      <c r="M166" s="30"/>
      <c r="N166" s="21" t="str">
        <f t="shared" si="89"/>
        <v/>
      </c>
      <c r="O166" s="22" t="str">
        <f>IF(ISNUMBER(M166), $B172 * N166, "")</f>
        <v/>
      </c>
      <c r="Q166" s="222"/>
      <c r="R166" s="222"/>
      <c r="S166" s="222"/>
    </row>
    <row r="167" spans="1:19" ht="17.25" thickBot="1">
      <c r="A167" s="125" t="s">
        <v>232</v>
      </c>
      <c r="B167" s="129">
        <v>930</v>
      </c>
      <c r="C167" s="80">
        <v>-0.1014492754</v>
      </c>
      <c r="D167" s="106">
        <v>891</v>
      </c>
      <c r="E167" s="107">
        <f>IF(ISNUMBER(D167), (D167 - $B167) / $B167, "")</f>
        <v>-4.1935483870967745E-2</v>
      </c>
      <c r="F167" s="108">
        <f>IF(ISNUMBER(D167), $B172 * E167, "")</f>
        <v>-4193.5483870967746</v>
      </c>
      <c r="G167" s="109">
        <v>899</v>
      </c>
      <c r="H167" s="107">
        <f>IF(ISNUMBER(G167), (G167 - $B167) / $B167, "")</f>
        <v>-3.3333333333333333E-2</v>
      </c>
      <c r="I167" s="110">
        <f>IF(ISNUMBER(G167), $B172 * H167, "")</f>
        <v>-3333.3333333333335</v>
      </c>
      <c r="J167" s="106">
        <v>894</v>
      </c>
      <c r="K167" s="107">
        <f>IF(ISNUMBER(J167), (J167 - $B167) / $B167, "")</f>
        <v>-3.870967741935484E-2</v>
      </c>
      <c r="L167" s="108">
        <f>IF(ISNUMBER(J167), $B172 * K167, "")</f>
        <v>-3870.9677419354839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7"/>
      <c r="R167" s="227"/>
      <c r="S167" s="227"/>
    </row>
    <row r="168" spans="1:19" ht="17.25" thickBot="1">
      <c r="A168" s="125" t="s">
        <v>222</v>
      </c>
      <c r="B168" s="126">
        <v>184</v>
      </c>
      <c r="C168" s="77">
        <v>-0.10243902439999999</v>
      </c>
      <c r="D168" s="15">
        <v>190</v>
      </c>
      <c r="E168" s="32">
        <f t="shared" ref="E168:E171" si="90">IF(ISNUMBER(D168), (D168 - $B168) / $B168, "")</f>
        <v>3.2608695652173912E-2</v>
      </c>
      <c r="F168" s="18">
        <f>IF(ISNUMBER(D168), $B172 * E168, "")</f>
        <v>3260.869565217391</v>
      </c>
      <c r="G168" s="31">
        <v>190</v>
      </c>
      <c r="H168" s="32">
        <f t="shared" ref="H168:H171" si="91">IF(ISNUMBER(G168), (G168 - $B168) / $B168, "")</f>
        <v>3.2608695652173912E-2</v>
      </c>
      <c r="I168" s="101">
        <f>IF(ISNUMBER(G168), $B172 * H168, "")</f>
        <v>3260.869565217391</v>
      </c>
      <c r="J168" s="15">
        <v>189</v>
      </c>
      <c r="K168" s="32">
        <f t="shared" ref="K168:K171" si="92">IF(ISNUMBER(J168), (J168 - $B168) / $B168, "")</f>
        <v>2.717391304347826E-2</v>
      </c>
      <c r="L168" s="18">
        <f>IF(ISNUMBER(J168), $B172 * K168, "")</f>
        <v>2717.391304347826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7"/>
      <c r="R168" s="227"/>
      <c r="S168" s="227"/>
    </row>
    <row r="169" spans="1:19" ht="17.25" thickBot="1">
      <c r="A169" s="125" t="s">
        <v>200</v>
      </c>
      <c r="B169" s="126">
        <v>225</v>
      </c>
      <c r="C169" s="77">
        <v>-0.1071428571</v>
      </c>
      <c r="D169" s="15">
        <v>225</v>
      </c>
      <c r="E169" s="32">
        <f t="shared" si="90"/>
        <v>0</v>
      </c>
      <c r="F169" s="18">
        <f>IF(ISNUMBER(D169), $B172 * E169, "")</f>
        <v>0</v>
      </c>
      <c r="G169" s="31">
        <v>227</v>
      </c>
      <c r="H169" s="32">
        <f t="shared" si="91"/>
        <v>8.8888888888888889E-3</v>
      </c>
      <c r="I169" s="101">
        <f>IF(ISNUMBER(G169), $B172 * H169, "")</f>
        <v>888.88888888888891</v>
      </c>
      <c r="J169" s="15">
        <v>225</v>
      </c>
      <c r="K169" s="32">
        <f t="shared" si="92"/>
        <v>0</v>
      </c>
      <c r="L169" s="18">
        <f>IF(ISNUMBER(J169), $B172 * K169, "")</f>
        <v>0</v>
      </c>
      <c r="M169" s="31"/>
      <c r="N169" s="32" t="str">
        <f t="shared" si="93"/>
        <v/>
      </c>
      <c r="O169" s="18" t="str">
        <f>IF(ISNUMBER(M169), $B172 * N169, "")</f>
        <v/>
      </c>
      <c r="Q169" s="227"/>
      <c r="R169" s="227"/>
      <c r="S169" s="227"/>
    </row>
    <row r="170" spans="1:19">
      <c r="A170" s="125" t="s">
        <v>192</v>
      </c>
      <c r="B170" s="126">
        <v>344</v>
      </c>
      <c r="C170" s="77">
        <v>-0.1088082902</v>
      </c>
      <c r="D170" s="15">
        <v>336</v>
      </c>
      <c r="E170" s="32">
        <f t="shared" si="90"/>
        <v>-2.3255813953488372E-2</v>
      </c>
      <c r="F170" s="18">
        <f>IF(ISNUMBER(D170), $B172 * E170, "")</f>
        <v>-2325.5813953488373</v>
      </c>
      <c r="G170" s="31">
        <v>344</v>
      </c>
      <c r="H170" s="32">
        <f t="shared" si="91"/>
        <v>0</v>
      </c>
      <c r="I170" s="101">
        <f>IF(ISNUMBER(G170), $B172 * H170, "")</f>
        <v>0</v>
      </c>
      <c r="J170" s="15">
        <v>346</v>
      </c>
      <c r="K170" s="32">
        <f t="shared" si="92"/>
        <v>5.8139534883720929E-3</v>
      </c>
      <c r="L170" s="18">
        <f>IF(ISNUMBER(J170), $B172 * K170, "")</f>
        <v>581.39534883720933</v>
      </c>
      <c r="M170" s="31"/>
      <c r="N170" s="32" t="str">
        <f t="shared" si="93"/>
        <v/>
      </c>
      <c r="O170" s="18" t="str">
        <f>IF(ISNUMBER(M170), $B172 * N170, "")</f>
        <v/>
      </c>
      <c r="Q170" s="249"/>
      <c r="R170" s="250"/>
      <c r="S170" s="251"/>
    </row>
    <row r="171" spans="1:19" ht="17.25" thickBot="1">
      <c r="A171" s="130" t="s">
        <v>228</v>
      </c>
      <c r="B171" s="131">
        <v>989</v>
      </c>
      <c r="C171" s="79">
        <v>-0.1169642857</v>
      </c>
      <c r="D171" s="24">
        <v>945</v>
      </c>
      <c r="E171" s="25">
        <f t="shared" si="90"/>
        <v>-4.4489383215369056E-2</v>
      </c>
      <c r="F171" s="104">
        <f>IF(ISNUMBER(D171), $B172 * E171, "")</f>
        <v>-4448.9383215369053</v>
      </c>
      <c r="G171" s="102">
        <v>951</v>
      </c>
      <c r="H171" s="25">
        <f t="shared" si="91"/>
        <v>-3.8422649140546009E-2</v>
      </c>
      <c r="I171" s="103">
        <f>IF(ISNUMBER(G171), $B172 * H171, "")</f>
        <v>-3842.2649140546009</v>
      </c>
      <c r="J171" s="24">
        <v>937</v>
      </c>
      <c r="K171" s="25">
        <f t="shared" si="92"/>
        <v>-5.2578361981799798E-2</v>
      </c>
      <c r="L171" s="104">
        <f>IF(ISNUMBER(J171), $B172 * K171, "")</f>
        <v>-5257.8361981799799</v>
      </c>
      <c r="M171" s="102"/>
      <c r="N171" s="25" t="str">
        <f t="shared" si="93"/>
        <v/>
      </c>
      <c r="O171" s="104" t="str">
        <f>IF(ISNUMBER(M171), $B172 * N171, "")</f>
        <v/>
      </c>
      <c r="Q171" s="252"/>
      <c r="R171" s="253"/>
      <c r="S171" s="254"/>
    </row>
    <row r="172" spans="1:19" ht="17.25" thickBot="1">
      <c r="A172" s="132" t="s">
        <v>270</v>
      </c>
      <c r="B172" s="260">
        <f>$B$37</f>
        <v>100000</v>
      </c>
      <c r="C172" s="261"/>
      <c r="D172" s="26" t="s">
        <v>271</v>
      </c>
      <c r="E172" s="27">
        <f>IF(COUNT(E152:E171), SUM(E152:E171) / COUNT(E152:E171), 0)</f>
        <v>8.9414077599128221E-3</v>
      </c>
      <c r="F172" s="28">
        <f>SUM(F152:F171)</f>
        <v>17882.815519825657</v>
      </c>
      <c r="G172" s="26" t="s">
        <v>271</v>
      </c>
      <c r="H172" s="27">
        <f>IF(COUNT(H152:H171), SUM(H152:H171) / COUNT(H152:H171), 0)</f>
        <v>2.5168705168758236E-2</v>
      </c>
      <c r="I172" s="28">
        <f>SUM(I152:I171)</f>
        <v>50337.410337516485</v>
      </c>
      <c r="J172" s="26" t="s">
        <v>271</v>
      </c>
      <c r="K172" s="27">
        <f>IF(COUNT(K152:K171), SUM(K152:K171) / COUNT(K152:K171), 0)</f>
        <v>2.3673773573164615E-2</v>
      </c>
      <c r="L172" s="28">
        <f>SUM(L152:L171)</f>
        <v>47347.547146329198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55"/>
      <c r="R172" s="256"/>
      <c r="S172" s="257"/>
    </row>
    <row r="174" spans="1:19" ht="17.25" thickBot="1"/>
    <row r="175" spans="1:19" ht="17.25" thickBot="1">
      <c r="A175" s="201" t="s">
        <v>255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97" t="s">
        <v>267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55149000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2.1442459999999998E-3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2021-09-11(토) 오전 00:00</v>
      </c>
      <c r="C177" s="265"/>
      <c r="D177" s="224" t="str">
        <f>TEXT($G$1, "[$-ko-KR]yyyy-mm-dd(ddd) ") &amp; "오후 14:00"</f>
        <v>2021-09-11(토) 오후 14:00</v>
      </c>
      <c r="E177" s="225"/>
      <c r="F177" s="226"/>
      <c r="G177" s="224" t="str">
        <f>TEXT($G$1, "[$-ko-KR]yyyy-mm-dd(ddd) ") &amp; "오후 19:00"</f>
        <v>2021-09-11(토) 오후 19:00</v>
      </c>
      <c r="H177" s="225"/>
      <c r="I177" s="226"/>
      <c r="J177" s="224" t="str">
        <f>TEXT($G$1, "[$-ko-KR]yyyy-mm-dd(ddd) ") &amp; "오후 21:00"</f>
        <v>2021-09-11(토) 오후 21:00</v>
      </c>
      <c r="K177" s="225"/>
      <c r="L177" s="226"/>
      <c r="M177" s="224" t="str">
        <f>TEXT($G$1+1, "[$-ko-KR]yyyy-mm-dd(ddd) ") &amp; "오전 00:00"</f>
        <v>2021-09-12(일)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7"/>
      <c r="R178" s="227"/>
      <c r="S178" s="227"/>
    </row>
    <row r="179" spans="1:19" ht="17.25" thickBot="1">
      <c r="A179" s="123" t="s">
        <v>184</v>
      </c>
      <c r="B179" s="124">
        <v>1305</v>
      </c>
      <c r="C179" s="76">
        <v>-8.4210526300000005E-2</v>
      </c>
      <c r="D179" s="13">
        <v>1310</v>
      </c>
      <c r="E179" s="14">
        <f>IF(ISNUMBER(D179), (D179 - $B179) / $B179, "")</f>
        <v>3.8314176245210726E-3</v>
      </c>
      <c r="F179" s="16">
        <f>IF(ISNUMBER(D179), $B199 * E179, "")</f>
        <v>383.14176245210729</v>
      </c>
      <c r="G179" s="29">
        <v>1320</v>
      </c>
      <c r="H179" s="14">
        <f>IF(ISNUMBER(G179), (G179 - $B179) / $B179, "")</f>
        <v>1.1494252873563218E-2</v>
      </c>
      <c r="I179" s="100">
        <f>IF(ISNUMBER(G179), $B199 * H179, "")</f>
        <v>1149.4252873563219</v>
      </c>
      <c r="J179" s="13">
        <v>1325</v>
      </c>
      <c r="K179" s="14">
        <f>IF(ISNUMBER(J179), (J179 - $B179) / $B179, "")</f>
        <v>1.532567049808429E-2</v>
      </c>
      <c r="L179" s="16">
        <f>IF(ISNUMBER(J179), $B199 * K179, "")</f>
        <v>1532.5670498084291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2"/>
      <c r="R179" s="222"/>
      <c r="S179" s="222"/>
    </row>
    <row r="180" spans="1:19" ht="17.25" thickBot="1">
      <c r="A180" s="125" t="s">
        <v>140</v>
      </c>
      <c r="B180" s="126">
        <v>9715</v>
      </c>
      <c r="C180" s="77">
        <v>-8.4354382699999994E-2</v>
      </c>
      <c r="D180" s="15">
        <v>10370</v>
      </c>
      <c r="E180" s="32">
        <f t="shared" ref="E180:E183" si="94">IF(ISNUMBER(D180), (D180 - $B180) / $B180, "")</f>
        <v>6.7421513124034993E-2</v>
      </c>
      <c r="F180" s="18">
        <f>IF(ISNUMBER(D180), $B199 * E180, "")</f>
        <v>6742.1513124034991</v>
      </c>
      <c r="G180" s="31">
        <v>10510</v>
      </c>
      <c r="H180" s="32">
        <f t="shared" ref="H180:H183" si="95">IF(ISNUMBER(G180), (G180 - $B180) / $B180, "")</f>
        <v>8.183221821924859E-2</v>
      </c>
      <c r="I180" s="101">
        <f>IF(ISNUMBER(G180), $B199 * H180, "")</f>
        <v>8183.2218219248589</v>
      </c>
      <c r="J180" s="15">
        <v>10840</v>
      </c>
      <c r="K180" s="32">
        <f t="shared" ref="K180:K183" si="96">IF(ISNUMBER(J180), (J180 - $B180) / $B180, "")</f>
        <v>0.11580030880082347</v>
      </c>
      <c r="L180" s="18">
        <f>IF(ISNUMBER(J180), $B199 * K180, "")</f>
        <v>11580.030880082346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2"/>
      <c r="R180" s="222"/>
      <c r="S180" s="222"/>
    </row>
    <row r="181" spans="1:19" ht="17.25" thickBot="1">
      <c r="A181" s="125" t="s">
        <v>166</v>
      </c>
      <c r="B181" s="126">
        <v>227</v>
      </c>
      <c r="C181" s="77">
        <v>-8.4677419399999995E-2</v>
      </c>
      <c r="D181" s="15">
        <v>230</v>
      </c>
      <c r="E181" s="32">
        <f t="shared" si="94"/>
        <v>1.3215859030837005E-2</v>
      </c>
      <c r="F181" s="18">
        <f>IF(ISNUMBER(D181), $B199 * E181, "")</f>
        <v>1321.5859030837005</v>
      </c>
      <c r="G181" s="31">
        <v>233</v>
      </c>
      <c r="H181" s="32">
        <f t="shared" si="95"/>
        <v>2.643171806167401E-2</v>
      </c>
      <c r="I181" s="101">
        <f>IF(ISNUMBER(G181), $B199 * H181, "")</f>
        <v>2643.171806167401</v>
      </c>
      <c r="J181" s="15">
        <v>232</v>
      </c>
      <c r="K181" s="32">
        <f t="shared" si="96"/>
        <v>2.2026431718061675E-2</v>
      </c>
      <c r="L181" s="18">
        <f>IF(ISNUMBER(J181), $B199 * K181, "")</f>
        <v>2202.6431718061676</v>
      </c>
      <c r="M181" s="31"/>
      <c r="N181" s="32" t="str">
        <f t="shared" si="97"/>
        <v/>
      </c>
      <c r="O181" s="18" t="str">
        <f>IF(ISNUMBER(M181), $B199 * N181, "")</f>
        <v/>
      </c>
      <c r="Q181" s="227"/>
      <c r="R181" s="227"/>
      <c r="S181" s="227"/>
    </row>
    <row r="182" spans="1:19" ht="17.25" thickBot="1">
      <c r="A182" s="125" t="s">
        <v>230</v>
      </c>
      <c r="B182" s="126">
        <v>334</v>
      </c>
      <c r="C182" s="77">
        <v>-8.4931506800000001E-2</v>
      </c>
      <c r="D182" s="15">
        <v>354</v>
      </c>
      <c r="E182" s="32">
        <f t="shared" si="94"/>
        <v>5.9880239520958084E-2</v>
      </c>
      <c r="F182" s="18">
        <f>IF(ISNUMBER(D182), $B199 * E182, "")</f>
        <v>5988.0239520958085</v>
      </c>
      <c r="G182" s="31">
        <v>362</v>
      </c>
      <c r="H182" s="32">
        <f t="shared" si="95"/>
        <v>8.3832335329341312E-2</v>
      </c>
      <c r="I182" s="101">
        <f>IF(ISNUMBER(G182), $B199 * H182, "")</f>
        <v>8383.2335329341313</v>
      </c>
      <c r="J182" s="15">
        <v>361</v>
      </c>
      <c r="K182" s="32">
        <f t="shared" si="96"/>
        <v>8.0838323353293412E-2</v>
      </c>
      <c r="L182" s="18">
        <f>IF(ISNUMBER(J182), $B199 * K182, "")</f>
        <v>8083.8323353293408</v>
      </c>
      <c r="M182" s="31"/>
      <c r="N182" s="32" t="str">
        <f t="shared" si="97"/>
        <v/>
      </c>
      <c r="O182" s="18" t="str">
        <f>IF(ISNUMBER(M182), $B199 * N182, "")</f>
        <v/>
      </c>
      <c r="Q182" s="227"/>
      <c r="R182" s="227"/>
      <c r="S182" s="227"/>
    </row>
    <row r="183" spans="1:19" ht="17.25" thickBot="1">
      <c r="A183" s="127" t="s">
        <v>254</v>
      </c>
      <c r="B183" s="128">
        <v>418</v>
      </c>
      <c r="C183" s="78">
        <v>-8.5339168500000007E-2</v>
      </c>
      <c r="D183" s="20">
        <v>405</v>
      </c>
      <c r="E183" s="21">
        <f t="shared" si="94"/>
        <v>-3.1100478468899521E-2</v>
      </c>
      <c r="F183" s="22">
        <f>IF(ISNUMBER(D183), $B199 * E183, "")</f>
        <v>-3110.0478468899519</v>
      </c>
      <c r="G183" s="30">
        <v>408</v>
      </c>
      <c r="H183" s="21">
        <f t="shared" si="95"/>
        <v>-2.3923444976076555E-2</v>
      </c>
      <c r="I183" s="105">
        <f>IF(ISNUMBER(G183), $B199 * H183, "")</f>
        <v>-2392.3444976076553</v>
      </c>
      <c r="J183" s="20">
        <v>406</v>
      </c>
      <c r="K183" s="21">
        <f t="shared" si="96"/>
        <v>-2.8708133971291867E-2</v>
      </c>
      <c r="L183" s="22">
        <f>IF(ISNUMBER(J183), $B199 * K183, "")</f>
        <v>-2870.8133971291868</v>
      </c>
      <c r="M183" s="30"/>
      <c r="N183" s="21" t="str">
        <f t="shared" si="97"/>
        <v/>
      </c>
      <c r="O183" s="22" t="str">
        <f>IF(ISNUMBER(M183), $B199 * N183, "")</f>
        <v/>
      </c>
      <c r="Q183" s="227"/>
      <c r="R183" s="227"/>
      <c r="S183" s="227"/>
    </row>
    <row r="184" spans="1:19" ht="17.25" thickBot="1">
      <c r="A184" s="125" t="s">
        <v>204</v>
      </c>
      <c r="B184" s="129">
        <v>18</v>
      </c>
      <c r="C184" s="80">
        <v>-8.6294416200000001E-2</v>
      </c>
      <c r="D184" s="106">
        <v>18</v>
      </c>
      <c r="E184" s="107">
        <f>IF(ISNUMBER(D184), (D184 - $B184) / $B184, "")</f>
        <v>0</v>
      </c>
      <c r="F184" s="108">
        <f>IF(ISNUMBER(D184), $B199 * E184, "")</f>
        <v>0</v>
      </c>
      <c r="G184" s="109">
        <v>18.100000000000001</v>
      </c>
      <c r="H184" s="107">
        <f>IF(ISNUMBER(G184), (G184 - $B184) / $B184, "")</f>
        <v>5.5555555555556347E-3</v>
      </c>
      <c r="I184" s="110">
        <f>IF(ISNUMBER(G184), $B199 * H184, "")</f>
        <v>555.5555555555635</v>
      </c>
      <c r="J184" s="106">
        <v>18.100000000000001</v>
      </c>
      <c r="K184" s="107">
        <f>IF(ISNUMBER(J184), (J184 - $B184) / $B184, "")</f>
        <v>5.5555555555556347E-3</v>
      </c>
      <c r="L184" s="108">
        <f>IF(ISNUMBER(J184), $B199 * K184, "")</f>
        <v>555.5555555555635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7"/>
      <c r="R184" s="227"/>
      <c r="S184" s="227"/>
    </row>
    <row r="185" spans="1:19" ht="17.25" thickBot="1">
      <c r="A185" s="125" t="s">
        <v>214</v>
      </c>
      <c r="B185" s="126">
        <v>1125</v>
      </c>
      <c r="C185" s="77">
        <v>-8.9068825899999995E-2</v>
      </c>
      <c r="D185" s="15">
        <v>1100</v>
      </c>
      <c r="E185" s="32">
        <f t="shared" ref="E185:E188" si="98">IF(ISNUMBER(D185), (D185 - $B185) / $B185, "")</f>
        <v>-2.2222222222222223E-2</v>
      </c>
      <c r="F185" s="18">
        <f>IF(ISNUMBER(D185), $B199 * E185, "")</f>
        <v>-2222.2222222222222</v>
      </c>
      <c r="G185" s="31">
        <v>1095</v>
      </c>
      <c r="H185" s="32">
        <f t="shared" ref="H185:H188" si="99">IF(ISNUMBER(G185), (G185 - $B185) / $B185, "")</f>
        <v>-2.6666666666666668E-2</v>
      </c>
      <c r="I185" s="101">
        <f>IF(ISNUMBER(G185), $B199 * H185, "")</f>
        <v>-2666.666666666667</v>
      </c>
      <c r="J185" s="15">
        <v>1095</v>
      </c>
      <c r="K185" s="32">
        <f t="shared" ref="K185:K188" si="100">IF(ISNUMBER(J185), (J185 - $B185) / $B185, "")</f>
        <v>-2.6666666666666668E-2</v>
      </c>
      <c r="L185" s="18">
        <f>IF(ISNUMBER(J185), $B199 * K185, "")</f>
        <v>-2666.666666666667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7"/>
      <c r="R185" s="227"/>
      <c r="S185" s="227"/>
    </row>
    <row r="186" spans="1:19" ht="17.25" thickBot="1">
      <c r="A186" s="125" t="s">
        <v>130</v>
      </c>
      <c r="B186" s="126">
        <v>162</v>
      </c>
      <c r="C186" s="77">
        <v>-8.9887640399999996E-2</v>
      </c>
      <c r="D186" s="15">
        <v>170</v>
      </c>
      <c r="E186" s="32">
        <f t="shared" si="98"/>
        <v>4.9382716049382713E-2</v>
      </c>
      <c r="F186" s="18">
        <f>IF(ISNUMBER(D186), $B199 * E186, "")</f>
        <v>4938.2716049382716</v>
      </c>
      <c r="G186" s="31">
        <v>176</v>
      </c>
      <c r="H186" s="32">
        <f t="shared" si="99"/>
        <v>8.6419753086419748E-2</v>
      </c>
      <c r="I186" s="101">
        <f>IF(ISNUMBER(G186), $B199 * H186, "")</f>
        <v>8641.9753086419751</v>
      </c>
      <c r="J186" s="15">
        <v>174</v>
      </c>
      <c r="K186" s="32">
        <f t="shared" si="100"/>
        <v>7.407407407407407E-2</v>
      </c>
      <c r="L186" s="18">
        <f>IF(ISNUMBER(J186), $B199 * K186, "")</f>
        <v>7407.4074074074069</v>
      </c>
      <c r="M186" s="31"/>
      <c r="N186" s="32" t="str">
        <f t="shared" si="101"/>
        <v/>
      </c>
      <c r="O186" s="18" t="str">
        <f>IF(ISNUMBER(M186), $B199 * N186, "")</f>
        <v/>
      </c>
      <c r="Q186" s="227"/>
      <c r="R186" s="227"/>
      <c r="S186" s="227"/>
    </row>
    <row r="187" spans="1:19" ht="17.25" thickBot="1">
      <c r="A187" s="125" t="s">
        <v>244</v>
      </c>
      <c r="B187" s="126">
        <v>1910</v>
      </c>
      <c r="C187" s="77">
        <v>-9.2636579600000005E-2</v>
      </c>
      <c r="D187" s="15">
        <v>1865</v>
      </c>
      <c r="E187" s="32">
        <f t="shared" si="98"/>
        <v>-2.356020942408377E-2</v>
      </c>
      <c r="F187" s="18">
        <f>IF(ISNUMBER(D187), $B199 * E187, "")</f>
        <v>-2356.0209424083769</v>
      </c>
      <c r="G187" s="31">
        <v>1905</v>
      </c>
      <c r="H187" s="32">
        <f t="shared" si="99"/>
        <v>-2.617801047120419E-3</v>
      </c>
      <c r="I187" s="101">
        <f>IF(ISNUMBER(G187), $B199 * H187, "")</f>
        <v>-261.78010471204192</v>
      </c>
      <c r="J187" s="15">
        <v>1875</v>
      </c>
      <c r="K187" s="32">
        <f t="shared" si="100"/>
        <v>-1.832460732984293E-2</v>
      </c>
      <c r="L187" s="18">
        <f>IF(ISNUMBER(J187), $B199 * K187, "")</f>
        <v>-1832.4607329842931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114</v>
      </c>
      <c r="B188" s="131">
        <v>948</v>
      </c>
      <c r="C188" s="79">
        <v>-9.2822966500000006E-2</v>
      </c>
      <c r="D188" s="24">
        <v>945</v>
      </c>
      <c r="E188" s="25">
        <f t="shared" si="98"/>
        <v>-3.1645569620253164E-3</v>
      </c>
      <c r="F188" s="104">
        <f>IF(ISNUMBER(D188), $B199 * E188, "")</f>
        <v>-316.45569620253161</v>
      </c>
      <c r="G188" s="102">
        <v>959</v>
      </c>
      <c r="H188" s="25">
        <f t="shared" si="99"/>
        <v>1.1603375527426161E-2</v>
      </c>
      <c r="I188" s="103">
        <f>IF(ISNUMBER(G188), $B199 * H188, "")</f>
        <v>1160.337552742616</v>
      </c>
      <c r="J188" s="24">
        <v>951</v>
      </c>
      <c r="K188" s="25">
        <f t="shared" si="100"/>
        <v>3.1645569620253164E-3</v>
      </c>
      <c r="L188" s="104">
        <f>IF(ISNUMBER(J188), $B199 * K188, "")</f>
        <v>316.45569620253161</v>
      </c>
      <c r="M188" s="102"/>
      <c r="N188" s="25" t="str">
        <f t="shared" si="101"/>
        <v/>
      </c>
      <c r="O188" s="104" t="str">
        <f>IF(ISNUMBER(M188), $B199 * N188, "")</f>
        <v/>
      </c>
      <c r="Q188" s="236"/>
      <c r="R188" s="237"/>
      <c r="S188" s="238"/>
    </row>
    <row r="189" spans="1:19">
      <c r="A189" s="123" t="s">
        <v>124</v>
      </c>
      <c r="B189" s="124">
        <v>632</v>
      </c>
      <c r="C189" s="76">
        <v>-9.84308131E-2</v>
      </c>
      <c r="D189" s="13">
        <v>645</v>
      </c>
      <c r="E189" s="14">
        <f>IF(ISNUMBER(D189), (D189 - $B189) / $B189, "")</f>
        <v>2.0569620253164556E-2</v>
      </c>
      <c r="F189" s="16">
        <f>IF(ISNUMBER(D189), $B199 * E189, "")</f>
        <v>2056.9620253164558</v>
      </c>
      <c r="G189" s="29">
        <v>651</v>
      </c>
      <c r="H189" s="14">
        <f>IF(ISNUMBER(G189), (G189 - $B189) / $B189, "")</f>
        <v>3.0063291139240507E-2</v>
      </c>
      <c r="I189" s="100">
        <f>IF(ISNUMBER(G189), $B199 * H189, "")</f>
        <v>3006.3291139240505</v>
      </c>
      <c r="J189" s="13">
        <v>652</v>
      </c>
      <c r="K189" s="14">
        <f>IF(ISNUMBER(J189), (J189 - $B189) / $B189, "")</f>
        <v>3.1645569620253167E-2</v>
      </c>
      <c r="L189" s="16">
        <f>IF(ISNUMBER(J189), $B199 * K189, "")</f>
        <v>3164.5569620253168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9"/>
      <c r="R189" s="240"/>
      <c r="S189" s="241"/>
    </row>
    <row r="190" spans="1:19" ht="17.25" thickBot="1">
      <c r="A190" s="125" t="s">
        <v>206</v>
      </c>
      <c r="B190" s="126">
        <v>809</v>
      </c>
      <c r="C190" s="77">
        <v>-9.9109131399999995E-2</v>
      </c>
      <c r="D190" s="15">
        <v>777</v>
      </c>
      <c r="E190" s="32">
        <f t="shared" ref="E190:E193" si="102">IF(ISNUMBER(D190), (D190 - $B190) / $B190, "")</f>
        <v>-3.9555006180469712E-2</v>
      </c>
      <c r="F190" s="18">
        <f>IF(ISNUMBER(D190), $B199 * E190, "")</f>
        <v>-3955.5006180469713</v>
      </c>
      <c r="G190" s="31">
        <v>782</v>
      </c>
      <c r="H190" s="32">
        <f t="shared" ref="H190:H193" si="103">IF(ISNUMBER(G190), (G190 - $B190) / $B190, "")</f>
        <v>-3.3374536464771322E-2</v>
      </c>
      <c r="I190" s="101">
        <f>IF(ISNUMBER(G190), $B199 * H190, "")</f>
        <v>-3337.4536464771322</v>
      </c>
      <c r="J190" s="15">
        <v>786</v>
      </c>
      <c r="K190" s="32">
        <f t="shared" ref="K190:K193" si="104">IF(ISNUMBER(J190), (J190 - $B190) / $B190, "")</f>
        <v>-2.843016069221261E-2</v>
      </c>
      <c r="L190" s="18">
        <f>IF(ISNUMBER(J190), $B199 * K190, "")</f>
        <v>-2843.0160692212608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2"/>
      <c r="R190" s="243"/>
      <c r="S190" s="244"/>
    </row>
    <row r="191" spans="1:19" ht="17.25" thickBot="1">
      <c r="A191" s="125" t="s">
        <v>160</v>
      </c>
      <c r="B191" s="126">
        <v>1715</v>
      </c>
      <c r="C191" s="77">
        <v>-9.9737532800000001E-2</v>
      </c>
      <c r="D191" s="15">
        <v>1695</v>
      </c>
      <c r="E191" s="32">
        <f t="shared" si="102"/>
        <v>-1.1661807580174927E-2</v>
      </c>
      <c r="F191" s="18">
        <f>IF(ISNUMBER(D191), $B199 * E191, "")</f>
        <v>-1166.1807580174927</v>
      </c>
      <c r="G191" s="31">
        <v>1710</v>
      </c>
      <c r="H191" s="32">
        <f t="shared" si="103"/>
        <v>-2.9154518950437317E-3</v>
      </c>
      <c r="I191" s="101">
        <f>IF(ISNUMBER(G191), $B199 * H191, "")</f>
        <v>-291.54518950437318</v>
      </c>
      <c r="J191" s="15">
        <v>1705</v>
      </c>
      <c r="K191" s="32">
        <f t="shared" si="104"/>
        <v>-5.8309037900874635E-3</v>
      </c>
      <c r="L191" s="18">
        <f>IF(ISNUMBER(J191), $B199 * K191, "")</f>
        <v>-583.09037900874637</v>
      </c>
      <c r="M191" s="31"/>
      <c r="N191" s="32" t="str">
        <f t="shared" si="105"/>
        <v/>
      </c>
      <c r="O191" s="18" t="str">
        <f>IF(ISNUMBER(M191), $B199 * N191, "")</f>
        <v/>
      </c>
      <c r="Q191" s="227"/>
      <c r="R191" s="227"/>
      <c r="S191" s="227"/>
    </row>
    <row r="192" spans="1:19" ht="17.25" thickBot="1">
      <c r="A192" s="125" t="s">
        <v>65</v>
      </c>
      <c r="B192" s="126">
        <v>88.4</v>
      </c>
      <c r="C192" s="77">
        <v>-9.9796334E-2</v>
      </c>
      <c r="D192" s="15">
        <v>90.5</v>
      </c>
      <c r="E192" s="32">
        <f t="shared" si="102"/>
        <v>2.3755656108597218E-2</v>
      </c>
      <c r="F192" s="18">
        <f>IF(ISNUMBER(D192), $B199 * E192, "")</f>
        <v>2375.5656108597218</v>
      </c>
      <c r="G192" s="31">
        <v>91.2</v>
      </c>
      <c r="H192" s="32">
        <f t="shared" si="103"/>
        <v>3.1674208144796344E-2</v>
      </c>
      <c r="I192" s="101">
        <f>IF(ISNUMBER(G192), $B199 * H192, "")</f>
        <v>3167.4208144796344</v>
      </c>
      <c r="J192" s="15">
        <v>90</v>
      </c>
      <c r="K192" s="32">
        <f t="shared" si="104"/>
        <v>1.8099547511312153E-2</v>
      </c>
      <c r="L192" s="18">
        <f>IF(ISNUMBER(J192), $B199 * K192, "")</f>
        <v>1809.9547511312153</v>
      </c>
      <c r="M192" s="31"/>
      <c r="N192" s="32" t="str">
        <f t="shared" si="105"/>
        <v/>
      </c>
      <c r="O192" s="18" t="str">
        <f>IF(ISNUMBER(M192), $B199 * N192, "")</f>
        <v/>
      </c>
      <c r="Q192" s="222"/>
      <c r="R192" s="222"/>
      <c r="S192" s="222"/>
    </row>
    <row r="193" spans="1:19" ht="17.25" thickBot="1">
      <c r="A193" s="127" t="s">
        <v>232</v>
      </c>
      <c r="B193" s="128">
        <v>930</v>
      </c>
      <c r="C193" s="78">
        <v>-0.1014492754</v>
      </c>
      <c r="D193" s="20">
        <v>891</v>
      </c>
      <c r="E193" s="21">
        <f t="shared" si="102"/>
        <v>-4.1935483870967745E-2</v>
      </c>
      <c r="F193" s="22">
        <f>IF(ISNUMBER(D193), $B199 * E193, "")</f>
        <v>-4193.5483870967746</v>
      </c>
      <c r="G193" s="30">
        <v>899</v>
      </c>
      <c r="H193" s="21">
        <f t="shared" si="103"/>
        <v>-3.3333333333333333E-2</v>
      </c>
      <c r="I193" s="105">
        <f>IF(ISNUMBER(G193), $B199 * H193, "")</f>
        <v>-3333.3333333333335</v>
      </c>
      <c r="J193" s="20">
        <v>894</v>
      </c>
      <c r="K193" s="21">
        <f t="shared" si="104"/>
        <v>-3.870967741935484E-2</v>
      </c>
      <c r="L193" s="22">
        <f>IF(ISNUMBER(J193), $B199 * K193, "")</f>
        <v>-3870.9677419354839</v>
      </c>
      <c r="M193" s="30"/>
      <c r="N193" s="21" t="str">
        <f t="shared" si="105"/>
        <v/>
      </c>
      <c r="O193" s="22" t="str">
        <f>IF(ISNUMBER(M193), $B199 * N193, "")</f>
        <v/>
      </c>
      <c r="Q193" s="222"/>
      <c r="R193" s="222"/>
      <c r="S193" s="222"/>
    </row>
    <row r="194" spans="1:19" ht="17.25" thickBot="1">
      <c r="A194" s="125" t="s">
        <v>222</v>
      </c>
      <c r="B194" s="129">
        <v>184</v>
      </c>
      <c r="C194" s="80">
        <v>-0.10243902439999999</v>
      </c>
      <c r="D194" s="106">
        <v>190</v>
      </c>
      <c r="E194" s="107">
        <f>IF(ISNUMBER(D194), (D194 - $B194) / $B194, "")</f>
        <v>3.2608695652173912E-2</v>
      </c>
      <c r="F194" s="108">
        <f>IF(ISNUMBER(D194), $B199 * E194, "")</f>
        <v>3260.869565217391</v>
      </c>
      <c r="G194" s="109">
        <v>190</v>
      </c>
      <c r="H194" s="107">
        <f>IF(ISNUMBER(G194), (G194 - $B194) / $B194, "")</f>
        <v>3.2608695652173912E-2</v>
      </c>
      <c r="I194" s="110">
        <f>IF(ISNUMBER(G194), $B199 * H194, "")</f>
        <v>3260.869565217391</v>
      </c>
      <c r="J194" s="106">
        <v>189</v>
      </c>
      <c r="K194" s="107">
        <f>IF(ISNUMBER(J194), (J194 - $B194) / $B194, "")</f>
        <v>2.717391304347826E-2</v>
      </c>
      <c r="L194" s="108">
        <f>IF(ISNUMBER(J194), $B199 * K194, "")</f>
        <v>2717.391304347826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7"/>
      <c r="R194" s="227"/>
      <c r="S194" s="227"/>
    </row>
    <row r="195" spans="1:19" ht="17.25" thickBot="1">
      <c r="A195" s="125" t="s">
        <v>122</v>
      </c>
      <c r="B195" s="126">
        <v>41.7</v>
      </c>
      <c r="C195" s="77">
        <v>-0.1051502146</v>
      </c>
      <c r="D195" s="15">
        <v>41.5</v>
      </c>
      <c r="E195" s="32">
        <f t="shared" ref="E195:E198" si="106">IF(ISNUMBER(D195), (D195 - $B195) / $B195, "")</f>
        <v>-4.7961630695444327E-3</v>
      </c>
      <c r="F195" s="18">
        <f>IF(ISNUMBER(D195), $B199 * E195, "")</f>
        <v>-479.61630695444325</v>
      </c>
      <c r="G195" s="31">
        <v>42.1</v>
      </c>
      <c r="H195" s="32">
        <f t="shared" ref="H195:H198" si="107">IF(ISNUMBER(G195), (G195 - $B195) / $B195, "")</f>
        <v>9.5923261390886937E-3</v>
      </c>
      <c r="I195" s="101">
        <f>IF(ISNUMBER(G195), $B199 * H195, "")</f>
        <v>959.23261390886933</v>
      </c>
      <c r="J195" s="15">
        <v>42.2</v>
      </c>
      <c r="K195" s="32">
        <f t="shared" ref="K195:K198" si="108">IF(ISNUMBER(J195), (J195 - $B195) / $B195, "")</f>
        <v>1.1990407673860911E-2</v>
      </c>
      <c r="L195" s="18">
        <f>IF(ISNUMBER(J195), $B199 * K195, "")</f>
        <v>1199.0407673860911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7"/>
      <c r="R195" s="227"/>
      <c r="S195" s="227"/>
    </row>
    <row r="196" spans="1:19" ht="17.25" thickBot="1">
      <c r="A196" s="125" t="s">
        <v>200</v>
      </c>
      <c r="B196" s="126">
        <v>225</v>
      </c>
      <c r="C196" s="77">
        <v>-0.1071428571</v>
      </c>
      <c r="D196" s="15">
        <v>225</v>
      </c>
      <c r="E196" s="32">
        <f t="shared" si="106"/>
        <v>0</v>
      </c>
      <c r="F196" s="18">
        <f>IF(ISNUMBER(D196), $B199 * E196, "")</f>
        <v>0</v>
      </c>
      <c r="G196" s="31">
        <v>227</v>
      </c>
      <c r="H196" s="32">
        <f t="shared" si="107"/>
        <v>8.8888888888888889E-3</v>
      </c>
      <c r="I196" s="101">
        <f>IF(ISNUMBER(G196), $B199 * H196, "")</f>
        <v>888.88888888888891</v>
      </c>
      <c r="J196" s="15">
        <v>225</v>
      </c>
      <c r="K196" s="32">
        <f t="shared" si="108"/>
        <v>0</v>
      </c>
      <c r="L196" s="18">
        <f>IF(ISNUMBER(J196), $B199 * K196, "")</f>
        <v>0</v>
      </c>
      <c r="M196" s="31"/>
      <c r="N196" s="32" t="str">
        <f t="shared" si="109"/>
        <v/>
      </c>
      <c r="O196" s="18" t="str">
        <f>IF(ISNUMBER(M196), $B199 * N196, "")</f>
        <v/>
      </c>
      <c r="Q196" s="227"/>
      <c r="R196" s="227"/>
      <c r="S196" s="227"/>
    </row>
    <row r="197" spans="1:19">
      <c r="A197" s="125" t="s">
        <v>192</v>
      </c>
      <c r="B197" s="126">
        <v>344</v>
      </c>
      <c r="C197" s="77">
        <v>-0.1088082902</v>
      </c>
      <c r="D197" s="15">
        <v>336</v>
      </c>
      <c r="E197" s="32">
        <f t="shared" si="106"/>
        <v>-2.3255813953488372E-2</v>
      </c>
      <c r="F197" s="18">
        <f>IF(ISNUMBER(D197), $B199 * E197, "")</f>
        <v>-2325.5813953488373</v>
      </c>
      <c r="G197" s="31">
        <v>344</v>
      </c>
      <c r="H197" s="32">
        <f t="shared" si="107"/>
        <v>0</v>
      </c>
      <c r="I197" s="101">
        <f>IF(ISNUMBER(G197), $B199 * H197, "")</f>
        <v>0</v>
      </c>
      <c r="J197" s="15">
        <v>346</v>
      </c>
      <c r="K197" s="32">
        <f t="shared" si="108"/>
        <v>5.8139534883720929E-3</v>
      </c>
      <c r="L197" s="18">
        <f>IF(ISNUMBER(J197), $B199 * K197, "")</f>
        <v>581.39534883720933</v>
      </c>
      <c r="M197" s="31"/>
      <c r="N197" s="32" t="str">
        <f t="shared" si="109"/>
        <v/>
      </c>
      <c r="O197" s="18" t="str">
        <f>IF(ISNUMBER(M197), $B199 * N197, "")</f>
        <v/>
      </c>
      <c r="Q197" s="249"/>
      <c r="R197" s="250"/>
      <c r="S197" s="251"/>
    </row>
    <row r="198" spans="1:19" ht="17.25" thickBot="1">
      <c r="A198" s="130" t="s">
        <v>228</v>
      </c>
      <c r="B198" s="131">
        <v>989</v>
      </c>
      <c r="C198" s="79">
        <v>-0.1169642857</v>
      </c>
      <c r="D198" s="24">
        <v>945</v>
      </c>
      <c r="E198" s="25">
        <f t="shared" si="106"/>
        <v>-4.4489383215369056E-2</v>
      </c>
      <c r="F198" s="104">
        <f>IF(ISNUMBER(D198), $B199 * E198, "")</f>
        <v>-4448.9383215369053</v>
      </c>
      <c r="G198" s="102">
        <v>951</v>
      </c>
      <c r="H198" s="25">
        <f t="shared" si="107"/>
        <v>-3.8422649140546009E-2</v>
      </c>
      <c r="I198" s="103">
        <f>IF(ISNUMBER(G198), $B199 * H198, "")</f>
        <v>-3842.2649140546009</v>
      </c>
      <c r="J198" s="24">
        <v>937</v>
      </c>
      <c r="K198" s="25">
        <f t="shared" si="108"/>
        <v>-5.2578361981799798E-2</v>
      </c>
      <c r="L198" s="104">
        <f>IF(ISNUMBER(J198), $B199 * K198, "")</f>
        <v>-5257.8361981799799</v>
      </c>
      <c r="M198" s="102"/>
      <c r="N198" s="25" t="str">
        <f t="shared" si="109"/>
        <v/>
      </c>
      <c r="O198" s="104" t="str">
        <f>IF(ISNUMBER(M198), $B199 * N198, "")</f>
        <v/>
      </c>
      <c r="Q198" s="252"/>
      <c r="R198" s="253"/>
      <c r="S198" s="254"/>
    </row>
    <row r="199" spans="1:19" ht="17.25" thickBot="1">
      <c r="A199" s="132" t="s">
        <v>270</v>
      </c>
      <c r="B199" s="260">
        <f>$B$37</f>
        <v>100000</v>
      </c>
      <c r="C199" s="261"/>
      <c r="D199" s="26" t="s">
        <v>271</v>
      </c>
      <c r="E199" s="27">
        <f>IF(COUNT(E179:E198), SUM(E179:E198) / COUNT(E179:E198), 0)</f>
        <v>1.2462296208212247E-3</v>
      </c>
      <c r="F199" s="28">
        <f>SUM(F179:F198)</f>
        <v>2492.4592416424457</v>
      </c>
      <c r="G199" s="26" t="s">
        <v>271</v>
      </c>
      <c r="H199" s="27">
        <f>IF(COUNT(H179:H198), SUM(H179:H198) / COUNT(H179:H198), 0)</f>
        <v>1.2937136754692945E-2</v>
      </c>
      <c r="I199" s="28">
        <f>SUM(I179:I198)</f>
        <v>25874.273509385894</v>
      </c>
      <c r="J199" s="26" t="s">
        <v>271</v>
      </c>
      <c r="K199" s="27">
        <f>IF(COUNT(K179:K198), SUM(K179:K198) / COUNT(K179:K198), 0)</f>
        <v>1.0612990022396919E-2</v>
      </c>
      <c r="L199" s="28">
        <f>SUM(L179:L198)</f>
        <v>21225.980044793818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투자전략(조건부서식초기화)</vt:lpstr>
      <vt:lpstr>투자전략</vt:lpstr>
      <vt:lpstr>현재가테이블</vt:lpstr>
      <vt:lpstr>종목선정</vt:lpstr>
      <vt:lpstr>월말결산</vt:lpstr>
      <vt:lpstr>2021.09.01</vt:lpstr>
      <vt:lpstr>2021.09.02</vt:lpstr>
      <vt:lpstr>2021.09.03</vt:lpstr>
      <vt:lpstr>2021.09.04</vt:lpstr>
      <vt:lpstr>2021.09.05</vt:lpstr>
      <vt:lpstr>2021.09.06</vt:lpstr>
      <vt:lpstr>2021.09.07</vt:lpstr>
      <vt:lpstr>2021.09.08</vt:lpstr>
      <vt:lpstr>2021.09.09</vt:lpstr>
      <vt:lpstr>2021.09.10</vt:lpstr>
      <vt:lpstr>2021.09.11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2021-09-11T12:25:57Z</dcterms:modified>
</cp:coreProperties>
</file>