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2BC0444E-DA9D-4F4F-86ED-250398A4BF25}" xr6:coauthVersionLast="46" xr6:coauthVersionMax="46" xr10:uidLastSave="{00000000-0000-0000-0000-000000000000}"/>
  <bookViews>
    <workbookView xWindow="28680" yWindow="-120" windowWidth="29040" windowHeight="15840" firstSheet="2" activeTab="1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0" l="1"/>
  <c r="O198" i="30"/>
  <c r="N198" i="30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F189" i="30"/>
  <c r="E189" i="30"/>
  <c r="O188" i="30"/>
  <c r="N188" i="30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F181" i="30"/>
  <c r="E181" i="30"/>
  <c r="O180" i="30"/>
  <c r="N180" i="30"/>
  <c r="L180" i="30"/>
  <c r="K180" i="30"/>
  <c r="H180" i="30"/>
  <c r="I180" i="30" s="1"/>
  <c r="F180" i="30"/>
  <c r="E180" i="30"/>
  <c r="O179" i="30"/>
  <c r="O199" i="30" s="1"/>
  <c r="N179" i="30"/>
  <c r="N199" i="30" s="1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O161" i="30"/>
  <c r="N161" i="30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O157" i="30"/>
  <c r="N157" i="30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O152" i="30"/>
  <c r="O172" i="30" s="1"/>
  <c r="N152" i="30"/>
  <c r="N172" i="30" s="1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L135" i="30"/>
  <c r="K135" i="30"/>
  <c r="H135" i="30"/>
  <c r="I135" i="30" s="1"/>
  <c r="F135" i="30"/>
  <c r="E135" i="30"/>
  <c r="O134" i="30"/>
  <c r="N134" i="30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E130" i="30"/>
  <c r="F130" i="30" s="1"/>
  <c r="O129" i="30"/>
  <c r="N129" i="30"/>
  <c r="L129" i="30"/>
  <c r="K129" i="30"/>
  <c r="I129" i="30"/>
  <c r="H129" i="30"/>
  <c r="E129" i="30"/>
  <c r="F129" i="30" s="1"/>
  <c r="O128" i="30"/>
  <c r="N128" i="30"/>
  <c r="K128" i="30"/>
  <c r="L128" i="30" s="1"/>
  <c r="H128" i="30"/>
  <c r="I128" i="30" s="1"/>
  <c r="E128" i="30"/>
  <c r="F128" i="30" s="1"/>
  <c r="O127" i="30"/>
  <c r="N127" i="30"/>
  <c r="L127" i="30"/>
  <c r="K127" i="30"/>
  <c r="H127" i="30"/>
  <c r="I127" i="30" s="1"/>
  <c r="E127" i="30"/>
  <c r="F127" i="30" s="1"/>
  <c r="O126" i="30"/>
  <c r="N126" i="30"/>
  <c r="K126" i="30"/>
  <c r="L126" i="30" s="1"/>
  <c r="H126" i="30"/>
  <c r="I126" i="30" s="1"/>
  <c r="E126" i="30"/>
  <c r="F126" i="30" s="1"/>
  <c r="O125" i="30"/>
  <c r="O145" i="30" s="1"/>
  <c r="N125" i="30"/>
  <c r="N145" i="30" s="1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O116" i="30"/>
  <c r="N116" i="30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O112" i="30"/>
  <c r="N112" i="30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N110" i="30"/>
  <c r="K110" i="30"/>
  <c r="L110" i="30" s="1"/>
  <c r="L29" i="30" s="1"/>
  <c r="I110" i="30"/>
  <c r="I29" i="30" s="1"/>
  <c r="H110" i="30"/>
  <c r="E110" i="30"/>
  <c r="F110" i="30" s="1"/>
  <c r="F29" i="30" s="1"/>
  <c r="O109" i="30"/>
  <c r="N109" i="30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O106" i="30"/>
  <c r="N106" i="30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O104" i="30"/>
  <c r="N104" i="30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O100" i="30"/>
  <c r="N100" i="30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O118" i="30" s="1"/>
  <c r="N98" i="30"/>
  <c r="N118" i="30" s="1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O88" i="30"/>
  <c r="N88" i="30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K74" i="30"/>
  <c r="K33" i="30" s="1"/>
  <c r="H74" i="30"/>
  <c r="I74" i="30" s="1"/>
  <c r="I33" i="30" s="1"/>
  <c r="E74" i="30"/>
  <c r="F74" i="30" s="1"/>
  <c r="F33" i="30" s="1"/>
  <c r="O73" i="30"/>
  <c r="N73" i="30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O91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O60" i="30"/>
  <c r="N60" i="30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O57" i="30"/>
  <c r="N57" i="30"/>
  <c r="L57" i="30"/>
  <c r="K57" i="30"/>
  <c r="H57" i="30"/>
  <c r="I57" i="30" s="1"/>
  <c r="F57" i="30"/>
  <c r="E57" i="30"/>
  <c r="O56" i="30"/>
  <c r="N56" i="30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O54" i="30"/>
  <c r="N54" i="30"/>
  <c r="L54" i="30"/>
  <c r="K54" i="30"/>
  <c r="H54" i="30"/>
  <c r="I54" i="30" s="1"/>
  <c r="F54" i="30"/>
  <c r="E54" i="30"/>
  <c r="O53" i="30"/>
  <c r="N53" i="30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O51" i="30"/>
  <c r="N51" i="30"/>
  <c r="L51" i="30"/>
  <c r="K51" i="30"/>
  <c r="H51" i="30"/>
  <c r="I51" i="30" s="1"/>
  <c r="F51" i="30"/>
  <c r="E51" i="30"/>
  <c r="O50" i="30"/>
  <c r="N50" i="30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O47" i="30"/>
  <c r="N47" i="30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O44" i="30"/>
  <c r="O64" i="30" s="1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O35" i="30"/>
  <c r="N35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O33" i="30"/>
  <c r="N33" i="30"/>
  <c r="M33" i="30"/>
  <c r="J33" i="30"/>
  <c r="H33" i="30"/>
  <c r="G33" i="30"/>
  <c r="E33" i="30"/>
  <c r="D33" i="30"/>
  <c r="C33" i="30"/>
  <c r="B33" i="30"/>
  <c r="O32" i="30"/>
  <c r="N32" i="30"/>
  <c r="M32" i="30"/>
  <c r="J32" i="30"/>
  <c r="I32" i="30"/>
  <c r="H32" i="30"/>
  <c r="G32" i="30"/>
  <c r="E32" i="30"/>
  <c r="D32" i="30"/>
  <c r="C32" i="30"/>
  <c r="B32" i="30"/>
  <c r="O31" i="30"/>
  <c r="N31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O28" i="30"/>
  <c r="N28" i="30"/>
  <c r="M28" i="30"/>
  <c r="K28" i="30"/>
  <c r="J28" i="30"/>
  <c r="H28" i="30"/>
  <c r="G28" i="30"/>
  <c r="E28" i="30"/>
  <c r="D28" i="30"/>
  <c r="C28" i="30"/>
  <c r="B28" i="30"/>
  <c r="O27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O23" i="30"/>
  <c r="N23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O19" i="30"/>
  <c r="N19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99" i="30" l="1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O37" i="30"/>
  <c r="N37" i="30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91" i="30" l="1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L37" i="30" l="1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9" l="1"/>
  <c r="G11" i="27"/>
  <c r="G11" i="26"/>
  <c r="G11" i="24"/>
  <c r="G7" i="24"/>
  <c r="G9" i="6"/>
  <c r="G11" i="6"/>
  <c r="G5" i="6" l="1"/>
  <c r="N31" i="9"/>
  <c r="H178" i="9"/>
  <c r="K229" i="9"/>
  <c r="F257" i="9"/>
  <c r="L114" i="9"/>
  <c r="E274" i="9"/>
  <c r="K242" i="9"/>
  <c r="H242" i="9"/>
  <c r="F39" i="9"/>
  <c r="C78" i="9"/>
  <c r="K48" i="3"/>
  <c r="F151" i="9"/>
  <c r="E154" i="9"/>
  <c r="G38" i="3"/>
  <c r="K70" i="3"/>
  <c r="E137" i="9"/>
  <c r="N228" i="9"/>
  <c r="K197" i="9"/>
  <c r="H221" i="9"/>
  <c r="O230" i="9"/>
  <c r="E198" i="9"/>
  <c r="E241" i="9"/>
  <c r="E127" i="9"/>
  <c r="E27" i="9"/>
  <c r="E34" i="9"/>
  <c r="C221" i="9"/>
  <c r="L74" i="9"/>
  <c r="K74" i="3"/>
  <c r="N263" i="9"/>
  <c r="N272" i="9"/>
  <c r="C184" i="9"/>
  <c r="H87" i="9"/>
  <c r="O42" i="3"/>
  <c r="H159" i="9"/>
  <c r="I191" i="9"/>
  <c r="H220" i="9"/>
  <c r="F164" i="9"/>
  <c r="E62" i="9"/>
  <c r="E191" i="9"/>
  <c r="K75" i="9"/>
  <c r="H119" i="9"/>
  <c r="O275" i="9"/>
  <c r="H148" i="9"/>
  <c r="O46" i="3"/>
  <c r="K123" i="9"/>
  <c r="E142" i="9"/>
  <c r="E200" i="9"/>
  <c r="O60" i="9"/>
  <c r="F117" i="9"/>
  <c r="E109" i="9"/>
  <c r="O231" i="9"/>
  <c r="F149" i="9"/>
  <c r="C260" i="9"/>
  <c r="I26" i="9"/>
  <c r="L149" i="9"/>
  <c r="K146" i="9"/>
  <c r="C39" i="9"/>
  <c r="E260" i="9"/>
  <c r="L152" i="9"/>
  <c r="G57" i="3"/>
  <c r="H28" i="9"/>
  <c r="L277" i="9"/>
  <c r="I50" i="9"/>
  <c r="F108" i="9"/>
  <c r="I231" i="9"/>
  <c r="C27" i="9"/>
  <c r="I40" i="9"/>
  <c r="I108" i="9"/>
  <c r="F276" i="9"/>
  <c r="I82" i="9"/>
  <c r="H73" i="9"/>
  <c r="F179" i="9"/>
  <c r="K143" i="9"/>
  <c r="I252" i="9"/>
  <c r="L125" i="9"/>
  <c r="K159" i="9"/>
  <c r="O79" i="9"/>
  <c r="O112" i="9"/>
  <c r="K38" i="3"/>
  <c r="F105" i="9"/>
  <c r="N235" i="9"/>
  <c r="O203" i="9"/>
  <c r="K65" i="9"/>
  <c r="K186" i="9"/>
  <c r="K215" i="9"/>
  <c r="E226" i="9"/>
  <c r="I78" i="9"/>
  <c r="I47" i="9"/>
  <c r="N75" i="9"/>
  <c r="K236" i="9"/>
  <c r="I75" i="9"/>
  <c r="E275" i="9"/>
  <c r="G67" i="3"/>
  <c r="E186" i="9"/>
  <c r="N109" i="9"/>
  <c r="O265" i="9"/>
  <c r="H99" i="9"/>
  <c r="K227" i="9"/>
  <c r="K83" i="9"/>
  <c r="O87" i="9"/>
  <c r="N280" i="9"/>
  <c r="C253" i="9"/>
  <c r="O138" i="9"/>
  <c r="H161" i="9"/>
  <c r="F115" i="9"/>
  <c r="I84" i="9"/>
  <c r="H195" i="9"/>
  <c r="E120" i="9"/>
  <c r="N62" i="9"/>
  <c r="K184" i="9"/>
  <c r="H182" i="9"/>
  <c r="L164" i="9"/>
  <c r="K219" i="9"/>
  <c r="K73" i="9"/>
  <c r="E164" i="9"/>
  <c r="O232" i="9"/>
  <c r="K63" i="3"/>
  <c r="K87" i="9"/>
  <c r="F124" i="9"/>
  <c r="N152" i="9"/>
  <c r="L165" i="9"/>
  <c r="L188" i="9"/>
  <c r="K239" i="9"/>
  <c r="O196" i="9"/>
  <c r="F63" i="9"/>
  <c r="H230" i="9"/>
  <c r="O261" i="9"/>
  <c r="K233" i="9"/>
  <c r="L65" i="9"/>
  <c r="I178" i="9"/>
  <c r="I41" i="9"/>
  <c r="K70" i="9"/>
  <c r="K14" i="5"/>
  <c r="I80" i="9"/>
  <c r="E197" i="9"/>
  <c r="F104" i="9"/>
  <c r="C241" i="9"/>
  <c r="E265" i="9"/>
  <c r="O257" i="9"/>
  <c r="O150" i="9"/>
  <c r="I155" i="9"/>
  <c r="I217" i="9"/>
  <c r="F200" i="9"/>
  <c r="L216" i="9"/>
  <c r="I110" i="9"/>
  <c r="K140" i="9"/>
  <c r="L261" i="9"/>
  <c r="C99" i="9"/>
  <c r="K278" i="9"/>
  <c r="K16" i="5"/>
  <c r="N68" i="9"/>
  <c r="E71" i="9"/>
  <c r="K71" i="3"/>
  <c r="K45" i="9"/>
  <c r="K50" i="9"/>
  <c r="I214" i="9"/>
  <c r="N43" i="9"/>
  <c r="F85" i="9"/>
  <c r="L46" i="9"/>
  <c r="K179" i="9"/>
  <c r="F68" i="9"/>
  <c r="O267" i="9"/>
  <c r="C274" i="9"/>
  <c r="E85" i="9"/>
  <c r="C259" i="9"/>
  <c r="I219" i="9"/>
  <c r="N120" i="9"/>
  <c r="F155" i="9"/>
  <c r="F156" i="9"/>
  <c r="I181" i="9"/>
  <c r="N84" i="9"/>
  <c r="F252" i="9"/>
  <c r="E99" i="9"/>
  <c r="O44" i="9"/>
  <c r="C257" i="9"/>
  <c r="K100" i="9"/>
  <c r="E23" i="9"/>
  <c r="I227" i="9"/>
  <c r="C219" i="9"/>
  <c r="L143" i="9"/>
  <c r="E213" i="9"/>
  <c r="I198" i="9"/>
  <c r="C189" i="9"/>
  <c r="C159" i="9"/>
  <c r="K106" i="9"/>
  <c r="H213" i="9"/>
  <c r="F268" i="9"/>
  <c r="L253" i="9"/>
  <c r="I188" i="9"/>
  <c r="L163" i="9"/>
  <c r="N41" i="9"/>
  <c r="E48" i="9"/>
  <c r="O74" i="3"/>
  <c r="I241" i="9"/>
  <c r="I235" i="9"/>
  <c r="N193" i="9"/>
  <c r="H142" i="9"/>
  <c r="H68" i="9"/>
  <c r="E252" i="9"/>
  <c r="K20" i="5"/>
  <c r="K13" i="5"/>
  <c r="K17" i="3"/>
  <c r="N125" i="9"/>
  <c r="E70" i="9"/>
  <c r="O218" i="9"/>
  <c r="K50" i="3"/>
  <c r="N236" i="9"/>
  <c r="H49" i="9"/>
  <c r="H116" i="9"/>
  <c r="N270" i="9"/>
  <c r="C154" i="9"/>
  <c r="K88" i="9"/>
  <c r="O44" i="3"/>
  <c r="K44" i="3"/>
  <c r="L83" i="9"/>
  <c r="F231" i="9"/>
  <c r="C231" i="9"/>
  <c r="K185" i="9"/>
  <c r="K157" i="9"/>
  <c r="C84" i="9"/>
  <c r="E166" i="9"/>
  <c r="E147" i="9"/>
  <c r="C256" i="9"/>
  <c r="L234" i="9"/>
  <c r="N98" i="9"/>
  <c r="I112" i="9"/>
  <c r="G47" i="3"/>
  <c r="E278" i="9"/>
  <c r="I213" i="9"/>
  <c r="F159" i="9"/>
  <c r="I85" i="9"/>
  <c r="K115" i="9"/>
  <c r="C127" i="9"/>
  <c r="O241" i="9"/>
  <c r="F227" i="9"/>
  <c r="N213" i="9"/>
  <c r="H194" i="9"/>
  <c r="H177" i="9"/>
  <c r="N25" i="9"/>
  <c r="O204" i="9"/>
  <c r="I79" i="9"/>
  <c r="N90" i="9"/>
  <c r="C149" i="9"/>
  <c r="C227" i="9"/>
  <c r="I51" i="9"/>
  <c r="G68" i="3"/>
  <c r="K163" i="9"/>
  <c r="G37" i="3"/>
  <c r="E149" i="9"/>
  <c r="O115" i="9"/>
  <c r="E136" i="9"/>
  <c r="O219" i="9"/>
  <c r="N212" i="9"/>
  <c r="I218" i="9"/>
  <c r="E225" i="9"/>
  <c r="C103" i="9"/>
  <c r="K45" i="3"/>
  <c r="E65" i="9"/>
  <c r="C185" i="9"/>
  <c r="H153" i="9"/>
  <c r="K201" i="9"/>
  <c r="O176" i="9"/>
  <c r="H32" i="9"/>
  <c r="L252" i="9"/>
  <c r="K84" i="9"/>
  <c r="C107" i="9"/>
  <c r="H102" i="9"/>
  <c r="H88" i="9"/>
  <c r="C225" i="9"/>
  <c r="H145" i="9"/>
  <c r="H137" i="9"/>
  <c r="N78" i="9"/>
  <c r="K22" i="9"/>
  <c r="I187" i="9"/>
  <c r="C254" i="9"/>
  <c r="L262" i="9"/>
  <c r="N178" i="9"/>
  <c r="K151" i="9"/>
  <c r="E155" i="9"/>
  <c r="I104" i="9"/>
  <c r="F236" i="9"/>
  <c r="F120" i="9"/>
  <c r="L183" i="9"/>
  <c r="O39" i="9"/>
  <c r="O52" i="9"/>
  <c r="E188" i="9"/>
  <c r="I77" i="9"/>
  <c r="N87" i="9"/>
  <c r="C217" i="9"/>
  <c r="O183" i="9"/>
  <c r="E257" i="9"/>
  <c r="E193" i="9"/>
  <c r="K8" i="5"/>
  <c r="F147" i="9"/>
  <c r="I117" i="9"/>
  <c r="F275" i="9"/>
  <c r="N30" i="9"/>
  <c r="K37" i="3"/>
  <c r="C81" i="9"/>
  <c r="N105" i="9"/>
  <c r="O238" i="9"/>
  <c r="L181" i="9"/>
  <c r="K35" i="3"/>
  <c r="L141" i="9"/>
  <c r="O184" i="9"/>
  <c r="O214" i="9"/>
  <c r="I143" i="9"/>
  <c r="H199" i="9"/>
  <c r="E24" i="9"/>
  <c r="L98" i="9"/>
  <c r="G40" i="3"/>
  <c r="H225" i="9"/>
  <c r="C223" i="9"/>
  <c r="K23" i="3"/>
  <c r="H78" i="9"/>
  <c r="N118" i="9"/>
  <c r="F229" i="9"/>
  <c r="I194" i="9"/>
  <c r="F196" i="9"/>
  <c r="F254" i="9"/>
  <c r="C238" i="9"/>
  <c r="E204" i="9"/>
  <c r="F22" i="9"/>
  <c r="N219" i="9"/>
  <c r="O33" i="3"/>
  <c r="E203" i="9"/>
  <c r="N229" i="9"/>
  <c r="E140" i="9"/>
  <c r="C179" i="9"/>
  <c r="E189" i="9"/>
  <c r="I166" i="9"/>
  <c r="H166" i="9"/>
  <c r="H187" i="9"/>
  <c r="N142" i="9"/>
  <c r="K178" i="9"/>
  <c r="F255" i="9"/>
  <c r="C136" i="9"/>
  <c r="I86" i="9"/>
  <c r="O202" i="9"/>
  <c r="N230" i="9"/>
  <c r="O242" i="9"/>
  <c r="F182" i="9"/>
  <c r="G59" i="3"/>
  <c r="L178" i="9"/>
  <c r="E218" i="9"/>
  <c r="I138" i="9"/>
  <c r="K280" i="9"/>
  <c r="E111" i="9"/>
  <c r="E102" i="9"/>
  <c r="C198" i="9"/>
  <c r="H186" i="9"/>
  <c r="O154" i="9"/>
  <c r="C145" i="9"/>
  <c r="I280" i="9"/>
  <c r="L60" i="9"/>
  <c r="I269" i="9"/>
  <c r="K193" i="9"/>
  <c r="K60" i="9"/>
  <c r="I140" i="9"/>
  <c r="C157" i="9"/>
  <c r="K158" i="9"/>
  <c r="L101" i="9"/>
  <c r="F260" i="9"/>
  <c r="H180" i="9"/>
  <c r="H121" i="9"/>
  <c r="K31" i="9"/>
  <c r="F24" i="9"/>
  <c r="E126" i="9"/>
  <c r="L215" i="9"/>
  <c r="E190" i="9"/>
  <c r="E239" i="9"/>
  <c r="H36" i="9"/>
  <c r="G60" i="3"/>
  <c r="L61" i="9"/>
  <c r="H66" i="9"/>
  <c r="K268" i="9"/>
  <c r="H202" i="9"/>
  <c r="L222" i="9"/>
  <c r="N39" i="9"/>
  <c r="N195" i="9"/>
  <c r="O98" i="9"/>
  <c r="N33" i="9"/>
  <c r="I23" i="9"/>
  <c r="H226" i="9"/>
  <c r="N27" i="9"/>
  <c r="I22" i="9"/>
  <c r="F44" i="9"/>
  <c r="E146" i="9"/>
  <c r="C150" i="9"/>
  <c r="I250" i="9"/>
  <c r="F177" i="9"/>
  <c r="C194" i="9"/>
  <c r="C47" i="9"/>
  <c r="L250" i="9"/>
  <c r="H216" i="9"/>
  <c r="K79" i="9"/>
  <c r="C44" i="9"/>
  <c r="I215" i="9"/>
  <c r="C213" i="9"/>
  <c r="E128" i="9"/>
  <c r="O40" i="3"/>
  <c r="E233" i="9"/>
  <c r="F160" i="9"/>
  <c r="I64" i="9"/>
  <c r="H218" i="9"/>
  <c r="N262" i="9"/>
  <c r="I277" i="9"/>
  <c r="N222" i="9"/>
  <c r="C69" i="9"/>
  <c r="L116" i="9"/>
  <c r="O212" i="9"/>
  <c r="H26" i="9"/>
  <c r="H185" i="9"/>
  <c r="E69" i="9"/>
  <c r="K67" i="3"/>
  <c r="O121" i="9"/>
  <c r="C177" i="9"/>
  <c r="N271" i="9"/>
  <c r="O174" i="9"/>
  <c r="N277" i="9"/>
  <c r="O72" i="3"/>
  <c r="F269" i="9"/>
  <c r="C152" i="9"/>
  <c r="O234" i="9"/>
  <c r="O188" i="9"/>
  <c r="L99" i="9"/>
  <c r="I29" i="9"/>
  <c r="N69" i="9"/>
  <c r="E144" i="9"/>
  <c r="E29" i="9"/>
  <c r="N258" i="9"/>
  <c r="K103" i="9"/>
  <c r="F233" i="9"/>
  <c r="O34" i="3"/>
  <c r="H155" i="9"/>
  <c r="I157" i="9"/>
  <c r="L22" i="9"/>
  <c r="O264" i="9"/>
  <c r="E115" i="9"/>
  <c r="L251" i="9"/>
  <c r="C188" i="9"/>
  <c r="O36" i="9"/>
  <c r="G49" i="3"/>
  <c r="I128" i="9"/>
  <c r="I189" i="9"/>
  <c r="C37" i="9"/>
  <c r="L229" i="9"/>
  <c r="E266" i="9"/>
  <c r="C113" i="9"/>
  <c r="N174" i="9"/>
  <c r="C52" i="9"/>
  <c r="I232" i="9"/>
  <c r="H203" i="9"/>
  <c r="N202" i="9"/>
  <c r="N201" i="9"/>
  <c r="E46" i="9"/>
  <c r="K41" i="9"/>
  <c r="C164" i="9"/>
  <c r="C124" i="9"/>
  <c r="I31" i="9"/>
  <c r="H269" i="9"/>
  <c r="F64" i="9"/>
  <c r="I265" i="9"/>
  <c r="F186" i="9"/>
  <c r="E264" i="9"/>
  <c r="F25" i="9"/>
  <c r="O280" i="9"/>
  <c r="I256" i="9"/>
  <c r="O164" i="9"/>
  <c r="C141" i="9"/>
  <c r="K147" i="9"/>
  <c r="E100" i="9"/>
  <c r="F78" i="9"/>
  <c r="O26" i="9"/>
  <c r="C102" i="9"/>
  <c r="I177" i="9"/>
  <c r="F111" i="9"/>
  <c r="F49" i="9"/>
  <c r="K27" i="9"/>
  <c r="E42" i="9"/>
  <c r="N267" i="9"/>
  <c r="K216" i="9"/>
  <c r="O235" i="9"/>
  <c r="F223" i="9"/>
  <c r="N187" i="9"/>
  <c r="F113" i="9"/>
  <c r="H109" i="9"/>
  <c r="N108" i="9"/>
  <c r="K11" i="3"/>
  <c r="C234" i="9"/>
  <c r="K275" i="9"/>
  <c r="H65" i="9"/>
  <c r="E232" i="9"/>
  <c r="K144" i="9"/>
  <c r="H256" i="9"/>
  <c r="C100" i="9"/>
  <c r="I88" i="9"/>
  <c r="F193" i="9"/>
  <c r="O181" i="9"/>
  <c r="O40" i="9"/>
  <c r="F277" i="9"/>
  <c r="K64" i="3"/>
  <c r="C86" i="9"/>
  <c r="E150" i="9"/>
  <c r="K17" i="5"/>
  <c r="I201" i="9"/>
  <c r="I66" i="9"/>
  <c r="F212" i="9"/>
  <c r="F46" i="9"/>
  <c r="C51" i="9"/>
  <c r="L158" i="9"/>
  <c r="N83" i="9"/>
  <c r="L202" i="9"/>
  <c r="E84" i="9"/>
  <c r="L270" i="9"/>
  <c r="I185" i="9"/>
  <c r="N203" i="9"/>
  <c r="N160" i="9"/>
  <c r="I111" i="9"/>
  <c r="F23" i="9"/>
  <c r="O155" i="9"/>
  <c r="C101" i="9"/>
  <c r="I158" i="9"/>
  <c r="H163" i="9"/>
  <c r="N200" i="9"/>
  <c r="F42" i="9"/>
  <c r="C38" i="9"/>
  <c r="H222" i="9"/>
  <c r="C128" i="9"/>
  <c r="G31" i="3"/>
  <c r="O49" i="9"/>
  <c r="C252" i="9"/>
  <c r="L110" i="9"/>
  <c r="K117" i="9"/>
  <c r="E222" i="9"/>
  <c r="K35" i="9"/>
  <c r="H275" i="9"/>
  <c r="K22" i="5"/>
  <c r="C186" i="9"/>
  <c r="H200" i="9"/>
  <c r="H89" i="9"/>
  <c r="E153" i="9"/>
  <c r="C156" i="9"/>
  <c r="C267" i="9"/>
  <c r="H108" i="9"/>
  <c r="C125" i="9"/>
  <c r="K32" i="9"/>
  <c r="H265" i="9"/>
  <c r="I61" i="9"/>
  <c r="E229" i="9"/>
  <c r="N241" i="9"/>
  <c r="C178" i="9"/>
  <c r="L197" i="9"/>
  <c r="E220" i="9"/>
  <c r="E41" i="9"/>
  <c r="O124" i="9"/>
  <c r="N23" i="9"/>
  <c r="G39" i="3"/>
  <c r="L231" i="9"/>
  <c r="O162" i="9"/>
  <c r="K15" i="3"/>
  <c r="G61" i="3"/>
  <c r="L25" i="9"/>
  <c r="F221" i="9"/>
  <c r="C240" i="9"/>
  <c r="K43" i="9"/>
  <c r="H184" i="9"/>
  <c r="O82" i="9"/>
  <c r="I121" i="9"/>
  <c r="K105" i="9"/>
  <c r="L233" i="9"/>
  <c r="I62" i="9"/>
  <c r="K272" i="9"/>
  <c r="O59" i="3"/>
  <c r="L179" i="9"/>
  <c r="O179" i="9"/>
  <c r="H51" i="9"/>
  <c r="O222" i="9"/>
  <c r="O146" i="9"/>
  <c r="O274" i="9"/>
  <c r="F278" i="9"/>
  <c r="E36" i="9"/>
  <c r="K6" i="3"/>
  <c r="L154" i="9"/>
  <c r="N101" i="9"/>
  <c r="I101" i="9"/>
  <c r="K33" i="9"/>
  <c r="E255" i="9"/>
  <c r="H175" i="9"/>
  <c r="F79" i="9"/>
  <c r="C122" i="9"/>
  <c r="K42" i="3"/>
  <c r="F239" i="9"/>
  <c r="C41" i="9"/>
  <c r="L182" i="9"/>
  <c r="I120" i="9"/>
  <c r="C143" i="9"/>
  <c r="K232" i="9"/>
  <c r="L32" i="9"/>
  <c r="O42" i="9"/>
  <c r="G41" i="3"/>
  <c r="N141" i="9"/>
  <c r="E227" i="9"/>
  <c r="N117" i="9"/>
  <c r="H110" i="9"/>
  <c r="H50" i="9"/>
  <c r="C105" i="9"/>
  <c r="N199" i="9"/>
  <c r="E81" i="9"/>
  <c r="H124" i="9"/>
  <c r="C66" i="9"/>
  <c r="K183" i="9"/>
  <c r="H144" i="9"/>
  <c r="C117" i="9"/>
  <c r="K62" i="9"/>
  <c r="F181" i="9"/>
  <c r="L201" i="9"/>
  <c r="O73" i="9"/>
  <c r="O251" i="9"/>
  <c r="O110" i="9"/>
  <c r="C98" i="9"/>
  <c r="C204" i="9"/>
  <c r="H85" i="9"/>
  <c r="K104" i="9"/>
  <c r="K65" i="3"/>
  <c r="O57" i="3"/>
  <c r="O194" i="9"/>
  <c r="K21" i="5"/>
  <c r="I98" i="9"/>
  <c r="O126" i="9"/>
  <c r="O104" i="9"/>
  <c r="O270" i="9"/>
  <c r="L268" i="9"/>
  <c r="O76" i="9"/>
  <c r="O160" i="9"/>
  <c r="K64" i="9"/>
  <c r="F67" i="9"/>
  <c r="E219" i="9"/>
  <c r="O163" i="9"/>
  <c r="K267" i="9"/>
  <c r="C226" i="9"/>
  <c r="H197" i="9"/>
  <c r="O147" i="9"/>
  <c r="E223" i="9"/>
  <c r="L239" i="9"/>
  <c r="F272" i="9"/>
  <c r="H48" i="9"/>
  <c r="F194" i="9"/>
  <c r="L204" i="9"/>
  <c r="I242" i="9"/>
  <c r="E230" i="9"/>
  <c r="H241" i="9"/>
  <c r="I109" i="9"/>
  <c r="O116" i="9"/>
  <c r="O157" i="9"/>
  <c r="F101" i="9"/>
  <c r="I136" i="9"/>
  <c r="K279" i="9"/>
  <c r="L254" i="9"/>
  <c r="F140" i="9"/>
  <c r="L241" i="9"/>
  <c r="H227" i="9"/>
  <c r="H214" i="9"/>
  <c r="N111" i="9"/>
  <c r="K196" i="9"/>
  <c r="L66" i="9"/>
  <c r="G62" i="3"/>
  <c r="K187" i="9"/>
  <c r="N44" i="9"/>
  <c r="C115" i="9"/>
  <c r="L218" i="9"/>
  <c r="C263" i="9"/>
  <c r="I137" i="9"/>
  <c r="L145" i="9"/>
  <c r="I233" i="9"/>
  <c r="C106" i="9"/>
  <c r="N72" i="9"/>
  <c r="H113" i="9"/>
  <c r="O197" i="9"/>
  <c r="O38" i="3"/>
  <c r="O269" i="9"/>
  <c r="I118" i="9"/>
  <c r="H67" i="9"/>
  <c r="H156" i="9"/>
  <c r="O63" i="3"/>
  <c r="E101" i="9"/>
  <c r="C87" i="9"/>
  <c r="C264" i="9"/>
  <c r="E162" i="9"/>
  <c r="K150" i="9"/>
  <c r="I186" i="9"/>
  <c r="O159" i="9"/>
  <c r="F70" i="9"/>
  <c r="E242" i="9"/>
  <c r="K156" i="9"/>
  <c r="E276" i="9"/>
  <c r="I87" i="9"/>
  <c r="H240" i="9"/>
  <c r="F34" i="9"/>
  <c r="F146" i="9"/>
  <c r="K262" i="9"/>
  <c r="I69" i="9"/>
  <c r="L120" i="9"/>
  <c r="N266" i="9"/>
  <c r="C250" i="9"/>
  <c r="O200" i="9"/>
  <c r="C72" i="9"/>
  <c r="C176" i="9"/>
  <c r="F222" i="9"/>
  <c r="N189" i="9"/>
  <c r="I76" i="9"/>
  <c r="O151" i="9"/>
  <c r="L123" i="9"/>
  <c r="E196" i="9"/>
  <c r="E112" i="9"/>
  <c r="F125" i="9"/>
  <c r="L28" i="9"/>
  <c r="F77" i="9"/>
  <c r="L225" i="9"/>
  <c r="L77" i="9"/>
  <c r="I115" i="9"/>
  <c r="F213" i="9"/>
  <c r="E228" i="9"/>
  <c r="K24" i="5"/>
  <c r="L26" i="9"/>
  <c r="K68" i="3"/>
  <c r="L30" i="9"/>
  <c r="K18" i="5"/>
  <c r="C224" i="9"/>
  <c r="C215" i="9"/>
  <c r="N29" i="9"/>
  <c r="N259" i="9"/>
  <c r="K221" i="9"/>
  <c r="O120" i="9"/>
  <c r="I44" i="9"/>
  <c r="H212" i="9"/>
  <c r="F266" i="9"/>
  <c r="K72" i="9"/>
  <c r="K154" i="9"/>
  <c r="I107" i="9"/>
  <c r="K119" i="9"/>
  <c r="K23" i="5"/>
  <c r="K240" i="9"/>
  <c r="F219" i="9"/>
  <c r="N40" i="9"/>
  <c r="N265" i="9"/>
  <c r="F235" i="9"/>
  <c r="K127" i="9"/>
  <c r="C201" i="9"/>
  <c r="L199" i="9"/>
  <c r="H103" i="9"/>
  <c r="H255" i="9"/>
  <c r="I63" i="9"/>
  <c r="N224" i="9"/>
  <c r="O217" i="9"/>
  <c r="H260" i="9"/>
  <c r="L136" i="9"/>
  <c r="K188" i="9"/>
  <c r="F107" i="9"/>
  <c r="I192" i="9"/>
  <c r="F199" i="9"/>
  <c r="F33" i="9"/>
  <c r="I154" i="9"/>
  <c r="F228" i="9"/>
  <c r="K7" i="5"/>
  <c r="C202" i="9"/>
  <c r="C230" i="9"/>
  <c r="C110" i="9"/>
  <c r="N162" i="9"/>
  <c r="I190" i="9"/>
  <c r="O187" i="9"/>
  <c r="N226" i="9"/>
  <c r="K58" i="3"/>
  <c r="K12" i="5"/>
  <c r="I25" i="9"/>
  <c r="K12" i="3"/>
  <c r="N128" i="9"/>
  <c r="K10" i="5"/>
  <c r="O190" i="9"/>
  <c r="E256" i="9"/>
  <c r="F165" i="9"/>
  <c r="O148" i="9"/>
  <c r="O273" i="9"/>
  <c r="F270" i="9"/>
  <c r="H42" i="9"/>
  <c r="F258" i="9"/>
  <c r="C104" i="9"/>
  <c r="K8" i="3"/>
  <c r="F65" i="9"/>
  <c r="K44" i="9"/>
  <c r="H47" i="9"/>
  <c r="I261" i="9"/>
  <c r="K190" i="9"/>
  <c r="N80" i="9"/>
  <c r="O84" i="9"/>
  <c r="F148" i="9"/>
  <c r="F259" i="9"/>
  <c r="L153" i="9"/>
  <c r="C278" i="9"/>
  <c r="H272" i="9"/>
  <c r="E103" i="9"/>
  <c r="E80" i="9"/>
  <c r="F251" i="9"/>
  <c r="F234" i="9"/>
  <c r="F123" i="9"/>
  <c r="O83" i="9"/>
  <c r="H204" i="9"/>
  <c r="N110" i="9"/>
  <c r="F262" i="9"/>
  <c r="F60" i="9"/>
  <c r="L227" i="9"/>
  <c r="K101" i="9"/>
  <c r="E143" i="9"/>
  <c r="I106" i="9"/>
  <c r="L51" i="9"/>
  <c r="E83" i="9"/>
  <c r="L142" i="9"/>
  <c r="I279" i="9"/>
  <c r="H158" i="9"/>
  <c r="F256" i="9"/>
  <c r="K108" i="9"/>
  <c r="K256" i="9"/>
  <c r="F48" i="9"/>
  <c r="C192" i="9"/>
  <c r="F45" i="9"/>
  <c r="L34" i="9"/>
  <c r="L240" i="9"/>
  <c r="I240" i="9"/>
  <c r="C60" i="9"/>
  <c r="H125" i="9"/>
  <c r="F75" i="9"/>
  <c r="N113" i="9"/>
  <c r="N157" i="9"/>
  <c r="C45" i="9"/>
  <c r="E79" i="9"/>
  <c r="K98" i="9"/>
  <c r="F191" i="9"/>
  <c r="K222" i="9"/>
  <c r="F141" i="9"/>
  <c r="I100" i="9"/>
  <c r="N122" i="9"/>
  <c r="C49" i="9"/>
  <c r="C119" i="9"/>
  <c r="I161" i="9"/>
  <c r="L226" i="9"/>
  <c r="C123" i="9"/>
  <c r="F217" i="9"/>
  <c r="E72" i="9"/>
  <c r="L230" i="9"/>
  <c r="K120" i="9"/>
  <c r="O216" i="9"/>
  <c r="N177" i="9"/>
  <c r="O30" i="9"/>
  <c r="L193" i="9"/>
  <c r="F136" i="9"/>
  <c r="O149" i="9"/>
  <c r="L81" i="9"/>
  <c r="C216" i="9"/>
  <c r="O156" i="9"/>
  <c r="E272" i="9"/>
  <c r="H139" i="9"/>
  <c r="L265" i="9"/>
  <c r="F190" i="9"/>
  <c r="I114" i="9"/>
  <c r="N106" i="9"/>
  <c r="K203" i="9"/>
  <c r="O43" i="3"/>
  <c r="O45" i="9"/>
  <c r="I68" i="9"/>
  <c r="L78" i="9"/>
  <c r="K265" i="9"/>
  <c r="L124" i="9"/>
  <c r="L166" i="9"/>
  <c r="H217" i="9"/>
  <c r="E176" i="9"/>
  <c r="H196" i="9"/>
  <c r="L38" i="9"/>
  <c r="E104" i="9"/>
  <c r="E123" i="9"/>
  <c r="I160" i="9"/>
  <c r="K47" i="9"/>
  <c r="H273" i="9"/>
  <c r="C62" i="9"/>
  <c r="E175" i="9"/>
  <c r="F242" i="9"/>
  <c r="H250" i="9"/>
  <c r="F30" i="9"/>
  <c r="O137" i="9"/>
  <c r="I139" i="9"/>
  <c r="K251" i="9"/>
  <c r="C277" i="9"/>
  <c r="O226" i="9"/>
  <c r="F189" i="9"/>
  <c r="E179" i="9"/>
  <c r="N216" i="9"/>
  <c r="K51" i="9"/>
  <c r="I234" i="9"/>
  <c r="O123" i="9"/>
  <c r="K32" i="3"/>
  <c r="O201" i="9"/>
  <c r="I30" i="9"/>
  <c r="N145" i="9"/>
  <c r="E51" i="9"/>
  <c r="K11" i="5"/>
  <c r="F216" i="9"/>
  <c r="O165" i="9"/>
  <c r="N151" i="9"/>
  <c r="H81" i="9"/>
  <c r="H27" i="9"/>
  <c r="L175" i="9"/>
  <c r="C118" i="9"/>
  <c r="K136" i="9"/>
  <c r="L259" i="9"/>
  <c r="N32" i="9"/>
  <c r="O45" i="3"/>
  <c r="K86" i="9"/>
  <c r="O118" i="9"/>
  <c r="N227" i="9"/>
  <c r="N37" i="9"/>
  <c r="E238" i="9"/>
  <c r="E177" i="9"/>
  <c r="K9" i="3"/>
  <c r="K76" i="9"/>
  <c r="N255" i="9"/>
  <c r="O153" i="9"/>
  <c r="K254" i="9"/>
  <c r="C163" i="9"/>
  <c r="I238" i="9"/>
  <c r="K274" i="9"/>
  <c r="N146" i="9"/>
  <c r="K78" i="9"/>
  <c r="L23" i="9"/>
  <c r="K218" i="9"/>
  <c r="H268" i="9"/>
  <c r="K31" i="3"/>
  <c r="L50" i="9"/>
  <c r="E25" i="9"/>
  <c r="I60" i="9"/>
  <c r="I202" i="9"/>
  <c r="C255" i="9"/>
  <c r="K39" i="9"/>
  <c r="N76" i="9"/>
  <c r="N232" i="9"/>
  <c r="I81" i="9"/>
  <c r="E165" i="9"/>
  <c r="N89" i="9"/>
  <c r="K36" i="3"/>
  <c r="F184" i="9"/>
  <c r="K270" i="9"/>
  <c r="I28" i="9"/>
  <c r="N184" i="9"/>
  <c r="C162" i="9"/>
  <c r="C237" i="9"/>
  <c r="G35" i="3"/>
  <c r="K56" i="3"/>
  <c r="F166" i="9"/>
  <c r="G74" i="3"/>
  <c r="O86" i="9"/>
  <c r="K165" i="9"/>
  <c r="O223" i="9"/>
  <c r="N121" i="9"/>
  <c r="N176" i="9"/>
  <c r="O263" i="9"/>
  <c r="N183" i="9"/>
  <c r="K26" i="9"/>
  <c r="E215" i="9"/>
  <c r="K223" i="9"/>
  <c r="L70" i="9"/>
  <c r="K230" i="9"/>
  <c r="C280" i="9"/>
  <c r="K113" i="9"/>
  <c r="C262" i="9"/>
  <c r="O272" i="9"/>
  <c r="E268" i="9"/>
  <c r="E160" i="9"/>
  <c r="E224" i="9"/>
  <c r="K234" i="9"/>
  <c r="K109" i="9"/>
  <c r="K18" i="3"/>
  <c r="H181" i="9"/>
  <c r="C155" i="9"/>
  <c r="O213" i="9"/>
  <c r="E277" i="9"/>
  <c r="F82" i="9"/>
  <c r="K161" i="9"/>
  <c r="O31" i="3"/>
  <c r="K22" i="3"/>
  <c r="F89" i="9"/>
  <c r="N186" i="9"/>
  <c r="I165" i="9"/>
  <c r="L180" i="9"/>
  <c r="K19" i="3"/>
  <c r="H52" i="9"/>
  <c r="C33" i="9"/>
  <c r="F119" i="9"/>
  <c r="K237" i="9"/>
  <c r="F99" i="9"/>
  <c r="N261" i="9"/>
  <c r="I33" i="9"/>
  <c r="L63" i="9"/>
  <c r="F154" i="9"/>
  <c r="K202" i="9"/>
  <c r="H72" i="9"/>
  <c r="C22" i="9"/>
  <c r="H253" i="9"/>
  <c r="C88" i="9"/>
  <c r="I278" i="9"/>
  <c r="G50" i="3"/>
  <c r="F51" i="9"/>
  <c r="I72" i="9"/>
  <c r="O34" i="9"/>
  <c r="K73" i="3"/>
  <c r="I220" i="9"/>
  <c r="H46" i="9"/>
  <c r="E279" i="9"/>
  <c r="H257" i="9"/>
  <c r="E192" i="9"/>
  <c r="F43" i="9"/>
  <c r="I184" i="9"/>
  <c r="C261" i="9"/>
  <c r="K34" i="9"/>
  <c r="G64" i="3"/>
  <c r="K85" i="9"/>
  <c r="I102" i="9"/>
  <c r="E258" i="9"/>
  <c r="H76" i="9"/>
  <c r="L190" i="9"/>
  <c r="F161" i="9"/>
  <c r="E35" i="9"/>
  <c r="O56" i="3"/>
  <c r="H192" i="9"/>
  <c r="L198" i="9"/>
  <c r="H86" i="9"/>
  <c r="O47" i="9"/>
  <c r="O32" i="3"/>
  <c r="N28" i="9"/>
  <c r="F225" i="9"/>
  <c r="I156" i="9"/>
  <c r="N197" i="9"/>
  <c r="I257" i="9"/>
  <c r="E78" i="9"/>
  <c r="E60" i="9"/>
  <c r="K90" i="9"/>
  <c r="K80" i="9"/>
  <c r="C190" i="9"/>
  <c r="H141" i="9"/>
  <c r="N50" i="9"/>
  <c r="L33" i="9"/>
  <c r="O24" i="9"/>
  <c r="I45" i="9"/>
  <c r="C148" i="9"/>
  <c r="H79" i="9"/>
  <c r="H232" i="9"/>
  <c r="L62" i="9"/>
  <c r="E221" i="9"/>
  <c r="H251" i="9"/>
  <c r="H233" i="9"/>
  <c r="F88" i="9"/>
  <c r="O192" i="9"/>
  <c r="L121" i="9"/>
  <c r="F52" i="9"/>
  <c r="F175" i="9"/>
  <c r="F31" i="9"/>
  <c r="K49" i="3"/>
  <c r="L138" i="9"/>
  <c r="F240" i="9"/>
  <c r="H254" i="9"/>
  <c r="N71" i="9"/>
  <c r="O114" i="9"/>
  <c r="K25" i="5"/>
  <c r="F72" i="9"/>
  <c r="N275" i="9"/>
  <c r="E139" i="9"/>
  <c r="I226" i="9"/>
  <c r="H33" i="9"/>
  <c r="I90" i="9"/>
  <c r="N149" i="9"/>
  <c r="L43" i="9"/>
  <c r="O72" i="9"/>
  <c r="E195" i="9"/>
  <c r="I225" i="9"/>
  <c r="F178" i="9"/>
  <c r="C137" i="9"/>
  <c r="H45" i="9"/>
  <c r="O119" i="9"/>
  <c r="C236" i="9"/>
  <c r="L24" i="9"/>
  <c r="K194" i="9"/>
  <c r="H77" i="9"/>
  <c r="K23" i="9"/>
  <c r="G63" i="3"/>
  <c r="N215" i="9"/>
  <c r="L155" i="9"/>
  <c r="K204" i="9"/>
  <c r="H154" i="9"/>
  <c r="N260" i="9"/>
  <c r="K258" i="9"/>
  <c r="C116" i="9"/>
  <c r="K228" i="9"/>
  <c r="E68" i="9"/>
  <c r="N64" i="9"/>
  <c r="K214" i="9"/>
  <c r="H123" i="9"/>
  <c r="L266" i="9"/>
  <c r="O67" i="3"/>
  <c r="K260" i="9"/>
  <c r="H191" i="9"/>
  <c r="E234" i="9"/>
  <c r="N274" i="9"/>
  <c r="L255" i="9"/>
  <c r="E261" i="9"/>
  <c r="E138" i="9"/>
  <c r="H264" i="9"/>
  <c r="O215" i="9"/>
  <c r="H111" i="9"/>
  <c r="C48" i="9"/>
  <c r="F128" i="9"/>
  <c r="O180" i="9"/>
  <c r="I274" i="9"/>
  <c r="H136" i="9"/>
  <c r="N238" i="9"/>
  <c r="K49" i="9"/>
  <c r="I197" i="9"/>
  <c r="C140" i="9"/>
  <c r="F232" i="9"/>
  <c r="C82" i="9"/>
  <c r="C180" i="9"/>
  <c r="O279" i="9"/>
  <c r="K269" i="9"/>
  <c r="H193" i="9"/>
  <c r="L257" i="9"/>
  <c r="K257" i="9"/>
  <c r="C142" i="9"/>
  <c r="H138" i="9"/>
  <c r="K6" i="5"/>
  <c r="E254" i="9"/>
  <c r="O35" i="3"/>
  <c r="C63" i="9"/>
  <c r="I125" i="9"/>
  <c r="E26" i="9"/>
  <c r="O64" i="9"/>
  <c r="H238" i="9"/>
  <c r="C235" i="9"/>
  <c r="N158" i="9"/>
  <c r="N148" i="9"/>
  <c r="H69" i="9"/>
  <c r="K138" i="9"/>
  <c r="H164" i="9"/>
  <c r="C139" i="9"/>
  <c r="C31" i="9"/>
  <c r="L273" i="9"/>
  <c r="H146" i="9"/>
  <c r="L269" i="9"/>
  <c r="K63" i="9"/>
  <c r="F163" i="9"/>
  <c r="F100" i="9"/>
  <c r="F74" i="9"/>
  <c r="K177" i="9"/>
  <c r="F62" i="9"/>
  <c r="O67" i="9"/>
  <c r="F26" i="9"/>
  <c r="I273" i="9"/>
  <c r="E90" i="9"/>
  <c r="K7" i="3"/>
  <c r="O80" i="9"/>
  <c r="F90" i="9"/>
  <c r="E116" i="9"/>
  <c r="I124" i="9"/>
  <c r="H80" i="9"/>
  <c r="C85" i="9"/>
  <c r="H62" i="9"/>
  <c r="F203" i="9"/>
  <c r="O198" i="9"/>
  <c r="L276" i="9"/>
  <c r="H174" i="9"/>
  <c r="K15" i="5"/>
  <c r="O128" i="9"/>
  <c r="K24" i="3"/>
  <c r="H44" i="9"/>
  <c r="C276" i="9"/>
  <c r="K145" i="9"/>
  <c r="H122" i="9"/>
  <c r="O39" i="3"/>
  <c r="K19" i="5"/>
  <c r="K52" i="9"/>
  <c r="L176" i="9"/>
  <c r="I253" i="9"/>
  <c r="K107" i="9"/>
  <c r="I212" i="9"/>
  <c r="H22" i="9"/>
  <c r="I24" i="9"/>
  <c r="E273" i="9"/>
  <c r="E45" i="9"/>
  <c r="H223" i="9"/>
  <c r="O161" i="9"/>
  <c r="N67" i="9"/>
  <c r="H179" i="9"/>
  <c r="I103" i="9"/>
  <c r="C151" i="9"/>
  <c r="I267" i="9"/>
  <c r="I180" i="9"/>
  <c r="N242" i="9"/>
  <c r="E47" i="9"/>
  <c r="F218" i="9"/>
  <c r="C212" i="9"/>
  <c r="K180" i="9"/>
  <c r="K162" i="9"/>
  <c r="I228" i="9"/>
  <c r="C121" i="9"/>
  <c r="O255" i="9"/>
  <c r="L189" i="9"/>
  <c r="H112" i="9"/>
  <c r="O28" i="9"/>
  <c r="O49" i="3"/>
  <c r="C181" i="9"/>
  <c r="E108" i="9"/>
  <c r="E89" i="9"/>
  <c r="O240" i="9"/>
  <c r="N127" i="9"/>
  <c r="C80" i="9"/>
  <c r="E216" i="9"/>
  <c r="N279" i="9"/>
  <c r="H83" i="9"/>
  <c r="E107" i="9"/>
  <c r="C70" i="9"/>
  <c r="K141" i="9"/>
  <c r="H127" i="9"/>
  <c r="H176" i="9"/>
  <c r="C279" i="9"/>
  <c r="N154" i="9"/>
  <c r="E121" i="9"/>
  <c r="L72" i="9"/>
  <c r="L191" i="9"/>
  <c r="K152" i="9"/>
  <c r="I271" i="9"/>
  <c r="K16" i="3"/>
  <c r="E37" i="9"/>
  <c r="O106" i="9"/>
  <c r="O51" i="9"/>
  <c r="N214" i="9"/>
  <c r="O125" i="9"/>
  <c r="F180" i="9"/>
  <c r="N190" i="9"/>
  <c r="K67" i="9"/>
  <c r="N204" i="9"/>
  <c r="N66" i="9"/>
  <c r="N81" i="9"/>
  <c r="K128" i="9"/>
  <c r="N231" i="9"/>
  <c r="I148" i="9"/>
  <c r="E67" i="9"/>
  <c r="O113" i="9"/>
  <c r="C160" i="9"/>
  <c r="F29" i="9"/>
  <c r="L264" i="9"/>
  <c r="N198" i="9"/>
  <c r="E98" i="9"/>
  <c r="K153" i="9"/>
  <c r="H151" i="9"/>
  <c r="O236" i="9"/>
  <c r="H31" i="9"/>
  <c r="K200" i="9"/>
  <c r="H40" i="9"/>
  <c r="F280" i="9"/>
  <c r="E77" i="9"/>
  <c r="F47" i="9"/>
  <c r="G43" i="3"/>
  <c r="I260" i="9"/>
  <c r="I174" i="9"/>
  <c r="N86" i="9"/>
  <c r="N48" i="9"/>
  <c r="L195" i="9"/>
  <c r="H34" i="9"/>
  <c r="C40" i="9"/>
  <c r="L192" i="9"/>
  <c r="K137" i="9"/>
  <c r="O252" i="9"/>
  <c r="N36" i="9"/>
  <c r="N102" i="9"/>
  <c r="K10" i="3"/>
  <c r="O81" i="9"/>
  <c r="L157" i="9"/>
  <c r="E38" i="9"/>
  <c r="K192" i="9"/>
  <c r="I27" i="9"/>
  <c r="L111" i="9"/>
  <c r="I89" i="9"/>
  <c r="N220" i="9"/>
  <c r="E64" i="9"/>
  <c r="N147" i="9"/>
  <c r="L186" i="9"/>
  <c r="E76" i="9"/>
  <c r="E161" i="9"/>
  <c r="K13" i="3"/>
  <c r="F265" i="9"/>
  <c r="F118" i="9"/>
  <c r="I146" i="9"/>
  <c r="H43" i="9"/>
  <c r="I199" i="9"/>
  <c r="L156" i="9"/>
  <c r="C144" i="9"/>
  <c r="I204" i="9"/>
  <c r="L82" i="9"/>
  <c r="L256" i="9"/>
  <c r="C71" i="9"/>
  <c r="E75" i="9"/>
  <c r="L279" i="9"/>
  <c r="H29" i="9"/>
  <c r="N153" i="9"/>
  <c r="I264" i="9"/>
  <c r="N196" i="9"/>
  <c r="L148" i="9"/>
  <c r="K99" i="9"/>
  <c r="F110" i="9"/>
  <c r="O69" i="3"/>
  <c r="F185" i="9"/>
  <c r="H261" i="9"/>
  <c r="L122" i="9"/>
  <c r="K41" i="3"/>
  <c r="O22" i="9"/>
  <c r="N143" i="9"/>
  <c r="O266" i="9"/>
  <c r="F198" i="9"/>
  <c r="F114" i="9"/>
  <c r="I195" i="9"/>
  <c r="K217" i="9"/>
  <c r="L272" i="9"/>
  <c r="K82" i="9"/>
  <c r="E30" i="9"/>
  <c r="L128" i="9"/>
  <c r="H30" i="9"/>
  <c r="F188" i="9"/>
  <c r="H162" i="9"/>
  <c r="L69" i="9"/>
  <c r="N234" i="9"/>
  <c r="L144" i="9"/>
  <c r="F215" i="9"/>
  <c r="E118" i="9"/>
  <c r="L40" i="9"/>
  <c r="L79" i="9"/>
  <c r="N180" i="9"/>
  <c r="N252" i="9"/>
  <c r="N185" i="9"/>
  <c r="K271" i="9"/>
  <c r="O278" i="9"/>
  <c r="F174" i="9"/>
  <c r="N47" i="9"/>
  <c r="L29" i="9"/>
  <c r="C26" i="9"/>
  <c r="C266" i="9"/>
  <c r="C199" i="9"/>
  <c r="N46" i="9"/>
  <c r="L242" i="9"/>
  <c r="F37" i="9"/>
  <c r="I119" i="9"/>
  <c r="F87" i="9"/>
  <c r="H152" i="9"/>
  <c r="O259" i="9"/>
  <c r="L219" i="9"/>
  <c r="K61" i="3"/>
  <c r="F112" i="9"/>
  <c r="F71" i="9"/>
  <c r="O122" i="9"/>
  <c r="N223" i="9"/>
  <c r="O189" i="9"/>
  <c r="L238" i="9"/>
  <c r="F197" i="9"/>
  <c r="K139" i="9"/>
  <c r="E44" i="9"/>
  <c r="E88" i="9"/>
  <c r="N60" i="9"/>
  <c r="K72" i="3"/>
  <c r="N161" i="9"/>
  <c r="O225" i="9"/>
  <c r="N112" i="9"/>
  <c r="C258" i="9"/>
  <c r="O61" i="3"/>
  <c r="I276" i="9"/>
  <c r="E214" i="9"/>
  <c r="N22" i="9"/>
  <c r="L42" i="9"/>
  <c r="C239" i="9"/>
  <c r="C75" i="9"/>
  <c r="O60" i="3"/>
  <c r="C67" i="9"/>
  <c r="C73" i="9"/>
  <c r="H183" i="9"/>
  <c r="E253" i="9"/>
  <c r="C65" i="9"/>
  <c r="N239" i="9"/>
  <c r="I151" i="9"/>
  <c r="I70" i="9"/>
  <c r="K42" i="9"/>
  <c r="L280" i="9"/>
  <c r="C83" i="9"/>
  <c r="F66" i="9"/>
  <c r="O75" i="3"/>
  <c r="C23" i="9"/>
  <c r="F69" i="9"/>
  <c r="G75" i="3"/>
  <c r="C25" i="9"/>
  <c r="K263" i="9"/>
  <c r="C108" i="9"/>
  <c r="G33" i="3"/>
  <c r="N150" i="9"/>
  <c r="N192" i="9"/>
  <c r="F73" i="9"/>
  <c r="N140" i="9"/>
  <c r="E152" i="9"/>
  <c r="E110" i="9"/>
  <c r="E105" i="9"/>
  <c r="G69" i="3"/>
  <c r="O66" i="9"/>
  <c r="I193" i="9"/>
  <c r="I113" i="9"/>
  <c r="K112" i="9"/>
  <c r="O220" i="9"/>
  <c r="C36" i="9"/>
  <c r="N124" i="9"/>
  <c r="F176" i="9"/>
  <c r="C269" i="9"/>
  <c r="N52" i="9"/>
  <c r="H100" i="9"/>
  <c r="K126" i="9"/>
  <c r="E259" i="9"/>
  <c r="N63" i="9"/>
  <c r="K213" i="9"/>
  <c r="K224" i="9"/>
  <c r="F102" i="9"/>
  <c r="I179" i="9"/>
  <c r="K189" i="9"/>
  <c r="N221" i="9"/>
  <c r="I127" i="9"/>
  <c r="I153" i="9"/>
  <c r="O74" i="9"/>
  <c r="C270" i="9"/>
  <c r="C165" i="9"/>
  <c r="C64" i="9"/>
  <c r="H149" i="9"/>
  <c r="L115" i="9"/>
  <c r="I116" i="9"/>
  <c r="O182" i="9"/>
  <c r="E119" i="9"/>
  <c r="C158" i="9"/>
  <c r="H201" i="9"/>
  <c r="N119" i="9"/>
  <c r="O101" i="9"/>
  <c r="N45" i="9"/>
  <c r="I175" i="9"/>
  <c r="C29" i="9"/>
  <c r="O35" i="9"/>
  <c r="L274" i="9"/>
  <c r="O158" i="9"/>
  <c r="L113" i="9"/>
  <c r="O78" i="9"/>
  <c r="H64" i="9"/>
  <c r="C74" i="9"/>
  <c r="C79" i="9"/>
  <c r="C272" i="9"/>
  <c r="L119" i="9"/>
  <c r="N139" i="9"/>
  <c r="H258" i="9"/>
  <c r="C196" i="9"/>
  <c r="N273" i="9"/>
  <c r="C214" i="9"/>
  <c r="K259" i="9"/>
  <c r="H117" i="9"/>
  <c r="F273" i="9"/>
  <c r="H70" i="9"/>
  <c r="O140" i="9"/>
  <c r="I73" i="9"/>
  <c r="E174" i="9"/>
  <c r="O100" i="9"/>
  <c r="O127" i="9"/>
  <c r="C193" i="9"/>
  <c r="N164" i="9"/>
  <c r="N51" i="9"/>
  <c r="G58" i="3"/>
  <c r="H188" i="9"/>
  <c r="I65" i="9"/>
  <c r="E124" i="9"/>
  <c r="E73" i="9"/>
  <c r="L48" i="9"/>
  <c r="E178" i="9"/>
  <c r="K46" i="3"/>
  <c r="G45" i="3"/>
  <c r="H105" i="9"/>
  <c r="N88" i="9"/>
  <c r="C191" i="9"/>
  <c r="F116" i="9"/>
  <c r="O253" i="9"/>
  <c r="F61" i="9"/>
  <c r="I37" i="9"/>
  <c r="H279" i="9"/>
  <c r="K59" i="3"/>
  <c r="N35" i="9"/>
  <c r="E74" i="9"/>
  <c r="E141" i="9"/>
  <c r="F250" i="9"/>
  <c r="H190" i="9"/>
  <c r="H198" i="9"/>
  <c r="H63" i="9"/>
  <c r="C61" i="9"/>
  <c r="H35" i="9"/>
  <c r="N156" i="9"/>
  <c r="I126" i="9"/>
  <c r="O102" i="9"/>
  <c r="F226" i="9"/>
  <c r="I149" i="9"/>
  <c r="E49" i="9"/>
  <c r="G34" i="3"/>
  <c r="N165" i="9"/>
  <c r="C228" i="9"/>
  <c r="G73" i="3"/>
  <c r="E180" i="9"/>
  <c r="L73" i="9"/>
  <c r="O191" i="9"/>
  <c r="F157" i="9"/>
  <c r="F195" i="9"/>
  <c r="H41" i="9"/>
  <c r="I34" i="9"/>
  <c r="G72" i="3"/>
  <c r="C161" i="9"/>
  <c r="E262" i="9"/>
  <c r="K20" i="3"/>
  <c r="E163" i="9"/>
  <c r="O175" i="9"/>
  <c r="I32" i="9"/>
  <c r="I262" i="9"/>
  <c r="I182" i="9"/>
  <c r="K9" i="5"/>
  <c r="O144" i="9"/>
  <c r="E194" i="9"/>
  <c r="K212" i="9"/>
  <c r="F162" i="9"/>
  <c r="K60" i="3"/>
  <c r="I259" i="9"/>
  <c r="E237" i="9"/>
  <c r="L104" i="9"/>
  <c r="O77" i="9"/>
  <c r="O41" i="9"/>
  <c r="E125" i="9"/>
  <c r="F263" i="9"/>
  <c r="H277" i="9"/>
  <c r="O70" i="3"/>
  <c r="I224" i="9"/>
  <c r="C111" i="9"/>
  <c r="K195" i="9"/>
  <c r="H271" i="9"/>
  <c r="N264" i="9"/>
  <c r="C28" i="9"/>
  <c r="N85" i="9"/>
  <c r="O50" i="9"/>
  <c r="O68" i="3"/>
  <c r="O227" i="9"/>
  <c r="N250" i="9"/>
  <c r="F214" i="9"/>
  <c r="K48" i="9"/>
  <c r="H126" i="9"/>
  <c r="L107" i="9"/>
  <c r="L223" i="9"/>
  <c r="H61" i="9"/>
  <c r="I142" i="9"/>
  <c r="O62" i="3"/>
  <c r="N74" i="9"/>
  <c r="N194" i="9"/>
  <c r="L217" i="9"/>
  <c r="E217" i="9"/>
  <c r="O71" i="9"/>
  <c r="K155" i="9"/>
  <c r="K231" i="9"/>
  <c r="F237" i="9"/>
  <c r="F76" i="9"/>
  <c r="L80" i="9"/>
  <c r="E114" i="9"/>
  <c r="N179" i="9"/>
  <c r="F145" i="9"/>
  <c r="E280" i="9"/>
  <c r="E113" i="9"/>
  <c r="O195" i="9"/>
  <c r="O99" i="9"/>
  <c r="N116" i="9"/>
  <c r="F264" i="9"/>
  <c r="H262" i="9"/>
  <c r="N240" i="9"/>
  <c r="L194" i="9"/>
  <c r="O85" i="9"/>
  <c r="I159" i="9"/>
  <c r="C175" i="9"/>
  <c r="E267" i="9"/>
  <c r="K43" i="3"/>
  <c r="E151" i="9"/>
  <c r="E270" i="9"/>
  <c r="F220" i="9"/>
  <c r="H140" i="9"/>
  <c r="L258" i="9"/>
  <c r="H231" i="9"/>
  <c r="C233" i="9"/>
  <c r="K28" i="9"/>
  <c r="O199" i="9"/>
  <c r="I275" i="9"/>
  <c r="I251" i="9"/>
  <c r="E22" i="9"/>
  <c r="I223" i="9"/>
  <c r="E212" i="9"/>
  <c r="O258" i="9"/>
  <c r="G48" i="3"/>
  <c r="K69" i="9"/>
  <c r="H219" i="9"/>
  <c r="G32" i="3"/>
  <c r="L174" i="9"/>
  <c r="I39" i="9"/>
  <c r="K225" i="9"/>
  <c r="O75" i="9"/>
  <c r="L68" i="9"/>
  <c r="F38" i="9"/>
  <c r="N225" i="9"/>
  <c r="C273" i="9"/>
  <c r="F86" i="9"/>
  <c r="L278" i="9"/>
  <c r="E32" i="9"/>
  <c r="L100" i="9"/>
  <c r="E159" i="9"/>
  <c r="E52" i="9"/>
  <c r="C146" i="9"/>
  <c r="C138" i="9"/>
  <c r="N191" i="9"/>
  <c r="K166" i="9"/>
  <c r="O46" i="9"/>
  <c r="F267" i="9"/>
  <c r="K71" i="9"/>
  <c r="I38" i="9"/>
  <c r="L177" i="9"/>
  <c r="O23" i="9"/>
  <c r="L90" i="9"/>
  <c r="I203" i="9"/>
  <c r="L187" i="9"/>
  <c r="L196" i="9"/>
  <c r="F27" i="9"/>
  <c r="H82" i="9"/>
  <c r="E156" i="9"/>
  <c r="K47" i="3"/>
  <c r="H71" i="9"/>
  <c r="C46" i="9"/>
  <c r="H278" i="9"/>
  <c r="H234" i="9"/>
  <c r="K62" i="3"/>
  <c r="I35" i="9"/>
  <c r="K124" i="9"/>
  <c r="F230" i="9"/>
  <c r="C90" i="9"/>
  <c r="H106" i="9"/>
  <c r="E122" i="9"/>
  <c r="L151" i="9"/>
  <c r="H38" i="9"/>
  <c r="F137" i="9"/>
  <c r="K250" i="9"/>
  <c r="L45" i="9"/>
  <c r="I163" i="9"/>
  <c r="E117" i="9"/>
  <c r="N217" i="9"/>
  <c r="O178" i="9"/>
  <c r="F106" i="9"/>
  <c r="C43" i="9"/>
  <c r="L52" i="9"/>
  <c r="E86" i="9"/>
  <c r="K74" i="9"/>
  <c r="H60" i="9"/>
  <c r="C34" i="9"/>
  <c r="K111" i="9"/>
  <c r="O224" i="9"/>
  <c r="K122" i="9"/>
  <c r="K142" i="9"/>
  <c r="C268" i="9"/>
  <c r="H224" i="9"/>
  <c r="H143" i="9"/>
  <c r="I99" i="9"/>
  <c r="F139" i="9"/>
  <c r="C242" i="9"/>
  <c r="C153" i="9"/>
  <c r="I122" i="9"/>
  <c r="O233" i="9"/>
  <c r="O111" i="9"/>
  <c r="E31" i="9"/>
  <c r="F201" i="9"/>
  <c r="I49" i="9"/>
  <c r="I147" i="9"/>
  <c r="O63" i="9"/>
  <c r="O90" i="9"/>
  <c r="N253" i="9"/>
  <c r="H150" i="9"/>
  <c r="I268" i="9"/>
  <c r="O31" i="9"/>
  <c r="K176" i="9"/>
  <c r="F158" i="9"/>
  <c r="F150" i="9"/>
  <c r="L224" i="9"/>
  <c r="I266" i="9"/>
  <c r="I74" i="9"/>
  <c r="F28" i="9"/>
  <c r="K199" i="9"/>
  <c r="L275" i="9"/>
  <c r="C166" i="9"/>
  <c r="H189" i="9"/>
  <c r="L106" i="9"/>
  <c r="H270" i="9"/>
  <c r="K21" i="3"/>
  <c r="N73" i="9"/>
  <c r="I272" i="9"/>
  <c r="C232" i="9"/>
  <c r="N42" i="9"/>
  <c r="O89" i="9"/>
  <c r="O66" i="3"/>
  <c r="L44" i="9"/>
  <c r="O88" i="9"/>
  <c r="F80" i="9"/>
  <c r="E106" i="9"/>
  <c r="H104" i="9"/>
  <c r="E250" i="9"/>
  <c r="N233" i="9"/>
  <c r="I42" i="9"/>
  <c r="H215" i="9"/>
  <c r="K277" i="9"/>
  <c r="E40" i="9"/>
  <c r="K164" i="9"/>
  <c r="I237" i="9"/>
  <c r="E183" i="9"/>
  <c r="I46" i="9"/>
  <c r="K77" i="9"/>
  <c r="L236" i="9"/>
  <c r="N278" i="9"/>
  <c r="O250" i="9"/>
  <c r="L213" i="9"/>
  <c r="L214" i="9"/>
  <c r="O143" i="9"/>
  <c r="I196" i="9"/>
  <c r="E158" i="9"/>
  <c r="H228" i="9"/>
  <c r="F122" i="9"/>
  <c r="G36" i="3"/>
  <c r="K36" i="9"/>
  <c r="I254" i="9"/>
  <c r="F153" i="9"/>
  <c r="L27" i="9"/>
  <c r="K220" i="9"/>
  <c r="N138" i="9"/>
  <c r="O27" i="9"/>
  <c r="L37" i="9"/>
  <c r="L200" i="9"/>
  <c r="G65" i="3"/>
  <c r="F35" i="9"/>
  <c r="O186" i="9"/>
  <c r="L160" i="9"/>
  <c r="C218" i="9"/>
  <c r="O221" i="9"/>
  <c r="H90" i="9"/>
  <c r="N257" i="9"/>
  <c r="E82" i="9"/>
  <c r="H75" i="9"/>
  <c r="L67" i="9"/>
  <c r="E61" i="9"/>
  <c r="L159" i="9"/>
  <c r="I162" i="9"/>
  <c r="O277" i="9"/>
  <c r="O239" i="9"/>
  <c r="O136" i="9"/>
  <c r="L220" i="9"/>
  <c r="I71" i="9"/>
  <c r="O276" i="9"/>
  <c r="E202" i="9"/>
  <c r="H237" i="9"/>
  <c r="N34" i="9"/>
  <c r="L232" i="9"/>
  <c r="C76" i="9"/>
  <c r="H252" i="9"/>
  <c r="K264" i="9"/>
  <c r="O256" i="9"/>
  <c r="K89" i="9"/>
  <c r="F109" i="9"/>
  <c r="O38" i="9"/>
  <c r="N155" i="9"/>
  <c r="N114" i="9"/>
  <c r="L86" i="9"/>
  <c r="L150" i="9"/>
  <c r="O58" i="3"/>
  <c r="I200" i="9"/>
  <c r="O254" i="9"/>
  <c r="O47" i="3"/>
  <c r="C265" i="9"/>
  <c r="G44" i="3"/>
  <c r="K181" i="9"/>
  <c r="H157" i="9"/>
  <c r="F202" i="9"/>
  <c r="O139" i="9"/>
  <c r="O237" i="9"/>
  <c r="I83" i="9"/>
  <c r="K235" i="9"/>
  <c r="N182" i="9"/>
  <c r="F40" i="9"/>
  <c r="N256" i="9"/>
  <c r="F204" i="9"/>
  <c r="C220" i="9"/>
  <c r="E201" i="9"/>
  <c r="K273" i="9"/>
  <c r="C50" i="9"/>
  <c r="O105" i="9"/>
  <c r="L41" i="9"/>
  <c r="C89" i="9"/>
  <c r="N79" i="9"/>
  <c r="E87" i="9"/>
  <c r="N159" i="9"/>
  <c r="I255" i="9"/>
  <c r="E271" i="9"/>
  <c r="F183" i="9"/>
  <c r="O117" i="9"/>
  <c r="N276" i="9"/>
  <c r="N82" i="9"/>
  <c r="N70" i="9"/>
  <c r="H165" i="9"/>
  <c r="N181" i="9"/>
  <c r="L47" i="9"/>
  <c r="G56" i="3"/>
  <c r="C195" i="9"/>
  <c r="E157" i="9"/>
  <c r="F187" i="9"/>
  <c r="E269" i="9"/>
  <c r="L87" i="9"/>
  <c r="N268" i="9"/>
  <c r="L89" i="9"/>
  <c r="E50" i="9"/>
  <c r="K33" i="3"/>
  <c r="L161" i="9"/>
  <c r="C112" i="9"/>
  <c r="K114" i="9"/>
  <c r="O268" i="9"/>
  <c r="H236" i="9"/>
  <c r="F261" i="9"/>
  <c r="I270" i="9"/>
  <c r="K110" i="9"/>
  <c r="F274" i="9"/>
  <c r="N269" i="9"/>
  <c r="F238" i="9"/>
  <c r="L71" i="9"/>
  <c r="L271" i="9"/>
  <c r="K226" i="9"/>
  <c r="H120" i="9"/>
  <c r="K198" i="9"/>
  <c r="G71" i="3"/>
  <c r="H114" i="9"/>
  <c r="I48" i="9"/>
  <c r="I239" i="9"/>
  <c r="C35" i="9"/>
  <c r="L140" i="9"/>
  <c r="K39" i="3"/>
  <c r="H25" i="9"/>
  <c r="K57" i="3"/>
  <c r="L212" i="9"/>
  <c r="N61" i="9"/>
  <c r="O142" i="9"/>
  <c r="C229" i="9"/>
  <c r="O41" i="3"/>
  <c r="O37" i="3"/>
  <c r="O145" i="9"/>
  <c r="K118" i="9"/>
  <c r="H276" i="9"/>
  <c r="H160" i="9"/>
  <c r="L137" i="9"/>
  <c r="K174" i="9"/>
  <c r="E28" i="9"/>
  <c r="I36" i="9"/>
  <c r="H118" i="9"/>
  <c r="H84" i="9"/>
  <c r="C120" i="9"/>
  <c r="C42" i="9"/>
  <c r="I176" i="9"/>
  <c r="O271" i="9"/>
  <c r="C30" i="9"/>
  <c r="O73" i="3"/>
  <c r="H74" i="9"/>
  <c r="E184" i="9"/>
  <c r="K175" i="9"/>
  <c r="L147" i="9"/>
  <c r="K40" i="9"/>
  <c r="L126" i="9"/>
  <c r="O193" i="9"/>
  <c r="N218" i="9"/>
  <c r="F152" i="9"/>
  <c r="G70" i="3"/>
  <c r="N103" i="9"/>
  <c r="I52" i="9"/>
  <c r="L184" i="9"/>
  <c r="G42" i="3"/>
  <c r="E199" i="9"/>
  <c r="K160" i="9"/>
  <c r="N144" i="9"/>
  <c r="E66" i="9"/>
  <c r="K66" i="9"/>
  <c r="C174" i="9"/>
  <c r="E240" i="9"/>
  <c r="H101" i="9"/>
  <c r="H263" i="9"/>
  <c r="I43" i="9"/>
  <c r="F83" i="9"/>
  <c r="O68" i="9"/>
  <c r="H39" i="9"/>
  <c r="C197" i="9"/>
  <c r="K34" i="3"/>
  <c r="I221" i="9"/>
  <c r="E263" i="9"/>
  <c r="O48" i="3"/>
  <c r="K266" i="9"/>
  <c r="K238" i="9"/>
  <c r="L105" i="9"/>
  <c r="L117" i="9"/>
  <c r="O185" i="9"/>
  <c r="H267" i="9"/>
  <c r="E43" i="9"/>
  <c r="I229" i="9"/>
  <c r="L109" i="9"/>
  <c r="L228" i="9"/>
  <c r="K68" i="9"/>
  <c r="K29" i="9"/>
  <c r="N188" i="9"/>
  <c r="E236" i="9"/>
  <c r="N126" i="9"/>
  <c r="I258" i="9"/>
  <c r="E185" i="9"/>
  <c r="C271" i="9"/>
  <c r="C109" i="9"/>
  <c r="O33" i="9"/>
  <c r="H24" i="9"/>
  <c r="L146" i="9"/>
  <c r="H229" i="9"/>
  <c r="F144" i="9"/>
  <c r="L139" i="9"/>
  <c r="O48" i="9"/>
  <c r="L108" i="9"/>
  <c r="N136" i="9"/>
  <c r="I230" i="9"/>
  <c r="K25" i="3"/>
  <c r="O152" i="9"/>
  <c r="E63" i="9"/>
  <c r="L64" i="9"/>
  <c r="L260" i="9"/>
  <c r="L235" i="9"/>
  <c r="O50" i="3"/>
  <c r="I145" i="9"/>
  <c r="N24" i="9"/>
  <c r="N123" i="9"/>
  <c r="F138" i="9"/>
  <c r="L85" i="9"/>
  <c r="H98" i="9"/>
  <c r="N49" i="9"/>
  <c r="F271" i="9"/>
  <c r="I67" i="9"/>
  <c r="L162" i="9"/>
  <c r="H37" i="9"/>
  <c r="O61" i="9"/>
  <c r="C32" i="9"/>
  <c r="C200" i="9"/>
  <c r="N107" i="9"/>
  <c r="L263" i="9"/>
  <c r="K81" i="9"/>
  <c r="K69" i="3"/>
  <c r="O32" i="9"/>
  <c r="O29" i="9"/>
  <c r="H128" i="9"/>
  <c r="L49" i="9"/>
  <c r="I141" i="9"/>
  <c r="C147" i="9"/>
  <c r="C203" i="9"/>
  <c r="F253" i="9"/>
  <c r="H147" i="9"/>
  <c r="O36" i="3"/>
  <c r="O64" i="3"/>
  <c r="I152" i="9"/>
  <c r="E145" i="9"/>
  <c r="E181" i="9"/>
  <c r="O37" i="9"/>
  <c r="F50" i="9"/>
  <c r="F279" i="9"/>
  <c r="C77" i="9"/>
  <c r="K116" i="9"/>
  <c r="H239" i="9"/>
  <c r="O71" i="3"/>
  <c r="E182" i="9"/>
  <c r="H23" i="9"/>
  <c r="N254" i="9"/>
  <c r="O69" i="9"/>
  <c r="G46" i="3"/>
  <c r="E39" i="9"/>
  <c r="C187" i="9"/>
  <c r="H235" i="9"/>
  <c r="K30" i="9"/>
  <c r="N137" i="9"/>
  <c r="N99" i="9"/>
  <c r="L36" i="9"/>
  <c r="O107" i="9"/>
  <c r="I183" i="9"/>
  <c r="I105" i="9"/>
  <c r="K276" i="9"/>
  <c r="L75" i="9"/>
  <c r="L103" i="9"/>
  <c r="O62" i="9"/>
  <c r="C183" i="9"/>
  <c r="O70" i="9"/>
  <c r="O103" i="9"/>
  <c r="I144" i="9"/>
  <c r="E231" i="9"/>
  <c r="K40" i="3"/>
  <c r="E251" i="9"/>
  <c r="F81" i="9"/>
  <c r="F84" i="9"/>
  <c r="O65" i="3"/>
  <c r="C182" i="9"/>
  <c r="H266" i="9"/>
  <c r="I164" i="9"/>
  <c r="I123" i="9"/>
  <c r="O262" i="9"/>
  <c r="E33" i="9"/>
  <c r="H107" i="9"/>
  <c r="H259" i="9"/>
  <c r="O177" i="9"/>
  <c r="F32" i="9"/>
  <c r="L127" i="9"/>
  <c r="F192" i="9"/>
  <c r="E235" i="9"/>
  <c r="N100" i="9"/>
  <c r="N65" i="9"/>
  <c r="N251" i="9"/>
  <c r="O228" i="9"/>
  <c r="N38" i="9"/>
  <c r="F126" i="9"/>
  <c r="F127" i="9"/>
  <c r="I222" i="9"/>
  <c r="K61" i="9"/>
  <c r="K255" i="9"/>
  <c r="I263" i="9"/>
  <c r="K182" i="9"/>
  <c r="O43" i="9"/>
  <c r="N26" i="9"/>
  <c r="O65" i="9"/>
  <c r="N166" i="9"/>
  <c r="L88" i="9"/>
  <c r="L185" i="9"/>
  <c r="O166" i="9"/>
  <c r="K24" i="9"/>
  <c r="K102" i="9"/>
  <c r="H115" i="9"/>
  <c r="L118" i="9"/>
  <c r="K14" i="3"/>
  <c r="K149" i="9"/>
  <c r="N237" i="9"/>
  <c r="C275" i="9"/>
  <c r="L84" i="9"/>
  <c r="F241" i="9"/>
  <c r="K46" i="9"/>
  <c r="L76" i="9"/>
  <c r="K66" i="3"/>
  <c r="N163" i="9"/>
  <c r="G66" i="3"/>
  <c r="L35" i="9"/>
  <c r="K148" i="9"/>
  <c r="F142" i="9"/>
  <c r="L31" i="9"/>
  <c r="K252" i="9"/>
  <c r="N77" i="9"/>
  <c r="I150" i="9"/>
  <c r="F98" i="9"/>
  <c r="O108" i="9"/>
  <c r="N115" i="9"/>
  <c r="K121" i="9"/>
  <c r="C222" i="9"/>
  <c r="L267" i="9"/>
  <c r="L221" i="9"/>
  <c r="F41" i="9"/>
  <c r="K253" i="9"/>
  <c r="F121" i="9"/>
  <c r="C251" i="9"/>
  <c r="L39" i="9"/>
  <c r="N175" i="9"/>
  <c r="K38" i="9"/>
  <c r="F143" i="9"/>
  <c r="N104" i="9"/>
  <c r="F224" i="9"/>
  <c r="F36" i="9"/>
  <c r="O25" i="9"/>
  <c r="L102" i="9"/>
  <c r="K191" i="9"/>
  <c r="E148" i="9"/>
  <c r="I216" i="9"/>
  <c r="H274" i="9"/>
  <c r="C24" i="9"/>
  <c r="O229" i="9"/>
  <c r="K75" i="3"/>
  <c r="K241" i="9"/>
  <c r="C68" i="9"/>
  <c r="L203" i="9"/>
  <c r="F103" i="9"/>
  <c r="C126" i="9"/>
  <c r="I236" i="9"/>
  <c r="K125" i="9"/>
  <c r="C114" i="9"/>
  <c r="H280" i="9"/>
  <c r="E187" i="9"/>
  <c r="O141" i="9"/>
  <c r="O260" i="9"/>
  <c r="L237" i="9"/>
  <c r="O109" i="9"/>
  <c r="L112" i="9"/>
  <c r="K25" i="9"/>
  <c r="K261" i="9"/>
  <c r="K37" i="9"/>
  <c r="G114" i="9" l="1"/>
  <c r="D114" i="9"/>
  <c r="M114" i="9"/>
  <c r="J114" i="9"/>
  <c r="D126" i="9"/>
  <c r="J126" i="9"/>
  <c r="G126" i="9"/>
  <c r="M126" i="9"/>
  <c r="M68" i="9"/>
  <c r="G68" i="9"/>
  <c r="J68" i="9"/>
  <c r="D68" i="9"/>
  <c r="N75" i="3"/>
  <c r="M75" i="3"/>
  <c r="L75" i="3"/>
  <c r="G24" i="9"/>
  <c r="M24" i="9"/>
  <c r="J24" i="9"/>
  <c r="D24" i="9"/>
  <c r="J251" i="9"/>
  <c r="D251" i="9"/>
  <c r="M251" i="9"/>
  <c r="G251" i="9"/>
  <c r="D222" i="9"/>
  <c r="J222" i="9"/>
  <c r="M222" i="9"/>
  <c r="G222" i="9"/>
  <c r="F130" i="9"/>
  <c r="E130" i="9" s="1"/>
  <c r="D6" i="9" s="1"/>
  <c r="J66" i="3"/>
  <c r="I66" i="3"/>
  <c r="H66" i="3"/>
  <c r="L66" i="3"/>
  <c r="N66" i="3"/>
  <c r="M66" i="3"/>
  <c r="J275" i="9"/>
  <c r="G275" i="9"/>
  <c r="M275" i="9"/>
  <c r="D275" i="9"/>
  <c r="M14" i="3"/>
  <c r="L14" i="3"/>
  <c r="N14" i="3"/>
  <c r="D182" i="9"/>
  <c r="G182" i="9"/>
  <c r="M182" i="9"/>
  <c r="J182" i="9"/>
  <c r="R65" i="3"/>
  <c r="P65" i="3"/>
  <c r="Q65" i="3"/>
  <c r="N40" i="3"/>
  <c r="M40" i="3"/>
  <c r="L40" i="3"/>
  <c r="J183" i="9"/>
  <c r="M183" i="9"/>
  <c r="G183" i="9"/>
  <c r="D183" i="9"/>
  <c r="D187" i="9"/>
  <c r="J187" i="9"/>
  <c r="M187" i="9"/>
  <c r="G187" i="9"/>
  <c r="I46" i="3"/>
  <c r="J46" i="3"/>
  <c r="H46" i="3"/>
  <c r="Q71" i="3"/>
  <c r="R71" i="3"/>
  <c r="P71" i="3"/>
  <c r="G77" i="9"/>
  <c r="D77" i="9"/>
  <c r="M77" i="9"/>
  <c r="J77" i="9"/>
  <c r="Q64" i="3"/>
  <c r="R64" i="3"/>
  <c r="P64" i="3"/>
  <c r="P36" i="3"/>
  <c r="Q36" i="3"/>
  <c r="R36" i="3"/>
  <c r="J203" i="9"/>
  <c r="G203" i="9"/>
  <c r="M203" i="9"/>
  <c r="D203" i="9"/>
  <c r="M147" i="9"/>
  <c r="J147" i="9"/>
  <c r="D147" i="9"/>
  <c r="G147" i="9"/>
  <c r="L69" i="3"/>
  <c r="N69" i="3"/>
  <c r="M69" i="3"/>
  <c r="D200" i="9"/>
  <c r="J200" i="9"/>
  <c r="M200" i="9"/>
  <c r="G200" i="9"/>
  <c r="G32" i="9"/>
  <c r="J32" i="9"/>
  <c r="D32" i="9"/>
  <c r="M32" i="9"/>
  <c r="R50" i="3"/>
  <c r="Q50" i="3"/>
  <c r="P50" i="3"/>
  <c r="N25" i="3"/>
  <c r="L25" i="3"/>
  <c r="M25" i="3"/>
  <c r="D109" i="9"/>
  <c r="J109" i="9"/>
  <c r="M109" i="9"/>
  <c r="G109" i="9"/>
  <c r="D271" i="9"/>
  <c r="G271" i="9"/>
  <c r="J271" i="9"/>
  <c r="M271" i="9"/>
  <c r="R48" i="3"/>
  <c r="P48" i="3"/>
  <c r="Q48" i="3"/>
  <c r="N34" i="3"/>
  <c r="L34" i="3"/>
  <c r="M34" i="3"/>
  <c r="D197" i="9"/>
  <c r="M197" i="9"/>
  <c r="G197" i="9"/>
  <c r="J197" i="9"/>
  <c r="G174" i="9"/>
  <c r="C206" i="9"/>
  <c r="M174" i="9"/>
  <c r="J174" i="9"/>
  <c r="D174" i="9"/>
  <c r="J42" i="3"/>
  <c r="I42" i="3"/>
  <c r="H42" i="3"/>
  <c r="I70" i="3"/>
  <c r="H70" i="3"/>
  <c r="J70" i="3"/>
  <c r="P73" i="3"/>
  <c r="R73" i="3"/>
  <c r="Q73" i="3"/>
  <c r="J30" i="9"/>
  <c r="M30" i="9"/>
  <c r="D30" i="9"/>
  <c r="G30" i="9"/>
  <c r="M42" i="9"/>
  <c r="J42" i="9"/>
  <c r="G42" i="9"/>
  <c r="D42" i="9"/>
  <c r="J120" i="9"/>
  <c r="D120" i="9"/>
  <c r="G120" i="9"/>
  <c r="M120" i="9"/>
  <c r="R37" i="3"/>
  <c r="Q37" i="3"/>
  <c r="P37" i="3"/>
  <c r="Q41" i="3"/>
  <c r="P41" i="3"/>
  <c r="R41" i="3"/>
  <c r="J229" i="9"/>
  <c r="D229" i="9"/>
  <c r="M229" i="9"/>
  <c r="G229" i="9"/>
  <c r="L244" i="9"/>
  <c r="K244" i="9" s="1"/>
  <c r="J10" i="9" s="1"/>
  <c r="M57" i="3"/>
  <c r="L57" i="3"/>
  <c r="N57" i="3"/>
  <c r="N39" i="3"/>
  <c r="L39" i="3"/>
  <c r="M39" i="3"/>
  <c r="G35" i="9"/>
  <c r="J35" i="9"/>
  <c r="M35" i="9"/>
  <c r="D35" i="9"/>
  <c r="H71" i="3"/>
  <c r="I71" i="3"/>
  <c r="J71" i="3"/>
  <c r="G112" i="9"/>
  <c r="J112" i="9"/>
  <c r="D112" i="9"/>
  <c r="M112" i="9"/>
  <c r="M33" i="3"/>
  <c r="N33" i="3"/>
  <c r="L33" i="3"/>
  <c r="D195" i="9"/>
  <c r="M195" i="9"/>
  <c r="G195" i="9"/>
  <c r="J195" i="9"/>
  <c r="I56" i="3"/>
  <c r="H56" i="3"/>
  <c r="J56" i="3"/>
  <c r="D89" i="9"/>
  <c r="J89" i="9"/>
  <c r="G89" i="9"/>
  <c r="M89" i="9"/>
  <c r="G50" i="9"/>
  <c r="J50" i="9"/>
  <c r="D50" i="9"/>
  <c r="M50" i="9"/>
  <c r="D220" i="9"/>
  <c r="J220" i="9"/>
  <c r="M220" i="9"/>
  <c r="G220" i="9"/>
  <c r="I44" i="3"/>
  <c r="J44" i="3"/>
  <c r="H44" i="3"/>
  <c r="J265" i="9"/>
  <c r="M265" i="9"/>
  <c r="D265" i="9"/>
  <c r="G265" i="9"/>
  <c r="R47" i="3"/>
  <c r="P47" i="3"/>
  <c r="Q47" i="3"/>
  <c r="R58" i="3"/>
  <c r="Q58" i="3"/>
  <c r="P58" i="3"/>
  <c r="D76" i="9"/>
  <c r="G76" i="9"/>
  <c r="J76" i="9"/>
  <c r="M76" i="9"/>
  <c r="O168" i="9"/>
  <c r="N168" i="9" s="1"/>
  <c r="M12" i="9" s="1"/>
  <c r="G218" i="9"/>
  <c r="M218" i="9"/>
  <c r="J218" i="9"/>
  <c r="D218" i="9"/>
  <c r="H65" i="3"/>
  <c r="J65" i="3"/>
  <c r="I65" i="3"/>
  <c r="J36" i="3"/>
  <c r="H36" i="3"/>
  <c r="I36" i="3"/>
  <c r="O282" i="9"/>
  <c r="N282" i="9" s="1"/>
  <c r="M14" i="9" s="1"/>
  <c r="Q66" i="3"/>
  <c r="P66" i="3"/>
  <c r="R66" i="3"/>
  <c r="G232" i="9"/>
  <c r="M232" i="9"/>
  <c r="J232" i="9"/>
  <c r="D232" i="9"/>
  <c r="L21" i="3"/>
  <c r="M21" i="3"/>
  <c r="N21" i="3"/>
  <c r="J166" i="9"/>
  <c r="M166" i="9"/>
  <c r="G166" i="9"/>
  <c r="D166" i="9"/>
  <c r="D153" i="9"/>
  <c r="J153" i="9"/>
  <c r="M153" i="9"/>
  <c r="G153" i="9"/>
  <c r="G242" i="9"/>
  <c r="D242" i="9"/>
  <c r="M242" i="9"/>
  <c r="J242" i="9"/>
  <c r="G268" i="9"/>
  <c r="M268" i="9"/>
  <c r="D268" i="9"/>
  <c r="J268" i="9"/>
  <c r="D34" i="9"/>
  <c r="M34" i="9"/>
  <c r="G34" i="9"/>
  <c r="J34" i="9"/>
  <c r="G43" i="9"/>
  <c r="J43" i="9"/>
  <c r="M43" i="9"/>
  <c r="D43" i="9"/>
  <c r="J90" i="9"/>
  <c r="D90" i="9"/>
  <c r="M90" i="9"/>
  <c r="G90" i="9"/>
  <c r="L62" i="3"/>
  <c r="N62" i="3"/>
  <c r="M62" i="3"/>
  <c r="D46" i="9"/>
  <c r="G46" i="9"/>
  <c r="J46" i="9"/>
  <c r="M46" i="9"/>
  <c r="M47" i="3"/>
  <c r="N47" i="3"/>
  <c r="L47" i="3"/>
  <c r="M138" i="9"/>
  <c r="J138" i="9"/>
  <c r="D138" i="9"/>
  <c r="G138" i="9"/>
  <c r="G146" i="9"/>
  <c r="D146" i="9"/>
  <c r="M146" i="9"/>
  <c r="J146" i="9"/>
  <c r="J273" i="9"/>
  <c r="M273" i="9"/>
  <c r="G273" i="9"/>
  <c r="D273" i="9"/>
  <c r="L206" i="9"/>
  <c r="K206" i="9" s="1"/>
  <c r="J8" i="9" s="1"/>
  <c r="H32" i="3"/>
  <c r="J32" i="3"/>
  <c r="I32" i="3"/>
  <c r="J48" i="3"/>
  <c r="I48" i="3"/>
  <c r="H48" i="3"/>
  <c r="G233" i="9"/>
  <c r="J233" i="9"/>
  <c r="M233" i="9"/>
  <c r="D233" i="9"/>
  <c r="N43" i="3"/>
  <c r="L43" i="3"/>
  <c r="M43" i="3"/>
  <c r="M175" i="9"/>
  <c r="J175" i="9"/>
  <c r="D175" i="9"/>
  <c r="G175" i="9"/>
  <c r="R62" i="3"/>
  <c r="Q62" i="3"/>
  <c r="P62" i="3"/>
  <c r="P68" i="3"/>
  <c r="Q68" i="3"/>
  <c r="R68" i="3"/>
  <c r="J28" i="9"/>
  <c r="D28" i="9"/>
  <c r="G28" i="9"/>
  <c r="M28" i="9"/>
  <c r="G111" i="9"/>
  <c r="D111" i="9"/>
  <c r="J111" i="9"/>
  <c r="M111" i="9"/>
  <c r="R70" i="3"/>
  <c r="Q70" i="3"/>
  <c r="P70" i="3"/>
  <c r="N60" i="3"/>
  <c r="L60" i="3"/>
  <c r="M60" i="3"/>
  <c r="L9" i="5"/>
  <c r="M9" i="5"/>
  <c r="N9" i="5"/>
  <c r="N20" i="3"/>
  <c r="L20" i="3"/>
  <c r="M20" i="3"/>
  <c r="M161" i="9"/>
  <c r="G161" i="9"/>
  <c r="D161" i="9"/>
  <c r="J161" i="9"/>
  <c r="I72" i="3"/>
  <c r="J72" i="3"/>
  <c r="H72" i="3"/>
  <c r="J73" i="3"/>
  <c r="H73" i="3"/>
  <c r="I73" i="3"/>
  <c r="G228" i="9"/>
  <c r="J228" i="9"/>
  <c r="D228" i="9"/>
  <c r="M228" i="9"/>
  <c r="J34" i="3"/>
  <c r="H34" i="3"/>
  <c r="I34" i="3"/>
  <c r="M61" i="9"/>
  <c r="J61" i="9"/>
  <c r="G61" i="9"/>
  <c r="D61" i="9"/>
  <c r="F282" i="9"/>
  <c r="E282" i="9" s="1"/>
  <c r="D14" i="9" s="1"/>
  <c r="M59" i="3"/>
  <c r="L59" i="3"/>
  <c r="N59" i="3"/>
  <c r="D191" i="9"/>
  <c r="M191" i="9"/>
  <c r="J191" i="9"/>
  <c r="G191" i="9"/>
  <c r="I45" i="3"/>
  <c r="J45" i="3"/>
  <c r="H45" i="3"/>
  <c r="M46" i="3"/>
  <c r="N46" i="3"/>
  <c r="L46" i="3"/>
  <c r="J58" i="3"/>
  <c r="I58" i="3"/>
  <c r="H58" i="3"/>
  <c r="J193" i="9"/>
  <c r="D193" i="9"/>
  <c r="G193" i="9"/>
  <c r="M193" i="9"/>
  <c r="D214" i="9"/>
  <c r="G214" i="9"/>
  <c r="M214" i="9"/>
  <c r="J214" i="9"/>
  <c r="J196" i="9"/>
  <c r="D196" i="9"/>
  <c r="M196" i="9"/>
  <c r="G196" i="9"/>
  <c r="M272" i="9"/>
  <c r="D272" i="9"/>
  <c r="G272" i="9"/>
  <c r="J272" i="9"/>
  <c r="G79" i="9"/>
  <c r="M79" i="9"/>
  <c r="J79" i="9"/>
  <c r="D79" i="9"/>
  <c r="D74" i="9"/>
  <c r="G74" i="9"/>
  <c r="J74" i="9"/>
  <c r="M74" i="9"/>
  <c r="M29" i="9"/>
  <c r="D29" i="9"/>
  <c r="G29" i="9"/>
  <c r="J29" i="9"/>
  <c r="G158" i="9"/>
  <c r="M158" i="9"/>
  <c r="D158" i="9"/>
  <c r="J158" i="9"/>
  <c r="D64" i="9"/>
  <c r="J64" i="9"/>
  <c r="G64" i="9"/>
  <c r="M64" i="9"/>
  <c r="M165" i="9"/>
  <c r="G165" i="9"/>
  <c r="D165" i="9"/>
  <c r="J165" i="9"/>
  <c r="J270" i="9"/>
  <c r="M270" i="9"/>
  <c r="G270" i="9"/>
  <c r="D270" i="9"/>
  <c r="D269" i="9"/>
  <c r="G269" i="9"/>
  <c r="M269" i="9"/>
  <c r="J269" i="9"/>
  <c r="M36" i="9"/>
  <c r="D36" i="9"/>
  <c r="J36" i="9"/>
  <c r="G36" i="9"/>
  <c r="I69" i="3"/>
  <c r="H69" i="3"/>
  <c r="J69" i="3"/>
  <c r="I33" i="3"/>
  <c r="H33" i="3"/>
  <c r="J33" i="3"/>
  <c r="M108" i="9"/>
  <c r="G108" i="9"/>
  <c r="J108" i="9"/>
  <c r="D108" i="9"/>
  <c r="D25" i="9"/>
  <c r="M25" i="9"/>
  <c r="G25" i="9"/>
  <c r="J25" i="9"/>
  <c r="H75" i="3"/>
  <c r="J75" i="3"/>
  <c r="I75" i="3"/>
  <c r="M23" i="9"/>
  <c r="D23" i="9"/>
  <c r="J23" i="9"/>
  <c r="G23" i="9"/>
  <c r="R75" i="3"/>
  <c r="Q75" i="3"/>
  <c r="P75" i="3"/>
  <c r="D83" i="9"/>
  <c r="G83" i="9"/>
  <c r="J83" i="9"/>
  <c r="M83" i="9"/>
  <c r="M65" i="9"/>
  <c r="G65" i="9"/>
  <c r="D65" i="9"/>
  <c r="J65" i="9"/>
  <c r="J73" i="9"/>
  <c r="G73" i="9"/>
  <c r="M73" i="9"/>
  <c r="D73" i="9"/>
  <c r="M67" i="9"/>
  <c r="D67" i="9"/>
  <c r="G67" i="9"/>
  <c r="J67" i="9"/>
  <c r="Q60" i="3"/>
  <c r="R60" i="3"/>
  <c r="P60" i="3"/>
  <c r="D75" i="9"/>
  <c r="M75" i="9"/>
  <c r="G75" i="9"/>
  <c r="J75" i="9"/>
  <c r="D239" i="9"/>
  <c r="G239" i="9"/>
  <c r="M239" i="9"/>
  <c r="J239" i="9"/>
  <c r="Q61" i="3"/>
  <c r="P61" i="3"/>
  <c r="R61" i="3"/>
  <c r="M258" i="9"/>
  <c r="G258" i="9"/>
  <c r="J258" i="9"/>
  <c r="D258" i="9"/>
  <c r="N72" i="3"/>
  <c r="M72" i="3"/>
  <c r="L72" i="3"/>
  <c r="M61" i="3"/>
  <c r="N61" i="3"/>
  <c r="L61" i="3"/>
  <c r="G199" i="9"/>
  <c r="J199" i="9"/>
  <c r="D199" i="9"/>
  <c r="M199" i="9"/>
  <c r="J266" i="9"/>
  <c r="D266" i="9"/>
  <c r="G266" i="9"/>
  <c r="M266" i="9"/>
  <c r="M26" i="9"/>
  <c r="J26" i="9"/>
  <c r="G26" i="9"/>
  <c r="D26" i="9"/>
  <c r="F206" i="9"/>
  <c r="E206" i="9" s="1"/>
  <c r="D8" i="9" s="1"/>
  <c r="O54" i="9"/>
  <c r="N54" i="9" s="1"/>
  <c r="M16" i="9" s="1"/>
  <c r="M41" i="3"/>
  <c r="L41" i="3"/>
  <c r="N41" i="3"/>
  <c r="Q69" i="3"/>
  <c r="R69" i="3"/>
  <c r="P69" i="3"/>
  <c r="M71" i="9"/>
  <c r="J71" i="9"/>
  <c r="D71" i="9"/>
  <c r="G71" i="9"/>
  <c r="D144" i="9"/>
  <c r="M144" i="9"/>
  <c r="G144" i="9"/>
  <c r="J144" i="9"/>
  <c r="M13" i="3"/>
  <c r="L13" i="3"/>
  <c r="N13" i="3"/>
  <c r="N10" i="3"/>
  <c r="L10" i="3"/>
  <c r="M10" i="3"/>
  <c r="M40" i="9"/>
  <c r="G40" i="9"/>
  <c r="J40" i="9"/>
  <c r="D40" i="9"/>
  <c r="I206" i="9"/>
  <c r="H206" i="9" s="1"/>
  <c r="G8" i="9" s="1"/>
  <c r="I43" i="3"/>
  <c r="J43" i="3"/>
  <c r="H43" i="3"/>
  <c r="D160" i="9"/>
  <c r="J160" i="9"/>
  <c r="G160" i="9"/>
  <c r="M160" i="9"/>
  <c r="L16" i="3"/>
  <c r="M16" i="3"/>
  <c r="N16" i="3"/>
  <c r="M279" i="9"/>
  <c r="D279" i="9"/>
  <c r="J279" i="9"/>
  <c r="G279" i="9"/>
  <c r="D70" i="9"/>
  <c r="J70" i="9"/>
  <c r="M70" i="9"/>
  <c r="G70" i="9"/>
  <c r="J80" i="9"/>
  <c r="G80" i="9"/>
  <c r="D80" i="9"/>
  <c r="M80" i="9"/>
  <c r="J181" i="9"/>
  <c r="D181" i="9"/>
  <c r="G181" i="9"/>
  <c r="M181" i="9"/>
  <c r="Q49" i="3"/>
  <c r="R49" i="3"/>
  <c r="P49" i="3"/>
  <c r="D121" i="9"/>
  <c r="M121" i="9"/>
  <c r="J121" i="9"/>
  <c r="G121" i="9"/>
  <c r="D212" i="9"/>
  <c r="M212" i="9"/>
  <c r="C244" i="9"/>
  <c r="J212" i="9"/>
  <c r="G212" i="9"/>
  <c r="G151" i="9"/>
  <c r="D151" i="9"/>
  <c r="J151" i="9"/>
  <c r="M151" i="9"/>
  <c r="I244" i="9"/>
  <c r="H244" i="9" s="1"/>
  <c r="G10" i="9" s="1"/>
  <c r="L19" i="5"/>
  <c r="N19" i="5"/>
  <c r="M19" i="5"/>
  <c r="R39" i="3"/>
  <c r="Q39" i="3"/>
  <c r="P39" i="3"/>
  <c r="D276" i="9"/>
  <c r="G276" i="9"/>
  <c r="J276" i="9"/>
  <c r="M276" i="9"/>
  <c r="M24" i="3"/>
  <c r="L24" i="3"/>
  <c r="N24" i="3"/>
  <c r="N15" i="5"/>
  <c r="M15" i="5"/>
  <c r="L15" i="5"/>
  <c r="M85" i="9"/>
  <c r="J85" i="9"/>
  <c r="D85" i="9"/>
  <c r="G85" i="9"/>
  <c r="L7" i="3"/>
  <c r="M7" i="3"/>
  <c r="N7" i="3"/>
  <c r="J31" i="9"/>
  <c r="M31" i="9"/>
  <c r="D31" i="9"/>
  <c r="G31" i="9"/>
  <c r="G139" i="9"/>
  <c r="M139" i="9"/>
  <c r="D139" i="9"/>
  <c r="J139" i="9"/>
  <c r="M235" i="9"/>
  <c r="J235" i="9"/>
  <c r="D235" i="9"/>
  <c r="G235" i="9"/>
  <c r="G63" i="9"/>
  <c r="D63" i="9"/>
  <c r="J63" i="9"/>
  <c r="M63" i="9"/>
  <c r="R35" i="3"/>
  <c r="P35" i="3"/>
  <c r="Q35" i="3"/>
  <c r="N6" i="5"/>
  <c r="M6" i="5"/>
  <c r="L6" i="5"/>
  <c r="J142" i="9"/>
  <c r="M142" i="9"/>
  <c r="G142" i="9"/>
  <c r="D142" i="9"/>
  <c r="G180" i="9"/>
  <c r="M180" i="9"/>
  <c r="J180" i="9"/>
  <c r="D180" i="9"/>
  <c r="G82" i="9"/>
  <c r="M82" i="9"/>
  <c r="D82" i="9"/>
  <c r="J82" i="9"/>
  <c r="J140" i="9"/>
  <c r="D140" i="9"/>
  <c r="M140" i="9"/>
  <c r="G140" i="9"/>
  <c r="D48" i="9"/>
  <c r="J48" i="9"/>
  <c r="M48" i="9"/>
  <c r="G48" i="9"/>
  <c r="Q67" i="3"/>
  <c r="P67" i="3"/>
  <c r="R67" i="3"/>
  <c r="G116" i="9"/>
  <c r="M116" i="9"/>
  <c r="J116" i="9"/>
  <c r="D116" i="9"/>
  <c r="H63" i="3"/>
  <c r="J63" i="3"/>
  <c r="I63" i="3"/>
  <c r="J236" i="9"/>
  <c r="D236" i="9"/>
  <c r="M236" i="9"/>
  <c r="G236" i="9"/>
  <c r="M137" i="9"/>
  <c r="G137" i="9"/>
  <c r="D137" i="9"/>
  <c r="J137" i="9"/>
  <c r="M25" i="5"/>
  <c r="L25" i="5"/>
  <c r="N25" i="5"/>
  <c r="N49" i="3"/>
  <c r="L49" i="3"/>
  <c r="M49" i="3"/>
  <c r="M148" i="9"/>
  <c r="D148" i="9"/>
  <c r="G148" i="9"/>
  <c r="J148" i="9"/>
  <c r="G190" i="9"/>
  <c r="M190" i="9"/>
  <c r="D190" i="9"/>
  <c r="J190" i="9"/>
  <c r="Q32" i="3"/>
  <c r="R32" i="3"/>
  <c r="P32" i="3"/>
  <c r="Q56" i="3"/>
  <c r="P56" i="3"/>
  <c r="R56" i="3"/>
  <c r="I64" i="3"/>
  <c r="H64" i="3"/>
  <c r="J64" i="3"/>
  <c r="M261" i="9"/>
  <c r="J261" i="9"/>
  <c r="D261" i="9"/>
  <c r="G261" i="9"/>
  <c r="M73" i="3"/>
  <c r="L73" i="3"/>
  <c r="N73" i="3"/>
  <c r="J50" i="3"/>
  <c r="H50" i="3"/>
  <c r="I50" i="3"/>
  <c r="J88" i="9"/>
  <c r="M88" i="9"/>
  <c r="D88" i="9"/>
  <c r="G88" i="9"/>
  <c r="M22" i="9"/>
  <c r="J22" i="9"/>
  <c r="C54" i="9"/>
  <c r="D22" i="9"/>
  <c r="G22" i="9"/>
  <c r="G33" i="9"/>
  <c r="D33" i="9"/>
  <c r="J33" i="9"/>
  <c r="M33" i="9"/>
  <c r="M19" i="3"/>
  <c r="L19" i="3"/>
  <c r="N19" i="3"/>
  <c r="L22" i="3"/>
  <c r="N22" i="3"/>
  <c r="M22" i="3"/>
  <c r="P31" i="3"/>
  <c r="R31" i="3"/>
  <c r="Q31" i="3"/>
  <c r="G155" i="9"/>
  <c r="D155" i="9"/>
  <c r="M155" i="9"/>
  <c r="J155" i="9"/>
  <c r="N18" i="3"/>
  <c r="M18" i="3"/>
  <c r="L18" i="3"/>
  <c r="G262" i="9"/>
  <c r="J262" i="9"/>
  <c r="D262" i="9"/>
  <c r="M262" i="9"/>
  <c r="D280" i="9"/>
  <c r="J280" i="9"/>
  <c r="G280" i="9"/>
  <c r="M280" i="9"/>
  <c r="J74" i="3"/>
  <c r="I74" i="3"/>
  <c r="H74" i="3"/>
  <c r="N56" i="3"/>
  <c r="M56" i="3"/>
  <c r="L56" i="3"/>
  <c r="H35" i="3"/>
  <c r="J35" i="3"/>
  <c r="I35" i="3"/>
  <c r="J237" i="9"/>
  <c r="G237" i="9"/>
  <c r="M237" i="9"/>
  <c r="D237" i="9"/>
  <c r="M162" i="9"/>
  <c r="J162" i="9"/>
  <c r="G162" i="9"/>
  <c r="D162" i="9"/>
  <c r="M36" i="3"/>
  <c r="N36" i="3"/>
  <c r="L36" i="3"/>
  <c r="G255" i="9"/>
  <c r="M255" i="9"/>
  <c r="J255" i="9"/>
  <c r="D255" i="9"/>
  <c r="I92" i="9"/>
  <c r="H92" i="9" s="1"/>
  <c r="G4" i="9" s="1"/>
  <c r="N31" i="3"/>
  <c r="L31" i="3"/>
  <c r="M31" i="3"/>
  <c r="D163" i="9"/>
  <c r="G163" i="9"/>
  <c r="M163" i="9"/>
  <c r="J163" i="9"/>
  <c r="L9" i="3"/>
  <c r="N9" i="3"/>
  <c r="M9" i="3"/>
  <c r="R45" i="3"/>
  <c r="Q45" i="3"/>
  <c r="P45" i="3"/>
  <c r="D118" i="9"/>
  <c r="M118" i="9"/>
  <c r="J118" i="9"/>
  <c r="G118" i="9"/>
  <c r="L11" i="5"/>
  <c r="M11" i="5"/>
  <c r="N11" i="5"/>
  <c r="N32" i="3"/>
  <c r="M32" i="3"/>
  <c r="L32" i="3"/>
  <c r="J277" i="9"/>
  <c r="M277" i="9"/>
  <c r="D277" i="9"/>
  <c r="G277" i="9"/>
  <c r="G62" i="9"/>
  <c r="M62" i="9"/>
  <c r="D62" i="9"/>
  <c r="J62" i="9"/>
  <c r="R43" i="3"/>
  <c r="Q43" i="3"/>
  <c r="P43" i="3"/>
  <c r="G216" i="9"/>
  <c r="M216" i="9"/>
  <c r="D216" i="9"/>
  <c r="J216" i="9"/>
  <c r="F168" i="9"/>
  <c r="E168" i="9" s="1"/>
  <c r="D12" i="9" s="1"/>
  <c r="J123" i="9"/>
  <c r="D123" i="9"/>
  <c r="G123" i="9"/>
  <c r="M123" i="9"/>
  <c r="M119" i="9"/>
  <c r="J119" i="9"/>
  <c r="D119" i="9"/>
  <c r="G119" i="9"/>
  <c r="J49" i="9"/>
  <c r="G49" i="9"/>
  <c r="D49" i="9"/>
  <c r="M49" i="9"/>
  <c r="J45" i="9"/>
  <c r="G45" i="9"/>
  <c r="M45" i="9"/>
  <c r="D45" i="9"/>
  <c r="G60" i="9"/>
  <c r="C92" i="9"/>
  <c r="J60" i="9"/>
  <c r="M60" i="9"/>
  <c r="D60" i="9"/>
  <c r="G192" i="9"/>
  <c r="M192" i="9"/>
  <c r="J192" i="9"/>
  <c r="D192" i="9"/>
  <c r="F92" i="9"/>
  <c r="E92" i="9" s="1"/>
  <c r="D4" i="9" s="1"/>
  <c r="J278" i="9"/>
  <c r="D278" i="9"/>
  <c r="M278" i="9"/>
  <c r="G278" i="9"/>
  <c r="N8" i="3"/>
  <c r="M8" i="3"/>
  <c r="L8" i="3"/>
  <c r="G104" i="9"/>
  <c r="D104" i="9"/>
  <c r="M104" i="9"/>
  <c r="J104" i="9"/>
  <c r="M10" i="5"/>
  <c r="L10" i="5"/>
  <c r="N10" i="5"/>
  <c r="L12" i="3"/>
  <c r="M12" i="3"/>
  <c r="N12" i="3"/>
  <c r="L12" i="5"/>
  <c r="M12" i="5"/>
  <c r="N12" i="5"/>
  <c r="N58" i="3"/>
  <c r="L58" i="3"/>
  <c r="M58" i="3"/>
  <c r="G110" i="9"/>
  <c r="M110" i="9"/>
  <c r="J110" i="9"/>
  <c r="D110" i="9"/>
  <c r="G230" i="9"/>
  <c r="D230" i="9"/>
  <c r="J230" i="9"/>
  <c r="M230" i="9"/>
  <c r="G202" i="9"/>
  <c r="M202" i="9"/>
  <c r="D202" i="9"/>
  <c r="J202" i="9"/>
  <c r="M7" i="5"/>
  <c r="N7" i="5"/>
  <c r="L7" i="5"/>
  <c r="L168" i="9"/>
  <c r="K168" i="9" s="1"/>
  <c r="J12" i="9" s="1"/>
  <c r="G201" i="9"/>
  <c r="M201" i="9"/>
  <c r="J201" i="9"/>
  <c r="D201" i="9"/>
  <c r="L23" i="5"/>
  <c r="M23" i="5"/>
  <c r="N23" i="5"/>
  <c r="M215" i="9"/>
  <c r="G215" i="9"/>
  <c r="D215" i="9"/>
  <c r="J215" i="9"/>
  <c r="J224" i="9"/>
  <c r="G224" i="9"/>
  <c r="D224" i="9"/>
  <c r="M224" i="9"/>
  <c r="N18" i="5"/>
  <c r="L18" i="5"/>
  <c r="M18" i="5"/>
  <c r="M68" i="3"/>
  <c r="L68" i="3"/>
  <c r="N68" i="3"/>
  <c r="L24" i="5"/>
  <c r="N24" i="5"/>
  <c r="M24" i="5"/>
  <c r="M176" i="9"/>
  <c r="J176" i="9"/>
  <c r="D176" i="9"/>
  <c r="G176" i="9"/>
  <c r="G72" i="9"/>
  <c r="J72" i="9"/>
  <c r="M72" i="9"/>
  <c r="D72" i="9"/>
  <c r="J250" i="9"/>
  <c r="C282" i="9"/>
  <c r="M250" i="9"/>
  <c r="G250" i="9"/>
  <c r="D250" i="9"/>
  <c r="D264" i="9"/>
  <c r="M264" i="9"/>
  <c r="G264" i="9"/>
  <c r="J264" i="9"/>
  <c r="D87" i="9"/>
  <c r="M87" i="9"/>
  <c r="J87" i="9"/>
  <c r="G87" i="9"/>
  <c r="R63" i="3"/>
  <c r="P63" i="3"/>
  <c r="Q63" i="3"/>
  <c r="P38" i="3"/>
  <c r="R38" i="3"/>
  <c r="Q38" i="3"/>
  <c r="J106" i="9"/>
  <c r="M106" i="9"/>
  <c r="G106" i="9"/>
  <c r="D106" i="9"/>
  <c r="D263" i="9"/>
  <c r="M263" i="9"/>
  <c r="J263" i="9"/>
  <c r="G263" i="9"/>
  <c r="M115" i="9"/>
  <c r="G115" i="9"/>
  <c r="D115" i="9"/>
  <c r="J115" i="9"/>
  <c r="I62" i="3"/>
  <c r="H62" i="3"/>
  <c r="J62" i="3"/>
  <c r="I168" i="9"/>
  <c r="H168" i="9" s="1"/>
  <c r="G12" i="9" s="1"/>
  <c r="G226" i="9"/>
  <c r="D226" i="9"/>
  <c r="J226" i="9"/>
  <c r="M226" i="9"/>
  <c r="I130" i="9"/>
  <c r="H130" i="9" s="1"/>
  <c r="G6" i="9" s="1"/>
  <c r="M21" i="5"/>
  <c r="L21" i="5"/>
  <c r="N21" i="5"/>
  <c r="Q57" i="3"/>
  <c r="R57" i="3"/>
  <c r="P57" i="3"/>
  <c r="N65" i="3"/>
  <c r="M65" i="3"/>
  <c r="L65" i="3"/>
  <c r="D204" i="9"/>
  <c r="M204" i="9"/>
  <c r="J204" i="9"/>
  <c r="G204" i="9"/>
  <c r="D98" i="9"/>
  <c r="C130" i="9"/>
  <c r="J98" i="9"/>
  <c r="G98" i="9"/>
  <c r="M98" i="9"/>
  <c r="G117" i="9"/>
  <c r="J117" i="9"/>
  <c r="M117" i="9"/>
  <c r="D117" i="9"/>
  <c r="M66" i="9"/>
  <c r="D66" i="9"/>
  <c r="J66" i="9"/>
  <c r="G66" i="9"/>
  <c r="G105" i="9"/>
  <c r="D105" i="9"/>
  <c r="M105" i="9"/>
  <c r="J105" i="9"/>
  <c r="J41" i="3"/>
  <c r="I41" i="3"/>
  <c r="H41" i="3"/>
  <c r="M143" i="9"/>
  <c r="G143" i="9"/>
  <c r="J143" i="9"/>
  <c r="D143" i="9"/>
  <c r="M41" i="9"/>
  <c r="G41" i="9"/>
  <c r="J41" i="9"/>
  <c r="D41" i="9"/>
  <c r="N42" i="3"/>
  <c r="M42" i="3"/>
  <c r="L42" i="3"/>
  <c r="D122" i="9"/>
  <c r="M122" i="9"/>
  <c r="G122" i="9"/>
  <c r="J122" i="9"/>
  <c r="M6" i="3"/>
  <c r="N6" i="3"/>
  <c r="L6" i="3"/>
  <c r="P59" i="3"/>
  <c r="Q59" i="3"/>
  <c r="R59" i="3"/>
  <c r="D240" i="9"/>
  <c r="M240" i="9"/>
  <c r="G240" i="9"/>
  <c r="J240" i="9"/>
  <c r="J61" i="3"/>
  <c r="I61" i="3"/>
  <c r="H61" i="3"/>
  <c r="M15" i="3"/>
  <c r="N15" i="3"/>
  <c r="L15" i="3"/>
  <c r="J39" i="3"/>
  <c r="H39" i="3"/>
  <c r="I39" i="3"/>
  <c r="J178" i="9"/>
  <c r="D178" i="9"/>
  <c r="G178" i="9"/>
  <c r="M178" i="9"/>
  <c r="J125" i="9"/>
  <c r="M125" i="9"/>
  <c r="G125" i="9"/>
  <c r="D125" i="9"/>
  <c r="J267" i="9"/>
  <c r="G267" i="9"/>
  <c r="M267" i="9"/>
  <c r="D267" i="9"/>
  <c r="G156" i="9"/>
  <c r="M156" i="9"/>
  <c r="J156" i="9"/>
  <c r="D156" i="9"/>
  <c r="G186" i="9"/>
  <c r="M186" i="9"/>
  <c r="D186" i="9"/>
  <c r="J186" i="9"/>
  <c r="M22" i="5"/>
  <c r="N22" i="5"/>
  <c r="L22" i="5"/>
  <c r="M252" i="9"/>
  <c r="D252" i="9"/>
  <c r="J252" i="9"/>
  <c r="G252" i="9"/>
  <c r="I31" i="3"/>
  <c r="J31" i="3"/>
  <c r="H31" i="3"/>
  <c r="M128" i="9"/>
  <c r="G128" i="9"/>
  <c r="D128" i="9"/>
  <c r="J128" i="9"/>
  <c r="M38" i="9"/>
  <c r="D38" i="9"/>
  <c r="G38" i="9"/>
  <c r="J38" i="9"/>
  <c r="M101" i="9"/>
  <c r="J101" i="9"/>
  <c r="G101" i="9"/>
  <c r="D101" i="9"/>
  <c r="G51" i="9"/>
  <c r="D51" i="9"/>
  <c r="J51" i="9"/>
  <c r="M51" i="9"/>
  <c r="F244" i="9"/>
  <c r="E244" i="9" s="1"/>
  <c r="D10" i="9" s="1"/>
  <c r="M17" i="5"/>
  <c r="N17" i="5"/>
  <c r="L17" i="5"/>
  <c r="G86" i="9"/>
  <c r="J86" i="9"/>
  <c r="D86" i="9"/>
  <c r="M86" i="9"/>
  <c r="N64" i="3"/>
  <c r="M64" i="3"/>
  <c r="L64" i="3"/>
  <c r="D100" i="9"/>
  <c r="G100" i="9"/>
  <c r="M100" i="9"/>
  <c r="J100" i="9"/>
  <c r="M234" i="9"/>
  <c r="D234" i="9"/>
  <c r="J234" i="9"/>
  <c r="G234" i="9"/>
  <c r="N11" i="3"/>
  <c r="M11" i="3"/>
  <c r="L11" i="3"/>
  <c r="M102" i="9"/>
  <c r="D102" i="9"/>
  <c r="J102" i="9"/>
  <c r="G102" i="9"/>
  <c r="M141" i="9"/>
  <c r="D141" i="9"/>
  <c r="J141" i="9"/>
  <c r="G141" i="9"/>
  <c r="J124" i="9"/>
  <c r="G124" i="9"/>
  <c r="D124" i="9"/>
  <c r="M124" i="9"/>
  <c r="J164" i="9"/>
  <c r="G164" i="9"/>
  <c r="M164" i="9"/>
  <c r="D164" i="9"/>
  <c r="G52" i="9"/>
  <c r="D52" i="9"/>
  <c r="M52" i="9"/>
  <c r="J52" i="9"/>
  <c r="J113" i="9"/>
  <c r="M113" i="9"/>
  <c r="G113" i="9"/>
  <c r="D113" i="9"/>
  <c r="M37" i="9"/>
  <c r="J37" i="9"/>
  <c r="D37" i="9"/>
  <c r="G37" i="9"/>
  <c r="J49" i="3"/>
  <c r="H49" i="3"/>
  <c r="I49" i="3"/>
  <c r="G188" i="9"/>
  <c r="J188" i="9"/>
  <c r="M188" i="9"/>
  <c r="D188" i="9"/>
  <c r="L54" i="9"/>
  <c r="K54" i="9" s="1"/>
  <c r="J16" i="9" s="1"/>
  <c r="R34" i="3"/>
  <c r="Q34" i="3"/>
  <c r="P34" i="3"/>
  <c r="G152" i="9"/>
  <c r="D152" i="9"/>
  <c r="M152" i="9"/>
  <c r="J152" i="9"/>
  <c r="R72" i="3"/>
  <c r="P72" i="3"/>
  <c r="Q72" i="3"/>
  <c r="O206" i="9"/>
  <c r="N206" i="9" s="1"/>
  <c r="M8" i="9" s="1"/>
  <c r="M177" i="9"/>
  <c r="D177" i="9"/>
  <c r="J177" i="9"/>
  <c r="G177" i="9"/>
  <c r="N67" i="3"/>
  <c r="L67" i="3"/>
  <c r="M67" i="3"/>
  <c r="O244" i="9"/>
  <c r="N244" i="9" s="1"/>
  <c r="M10" i="9" s="1"/>
  <c r="J69" i="9"/>
  <c r="M69" i="9"/>
  <c r="G69" i="9"/>
  <c r="D69" i="9"/>
  <c r="P40" i="3"/>
  <c r="Q40" i="3"/>
  <c r="R40" i="3"/>
  <c r="J213" i="9"/>
  <c r="M213" i="9"/>
  <c r="G213" i="9"/>
  <c r="D213" i="9"/>
  <c r="J44" i="9"/>
  <c r="M44" i="9"/>
  <c r="G44" i="9"/>
  <c r="D44" i="9"/>
  <c r="L282" i="9"/>
  <c r="K282" i="9" s="1"/>
  <c r="J14" i="9" s="1"/>
  <c r="D47" i="9"/>
  <c r="G47" i="9"/>
  <c r="J47" i="9"/>
  <c r="M47" i="9"/>
  <c r="J194" i="9"/>
  <c r="D194" i="9"/>
  <c r="G194" i="9"/>
  <c r="M194" i="9"/>
  <c r="I282" i="9"/>
  <c r="H282" i="9" s="1"/>
  <c r="G14" i="9" s="1"/>
  <c r="J150" i="9"/>
  <c r="M150" i="9"/>
  <c r="G150" i="9"/>
  <c r="D150" i="9"/>
  <c r="I54" i="9"/>
  <c r="H54" i="9" s="1"/>
  <c r="G16" i="9" s="1"/>
  <c r="O130" i="9"/>
  <c r="N130" i="9" s="1"/>
  <c r="M6" i="9" s="1"/>
  <c r="J60" i="3"/>
  <c r="I60" i="3"/>
  <c r="H60" i="3"/>
  <c r="J157" i="9"/>
  <c r="D157" i="9"/>
  <c r="G157" i="9"/>
  <c r="M157" i="9"/>
  <c r="L92" i="9"/>
  <c r="K92" i="9" s="1"/>
  <c r="J4" i="9" s="1"/>
  <c r="M145" i="9"/>
  <c r="D145" i="9"/>
  <c r="G145" i="9"/>
  <c r="J145" i="9"/>
  <c r="M198" i="9"/>
  <c r="D198" i="9"/>
  <c r="J198" i="9"/>
  <c r="G198" i="9"/>
  <c r="J59" i="3"/>
  <c r="I59" i="3"/>
  <c r="H59" i="3"/>
  <c r="D136" i="9"/>
  <c r="C168" i="9"/>
  <c r="G136" i="9"/>
  <c r="J136" i="9"/>
  <c r="M136" i="9"/>
  <c r="M179" i="9"/>
  <c r="J179" i="9"/>
  <c r="G179" i="9"/>
  <c r="D179" i="9"/>
  <c r="Q33" i="3"/>
  <c r="R33" i="3"/>
  <c r="P33" i="3"/>
  <c r="F54" i="9"/>
  <c r="D238" i="9"/>
  <c r="J238" i="9"/>
  <c r="M238" i="9"/>
  <c r="G238" i="9"/>
  <c r="N23" i="3"/>
  <c r="L23" i="3"/>
  <c r="M23" i="3"/>
  <c r="G223" i="9"/>
  <c r="D223" i="9"/>
  <c r="M223" i="9"/>
  <c r="J223" i="9"/>
  <c r="H40" i="3"/>
  <c r="I40" i="3"/>
  <c r="J40" i="3"/>
  <c r="L130" i="9"/>
  <c r="K130" i="9" s="1"/>
  <c r="J6" i="9" s="1"/>
  <c r="L35" i="3"/>
  <c r="M35" i="3"/>
  <c r="N35" i="3"/>
  <c r="D81" i="9"/>
  <c r="M81" i="9"/>
  <c r="G81" i="9"/>
  <c r="J81" i="9"/>
  <c r="L37" i="3"/>
  <c r="M37" i="3"/>
  <c r="N37" i="3"/>
  <c r="L8" i="5"/>
  <c r="N8" i="5"/>
  <c r="M8" i="5"/>
  <c r="G217" i="9"/>
  <c r="J217" i="9"/>
  <c r="D217" i="9"/>
  <c r="M217" i="9"/>
  <c r="J254" i="9"/>
  <c r="G254" i="9"/>
  <c r="D254" i="9"/>
  <c r="M254" i="9"/>
  <c r="J225" i="9"/>
  <c r="G225" i="9"/>
  <c r="D225" i="9"/>
  <c r="M225" i="9"/>
  <c r="J107" i="9"/>
  <c r="D107" i="9"/>
  <c r="G107" i="9"/>
  <c r="M107" i="9"/>
  <c r="D185" i="9"/>
  <c r="G185" i="9"/>
  <c r="M185" i="9"/>
  <c r="J185" i="9"/>
  <c r="N45" i="3"/>
  <c r="M45" i="3"/>
  <c r="L45" i="3"/>
  <c r="J103" i="9"/>
  <c r="G103" i="9"/>
  <c r="M103" i="9"/>
  <c r="D103" i="9"/>
  <c r="J37" i="3"/>
  <c r="I37" i="3"/>
  <c r="H37" i="3"/>
  <c r="I68" i="3"/>
  <c r="H68" i="3"/>
  <c r="J68" i="3"/>
  <c r="D227" i="9"/>
  <c r="G227" i="9"/>
  <c r="J227" i="9"/>
  <c r="M227" i="9"/>
  <c r="J149" i="9"/>
  <c r="M149" i="9"/>
  <c r="D149" i="9"/>
  <c r="G149" i="9"/>
  <c r="G127" i="9"/>
  <c r="D127" i="9"/>
  <c r="M127" i="9"/>
  <c r="J127" i="9"/>
  <c r="H47" i="3"/>
  <c r="I47" i="3"/>
  <c r="J47" i="3"/>
  <c r="J256" i="9"/>
  <c r="M256" i="9"/>
  <c r="D256" i="9"/>
  <c r="G256" i="9"/>
  <c r="J84" i="9"/>
  <c r="G84" i="9"/>
  <c r="M84" i="9"/>
  <c r="D84" i="9"/>
  <c r="D231" i="9"/>
  <c r="J231" i="9"/>
  <c r="M231" i="9"/>
  <c r="G231" i="9"/>
  <c r="L44" i="3"/>
  <c r="N44" i="3"/>
  <c r="M44" i="3"/>
  <c r="Q44" i="3"/>
  <c r="P44" i="3"/>
  <c r="R44" i="3"/>
  <c r="D154" i="9"/>
  <c r="M154" i="9"/>
  <c r="J154" i="9"/>
  <c r="G154" i="9"/>
  <c r="M50" i="3"/>
  <c r="N50" i="3"/>
  <c r="L50" i="3"/>
  <c r="N17" i="3"/>
  <c r="L17" i="3"/>
  <c r="M17" i="3"/>
  <c r="N13" i="5"/>
  <c r="L13" i="5"/>
  <c r="M13" i="5"/>
  <c r="N20" i="5"/>
  <c r="M20" i="5"/>
  <c r="L20" i="5"/>
  <c r="R74" i="3"/>
  <c r="Q74" i="3"/>
  <c r="P74" i="3"/>
  <c r="G159" i="9"/>
  <c r="J159" i="9"/>
  <c r="D159" i="9"/>
  <c r="M159" i="9"/>
  <c r="G189" i="9"/>
  <c r="M189" i="9"/>
  <c r="D189" i="9"/>
  <c r="J189" i="9"/>
  <c r="J219" i="9"/>
  <c r="M219" i="9"/>
  <c r="D219" i="9"/>
  <c r="G219" i="9"/>
  <c r="G257" i="9"/>
  <c r="M257" i="9"/>
  <c r="J257" i="9"/>
  <c r="D257" i="9"/>
  <c r="G259" i="9"/>
  <c r="M259" i="9"/>
  <c r="J259" i="9"/>
  <c r="D259" i="9"/>
  <c r="M274" i="9"/>
  <c r="J274" i="9"/>
  <c r="G274" i="9"/>
  <c r="D274" i="9"/>
  <c r="M71" i="3"/>
  <c r="L71" i="3"/>
  <c r="N71" i="3"/>
  <c r="L16" i="5"/>
  <c r="N16" i="5"/>
  <c r="M16" i="5"/>
  <c r="D99" i="9"/>
  <c r="J99" i="9"/>
  <c r="M99" i="9"/>
  <c r="G99" i="9"/>
  <c r="J241" i="9"/>
  <c r="D241" i="9"/>
  <c r="G241" i="9"/>
  <c r="M241" i="9"/>
  <c r="L14" i="5"/>
  <c r="M14" i="5"/>
  <c r="N14" i="5"/>
  <c r="N63" i="3"/>
  <c r="L63" i="3"/>
  <c r="M63" i="3"/>
  <c r="M253" i="9"/>
  <c r="J253" i="9"/>
  <c r="D253" i="9"/>
  <c r="G253" i="9"/>
  <c r="J67" i="3"/>
  <c r="I67" i="3"/>
  <c r="H67" i="3"/>
  <c r="L38" i="3"/>
  <c r="M38" i="3"/>
  <c r="N38" i="3"/>
  <c r="M27" i="9"/>
  <c r="J27" i="9"/>
  <c r="G27" i="9"/>
  <c r="D27" i="9"/>
  <c r="I57" i="3"/>
  <c r="J57" i="3"/>
  <c r="H57" i="3"/>
  <c r="G39" i="9"/>
  <c r="D39" i="9"/>
  <c r="J39" i="9"/>
  <c r="M39" i="9"/>
  <c r="J260" i="9"/>
  <c r="D260" i="9"/>
  <c r="G260" i="9"/>
  <c r="M260" i="9"/>
  <c r="O92" i="9"/>
  <c r="N92" i="9" s="1"/>
  <c r="M4" i="9" s="1"/>
  <c r="Q46" i="3"/>
  <c r="P46" i="3"/>
  <c r="R46" i="3"/>
  <c r="P42" i="3"/>
  <c r="Q42" i="3"/>
  <c r="R42" i="3"/>
  <c r="J184" i="9"/>
  <c r="G184" i="9"/>
  <c r="M184" i="9"/>
  <c r="D184" i="9"/>
  <c r="M74" i="3"/>
  <c r="L74" i="3"/>
  <c r="N74" i="3"/>
  <c r="G221" i="9"/>
  <c r="J221" i="9"/>
  <c r="D221" i="9"/>
  <c r="M221" i="9"/>
  <c r="N70" i="3"/>
  <c r="M70" i="3"/>
  <c r="L70" i="3"/>
  <c r="I38" i="3"/>
  <c r="H38" i="3"/>
  <c r="J38" i="3"/>
  <c r="M48" i="3"/>
  <c r="L48" i="3"/>
  <c r="N48" i="3"/>
  <c r="G78" i="9"/>
  <c r="M78" i="9"/>
  <c r="D78" i="9"/>
  <c r="J78" i="9"/>
  <c r="G168" i="9" l="1"/>
  <c r="M130" i="9"/>
  <c r="D130" i="9"/>
  <c r="J92" i="9"/>
  <c r="D54" i="9"/>
  <c r="M244" i="9"/>
  <c r="D206" i="9"/>
  <c r="G206" i="9"/>
  <c r="M92" i="9"/>
  <c r="E54" i="9"/>
  <c r="D16" i="9" s="1"/>
  <c r="B12" i="9" s="1"/>
  <c r="B6" i="9"/>
  <c r="B11" i="9"/>
  <c r="B7" i="9"/>
  <c r="B8" i="9"/>
  <c r="B9" i="9"/>
  <c r="B15" i="9"/>
  <c r="B4" i="9"/>
  <c r="B10" i="9"/>
  <c r="M168" i="9"/>
  <c r="D168" i="9"/>
  <c r="G130" i="9"/>
  <c r="D282" i="9"/>
  <c r="J282" i="9"/>
  <c r="G244" i="9"/>
  <c r="D244" i="9"/>
  <c r="J206" i="9"/>
  <c r="M282" i="9"/>
  <c r="G54" i="9"/>
  <c r="M54" i="9"/>
  <c r="J168" i="9"/>
  <c r="J130" i="9"/>
  <c r="G282" i="9"/>
  <c r="D92" i="9"/>
  <c r="G92" i="9"/>
  <c r="J54" i="9"/>
  <c r="J244" i="9"/>
  <c r="M206" i="9"/>
  <c r="B14" i="9" l="1"/>
  <c r="B13" i="9"/>
  <c r="B5" i="9"/>
  <c r="B3" i="9"/>
  <c r="B16" i="9"/>
</calcChain>
</file>

<file path=xl/sharedStrings.xml><?xml version="1.0" encoding="utf-8"?>
<sst xmlns="http://schemas.openxmlformats.org/spreadsheetml/2006/main" count="3996" uniqueCount="356">
  <si>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</si>
  <si>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</si>
  <si>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</si>
  <si>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</si>
  <si>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</si>
  <si>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</si>
  <si>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</si>
  <si>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</si>
  <si>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</si>
  <si>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</si>
  <si>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</si>
  <si>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</si>
  <si>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</si>
  <si>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</si>
  <si>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</si>
  <si>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</si>
  <si>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</si>
  <si>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</si>
  <si>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</si>
  <si>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</si>
  <si>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</si>
  <si>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</si>
  <si>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</si>
  <si>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</si>
  <si>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</si>
  <si>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</si>
  <si>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</si>
  <si>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</si>
  <si>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</si>
  <si>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</si>
  <si>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</si>
  <si>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</si>
  <si>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</si>
  <si>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</si>
  <si>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</si>
  <si>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</si>
  <si>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</si>
  <si>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</si>
  <si>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</si>
  <si>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</si>
  <si>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</si>
  <si>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</si>
  <si>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</si>
  <si>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</si>
  <si>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</si>
  <si>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</si>
  <si>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</si>
  <si>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</si>
  <si>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</si>
  <si>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</si>
  <si>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</si>
  <si>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</si>
  <si>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</si>
  <si>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</si>
  <si>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</si>
  <si>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</si>
  <si>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</si>
  <si>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</si>
  <si>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</si>
  <si>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</si>
  <si>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</si>
  <si>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</si>
  <si>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</si>
  <si>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</si>
  <si>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</si>
  <si>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</si>
  <si>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</si>
  <si>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</si>
  <si>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</si>
  <si>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</si>
  <si>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</si>
  <si>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</si>
  <si>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</si>
  <si>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</si>
  <si>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</si>
  <si>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</si>
  <si>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</si>
  <si>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</si>
  <si>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</si>
  <si>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</si>
  <si>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</si>
  <si>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</si>
  <si>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</si>
  <si>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</si>
  <si>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</si>
  <si>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</si>
  <si>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</si>
  <si>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</si>
  <si>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</si>
  <si>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</si>
  <si>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</si>
  <si>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</si>
  <si>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</si>
  <si>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</si>
  <si>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</si>
  <si>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</si>
  <si>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</si>
  <si>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</si>
  <si>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</si>
  <si>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</si>
  <si>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</si>
  <si>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</si>
  <si>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</si>
  <si>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</si>
  <si>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</si>
  <si>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</si>
  <si>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</si>
  <si>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</si>
  <si>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</si>
  <si>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</si>
  <si>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</si>
  <si>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</si>
  <si>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</si>
  <si>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</si>
  <si>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</si>
  <si>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</si>
  <si>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</si>
  <si>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</si>
  <si>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</si>
  <si>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</si>
  <si>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</si>
  <si>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</si>
  <si>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</si>
  <si>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</si>
  <si>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</si>
  <si>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</si>
  <si>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</si>
  <si>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</si>
  <si>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</si>
  <si>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</si>
  <si>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</si>
  <si>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</si>
  <si>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</si>
  <si>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</si>
  <si>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</si>
  <si>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</si>
  <si>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</si>
  <si>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</si>
  <si>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</si>
  <si>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</si>
  <si>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</si>
  <si>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</si>
  <si>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</si>
  <si>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</si>
  <si>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</si>
  <si>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</si>
  <si>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</si>
  <si>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</si>
  <si>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</si>
  <si>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</si>
  <si>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</si>
  <si>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</si>
  <si>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</si>
  <si>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</si>
  <si>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</si>
  <si>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</si>
  <si>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</si>
  <si>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</si>
  <si>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</si>
  <si>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</si>
  <si>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</si>
  <si>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</si>
  <si>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</si>
  <si>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</si>
  <si>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</si>
  <si>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</si>
  <si>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</si>
  <si>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</si>
  <si>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</si>
  <si>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</si>
  <si>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</si>
  <si>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</si>
  <si>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</si>
  <si>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</si>
  <si>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</si>
  <si>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</si>
  <si>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</si>
  <si>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</si>
  <si>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</si>
  <si>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</si>
  <si>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</si>
  <si>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</si>
  <si>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</si>
  <si>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</si>
  <si>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</si>
  <si>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</si>
  <si>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</si>
  <si>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</si>
  <si>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</si>
  <si>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</si>
  <si>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</si>
  <si>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</si>
  <si>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</si>
  <si>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</si>
  <si>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</si>
  <si>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</si>
  <si>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</si>
  <si>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</si>
  <si>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</si>
  <si>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</si>
  <si>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</si>
  <si>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</si>
  <si>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</si>
  <si>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</si>
  <si>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</si>
  <si>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</si>
  <si>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</si>
  <si>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</si>
  <si>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</si>
  <si>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</si>
  <si>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</si>
  <si>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</si>
  <si>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</si>
  <si>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</si>
  <si>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</si>
  <si>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</si>
  <si>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</si>
  <si>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</si>
  <si>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</si>
  <si>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</si>
  <si>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</si>
  <si>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</si>
  <si>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</si>
  <si>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</si>
  <si>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</si>
  <si>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</si>
  <si>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</si>
  <si>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</si>
  <si>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</si>
  <si>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</si>
  <si>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</si>
  <si>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</si>
  <si>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</si>
  <si>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</si>
  <si>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</si>
  <si>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</si>
  <si>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</si>
  <si>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</si>
  <si>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</si>
  <si>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</si>
  <si>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</si>
  <si>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</si>
  <si>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</si>
  <si>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</si>
  <si>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</si>
  <si>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</si>
  <si>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</si>
  <si>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</si>
  <si>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</si>
  <si>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</si>
  <si>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</si>
  <si>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</si>
  <si>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</si>
  <si>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</si>
  <si>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</si>
  <si>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</si>
  <si>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</si>
  <si>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</si>
  <si>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</si>
  <si>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</si>
  <si>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</si>
  <si>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</si>
  <si>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</si>
  <si>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</si>
  <si>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</si>
  <si>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</si>
  <si>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</si>
  <si>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</si>
  <si>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</si>
  <si>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</si>
  <si>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</si>
  <si>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</si>
  <si>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</si>
  <si>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</si>
  <si>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</si>
  <si>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</si>
  <si>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</si>
  <si>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</si>
  <si>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</si>
  <si>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</si>
  <si>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</si>
  <si>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</si>
  <si>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</si>
  <si>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</si>
  <si>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</si>
  <si>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</si>
  <si>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</si>
  <si>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</si>
  <si>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</si>
  <si>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</si>
  <si>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</si>
  <si>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</si>
  <si>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</si>
  <si>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</si>
  <si>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</si>
  <si>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</si>
  <si>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</si>
  <si>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</si>
  <si>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</si>
  <si>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</si>
  <si>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</si>
  <si>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</si>
  <si>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</si>
  <si>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</si>
  <si>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</si>
  <si>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</si>
  <si>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</si>
  <si>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</si>
  <si>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</si>
  <si>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</si>
  <si>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</si>
  <si>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</si>
  <si>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</si>
  <si>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</si>
  <si>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</si>
  <si>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</si>
  <si>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</si>
  <si>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</si>
  <si>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</si>
  <si>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</si>
  <si>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</si>
  <si>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</si>
  <si>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</si>
  <si>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</si>
  <si>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</si>
  <si>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</si>
  <si>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</si>
  <si>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</si>
  <si>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</si>
  <si>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</si>
  <si>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</si>
  <si>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</si>
  <si>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</si>
  <si>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</si>
  <si>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</si>
  <si>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</si>
  <si>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</si>
  <si>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</si>
  <si>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</si>
  <si>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</si>
  <si>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</si>
  <si>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</si>
  <si>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</si>
  <si>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</si>
  <si>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</si>
  <si>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</si>
  <si>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</si>
  <si>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</si>
  <si>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</si>
  <si>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</si>
  <si>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</si>
  <si>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</si>
  <si>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</si>
  <si>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</si>
  <si>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</si>
  <si>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2021.05.07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</si>
</sst>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85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224">
        <v>44287</v>
      </c>
      <c r="H1" s="225"/>
      <c r="I1" s="226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" t="s">
        <v>3</v>
      </c>
      <c r="B2" s="227" t="s">
        <v>4</v>
      </c>
      <c r="C2" s="228"/>
      <c r="D2" s="228"/>
      <c r="E2" s="228"/>
      <c r="F2" s="229"/>
      <c r="G2" s="221" t="s">
        <v>46</v>
      </c>
      <c r="H2" s="222"/>
      <c r="I2" s="223"/>
      <c r="J2" s="1" t="s">
        <v>3</v>
      </c>
      <c r="K2" s="227" t="s">
        <v>5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4" t="s">
        <v>7</v>
      </c>
      <c r="B3" s="218" t="s">
        <v>8</v>
      </c>
      <c r="C3" s="219"/>
      <c r="D3" s="219"/>
      <c r="E3" s="219"/>
      <c r="F3" s="220"/>
      <c r="G3" s="21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5"/>
      <c r="I3" s="216"/>
      <c r="J3" s="4" t="s">
        <v>7</v>
      </c>
      <c r="K3" s="218" t="s">
        <v>9</v>
      </c>
      <c r="L3" s="219"/>
      <c r="M3" s="219"/>
      <c r="N3" s="219"/>
      <c r="O3" s="22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8" t="s">
        <v>12</v>
      </c>
      <c r="C4" s="219"/>
      <c r="D4" s="219"/>
      <c r="E4" s="219"/>
      <c r="F4" s="220"/>
      <c r="G4" s="221" t="s">
        <v>44</v>
      </c>
      <c r="H4" s="222"/>
      <c r="I4" s="223"/>
      <c r="J4" s="4" t="s">
        <v>11</v>
      </c>
      <c r="K4" s="218" t="s">
        <v>13</v>
      </c>
      <c r="L4" s="219"/>
      <c r="M4" s="219"/>
      <c r="N4" s="219"/>
      <c r="O4" s="22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8" t="s">
        <v>16</v>
      </c>
      <c r="C5" s="219"/>
      <c r="D5" s="219"/>
      <c r="E5" s="219"/>
      <c r="F5" s="220"/>
      <c r="G5" s="21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5"/>
      <c r="I5" s="216"/>
      <c r="J5" s="4" t="s">
        <v>15</v>
      </c>
      <c r="K5" s="218" t="s">
        <v>17</v>
      </c>
      <c r="L5" s="219"/>
      <c r="M5" s="219"/>
      <c r="N5" s="219"/>
      <c r="O5" s="220"/>
    </row>
    <row r="6" spans="1:19">
      <c r="A6" s="4" t="s">
        <v>18</v>
      </c>
      <c r="B6" s="218" t="s">
        <v>19</v>
      </c>
      <c r="C6" s="219"/>
      <c r="D6" s="219"/>
      <c r="E6" s="219"/>
      <c r="F6" s="220"/>
      <c r="G6" s="221" t="s">
        <v>45</v>
      </c>
      <c r="H6" s="222"/>
      <c r="I6" s="223"/>
      <c r="J6" s="4" t="s">
        <v>18</v>
      </c>
      <c r="K6" s="218" t="s">
        <v>20</v>
      </c>
      <c r="L6" s="219"/>
      <c r="M6" s="219"/>
      <c r="N6" s="219"/>
      <c r="O6" s="220"/>
    </row>
    <row r="7" spans="1:19" ht="17.25" thickBot="1">
      <c r="A7" s="4" t="s">
        <v>21</v>
      </c>
      <c r="B7" s="218" t="s">
        <v>22</v>
      </c>
      <c r="C7" s="219"/>
      <c r="D7" s="219"/>
      <c r="E7" s="219"/>
      <c r="F7" s="220"/>
      <c r="G7" s="21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5"/>
      <c r="I7" s="216"/>
      <c r="J7" s="4" t="s">
        <v>21</v>
      </c>
      <c r="K7" s="218" t="s">
        <v>23</v>
      </c>
      <c r="L7" s="219"/>
      <c r="M7" s="219"/>
      <c r="N7" s="219"/>
      <c r="O7" s="220"/>
    </row>
    <row r="8" spans="1:19" ht="17.25" thickBot="1">
      <c r="A8" s="4" t="s">
        <v>24</v>
      </c>
      <c r="B8" s="218" t="s">
        <v>25</v>
      </c>
      <c r="C8" s="219"/>
      <c r="D8" s="219"/>
      <c r="E8" s="219"/>
      <c r="F8" s="220"/>
      <c r="G8" s="221" t="s">
        <v>285</v>
      </c>
      <c r="H8" s="222"/>
      <c r="I8" s="223"/>
      <c r="J8" s="4" t="s">
        <v>24</v>
      </c>
      <c r="K8" s="218" t="s">
        <v>26</v>
      </c>
      <c r="L8" s="219"/>
      <c r="M8" s="219"/>
      <c r="N8" s="219"/>
      <c r="O8" s="220"/>
      <c r="Q8" s="193" t="s">
        <v>27</v>
      </c>
      <c r="R8" s="195"/>
    </row>
    <row r="9" spans="1:19" ht="17.25" thickBot="1">
      <c r="A9" s="4" t="s">
        <v>28</v>
      </c>
      <c r="B9" s="218"/>
      <c r="C9" s="219"/>
      <c r="D9" s="219"/>
      <c r="E9" s="219"/>
      <c r="F9" s="220"/>
      <c r="G9" s="21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5"/>
      <c r="I9" s="216"/>
      <c r="J9" s="4" t="s">
        <v>28</v>
      </c>
      <c r="K9" s="218" t="s">
        <v>293</v>
      </c>
      <c r="L9" s="219"/>
      <c r="M9" s="219"/>
      <c r="N9" s="219"/>
      <c r="O9" s="220"/>
      <c r="Q9" s="2" t="s">
        <v>29</v>
      </c>
      <c r="R9" s="6">
        <v>10</v>
      </c>
    </row>
    <row r="10" spans="1:19">
      <c r="A10" s="4" t="s">
        <v>30</v>
      </c>
      <c r="B10" s="218"/>
      <c r="C10" s="219"/>
      <c r="D10" s="219"/>
      <c r="E10" s="219"/>
      <c r="F10" s="220"/>
      <c r="G10" s="221" t="s">
        <v>47</v>
      </c>
      <c r="H10" s="222"/>
      <c r="I10" s="223"/>
      <c r="J10" s="4" t="s">
        <v>30</v>
      </c>
      <c r="K10" s="218"/>
      <c r="L10" s="219"/>
      <c r="M10" s="219"/>
      <c r="N10" s="219"/>
      <c r="O10" s="220"/>
      <c r="Q10" s="2" t="s">
        <v>31</v>
      </c>
      <c r="R10" s="6">
        <v>100</v>
      </c>
    </row>
    <row r="11" spans="1:19" ht="17.25" thickBot="1">
      <c r="A11" s="7" t="s">
        <v>32</v>
      </c>
      <c r="B11" s="211"/>
      <c r="C11" s="212"/>
      <c r="D11" s="212"/>
      <c r="E11" s="212"/>
      <c r="F11" s="213"/>
      <c r="G11" s="21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5"/>
      <c r="I11" s="216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192"/>
      <c r="R13" s="192"/>
      <c r="S13" s="192"/>
    </row>
    <row r="14" spans="1:19" ht="17.25" customHeight="1" thickBot="1">
      <c r="A14" s="111" t="s">
        <v>35</v>
      </c>
      <c r="B14" s="193" t="s">
        <v>36</v>
      </c>
      <c r="C14" s="195"/>
      <c r="D14" s="193" t="s">
        <v>37</v>
      </c>
      <c r="E14" s="194"/>
      <c r="F14" s="195"/>
      <c r="G14" s="196">
        <f>_xlfn.IFNA(VLOOKUP(B14, 현재가테이블!$B$2:$D$200, 2, FALSE), "-")</f>
        <v>68581000</v>
      </c>
      <c r="H14" s="197"/>
      <c r="I14" s="198"/>
      <c r="J14" s="193" t="s">
        <v>38</v>
      </c>
      <c r="K14" s="194"/>
      <c r="L14" s="195"/>
      <c r="M14" s="199">
        <f>_xlfn.IFNA(VLOOKUP(B14, 현재가테이블!$B$2:$D$200, 3, FALSE), "-")</f>
        <v>-2.7047857000000002E-3</v>
      </c>
      <c r="N14" s="200"/>
      <c r="O14" s="201"/>
      <c r="Q14" s="192"/>
      <c r="R14" s="192"/>
      <c r="S14" s="192"/>
    </row>
    <row r="15" spans="1:19" ht="17.25" customHeight="1" thickBot="1">
      <c r="A15" s="217" t="s">
        <v>39</v>
      </c>
      <c r="B15" s="209" t="str">
        <f>TEXT($G$1, "[$-ko-KR]yyyy-mm-dd(ddd) ") &amp; "오전 00:00"</f>
        <v>2021-04-01(목) 오전 00:00</v>
      </c>
      <c r="C15" s="210"/>
      <c r="D15" s="206" t="str">
        <f>TEXT($G$1, "[$-ko-KR]yyyy-mm-dd(ddd) ") &amp; "오후 14:00"</f>
        <v>2021-04-01(목) 오후 14:00</v>
      </c>
      <c r="E15" s="207"/>
      <c r="F15" s="208"/>
      <c r="G15" s="206" t="str">
        <f>TEXT($G$1, "[$-ko-KR]yyyy-mm-dd(ddd) ") &amp; "오후 19:00"</f>
        <v>2021-04-01(목) 오후 19:00</v>
      </c>
      <c r="H15" s="207"/>
      <c r="I15" s="208"/>
      <c r="J15" s="206" t="str">
        <f>TEXT($G$1, "[$-ko-KR]yyyy-mm-dd(ddd) ") &amp; "오후 21:00"</f>
        <v>2021-04-01(목) 오후 21:00</v>
      </c>
      <c r="K15" s="207"/>
      <c r="L15" s="208"/>
      <c r="M15" s="206" t="str">
        <f>TEXT($G$1+1, "[$-ko-KR]yyyy-mm-dd(ddd) ") &amp; "오전 00:00"</f>
        <v>2021-04-02(금) 오전 00:00</v>
      </c>
      <c r="N15" s="207"/>
      <c r="O15" s="208"/>
      <c r="Q15" s="192"/>
      <c r="R15" s="192"/>
      <c r="S15" s="192"/>
    </row>
    <row r="16" spans="1:19" ht="17.25" customHeight="1" thickBot="1">
      <c r="A16" s="21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2"/>
      <c r="R16" s="182"/>
      <c r="S16" s="18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2"/>
      <c r="R17" s="192"/>
      <c r="S17" s="19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2"/>
      <c r="R18" s="192"/>
      <c r="S18" s="19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2"/>
      <c r="R19" s="182"/>
      <c r="S19" s="18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2"/>
      <c r="R20" s="182"/>
      <c r="S20" s="18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2"/>
      <c r="R21" s="182"/>
      <c r="S21" s="18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2"/>
      <c r="R22" s="182"/>
      <c r="S22" s="18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2"/>
      <c r="R23" s="182"/>
      <c r="S23" s="18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2"/>
      <c r="R24" s="182"/>
      <c r="S24" s="18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3"/>
      <c r="R26" s="184"/>
      <c r="S26" s="18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6"/>
      <c r="R27" s="187"/>
      <c r="S27" s="18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9"/>
      <c r="R28" s="190"/>
      <c r="S28" s="19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2"/>
      <c r="R29" s="182"/>
      <c r="S29" s="18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2"/>
      <c r="R32" s="182"/>
      <c r="S32" s="18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2"/>
      <c r="R33" s="182"/>
      <c r="S33" s="18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2"/>
      <c r="R34" s="182"/>
      <c r="S34" s="18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1"/>
      <c r="R35" s="172"/>
      <c r="S35" s="17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4"/>
      <c r="R36" s="175"/>
      <c r="S36" s="176"/>
    </row>
    <row r="37" spans="1:19" ht="17.25" customHeight="1" thickBot="1">
      <c r="A37" s="26" t="s">
        <v>42</v>
      </c>
      <c r="B37" s="180">
        <v>300000</v>
      </c>
      <c r="C37" s="18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7"/>
      <c r="R37" s="178"/>
      <c r="S37" s="17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192"/>
      <c r="R40" s="192"/>
      <c r="S40" s="192"/>
    </row>
    <row r="41" spans="1:19" ht="17.25" customHeight="1" thickBot="1">
      <c r="A41" s="111" t="s">
        <v>298</v>
      </c>
      <c r="B41" s="193" t="s">
        <v>49</v>
      </c>
      <c r="C41" s="195"/>
      <c r="D41" s="193" t="s">
        <v>58</v>
      </c>
      <c r="E41" s="194"/>
      <c r="F41" s="195"/>
      <c r="G41" s="196">
        <f>_xlfn.IFNA(VLOOKUP(B41, 현재가테이블!$B$2:$D$200, 2, FALSE), "-")</f>
        <v>68581000</v>
      </c>
      <c r="H41" s="197"/>
      <c r="I41" s="198"/>
      <c r="J41" s="193" t="s">
        <v>59</v>
      </c>
      <c r="K41" s="194"/>
      <c r="L41" s="195"/>
      <c r="M41" s="199">
        <f>_xlfn.IFNA(VLOOKUP(B41, 현재가테이블!$B$2:$D$200, 3, FALSE), "-")</f>
        <v>-2.7047857000000002E-3</v>
      </c>
      <c r="N41" s="200"/>
      <c r="O41" s="201"/>
      <c r="Q41" s="192"/>
      <c r="R41" s="192"/>
      <c r="S41" s="192"/>
    </row>
    <row r="42" spans="1:19" ht="17.25" customHeight="1" thickBot="1">
      <c r="A42" s="202" t="s">
        <v>55</v>
      </c>
      <c r="B42" s="204" t="str">
        <f>TEXT($G$1, "[$-ko-KR]yyyy-mm-dd(ddd) ") &amp; "오전 00:00"</f>
        <v>2021-04-01(목) 오전 00:00</v>
      </c>
      <c r="C42" s="205"/>
      <c r="D42" s="206" t="str">
        <f>TEXT($G$1, "[$-ko-KR]yyyy-mm-dd(ddd) ") &amp; "오후 14:00"</f>
        <v>2021-04-01(목) 오후 14:00</v>
      </c>
      <c r="E42" s="207"/>
      <c r="F42" s="208"/>
      <c r="G42" s="206" t="str">
        <f>TEXT($G$1, "[$-ko-KR]yyyy-mm-dd(ddd) ") &amp; "오후 19:00"</f>
        <v>2021-04-01(목) 오후 19:00</v>
      </c>
      <c r="H42" s="207"/>
      <c r="I42" s="208"/>
      <c r="J42" s="206" t="str">
        <f>TEXT($G$1, "[$-ko-KR]yyyy-mm-dd(ddd) ") &amp; "오후 21:00"</f>
        <v>2021-04-01(목) 오후 21:00</v>
      </c>
      <c r="K42" s="207"/>
      <c r="L42" s="208"/>
      <c r="M42" s="206" t="str">
        <f>TEXT($G$1+1, "[$-ko-KR]yyyy-mm-dd(ddd) ") &amp; "오전 00:00"</f>
        <v>2021-04-02(금) 오전 00:00</v>
      </c>
      <c r="N42" s="207"/>
      <c r="O42" s="208"/>
      <c r="Q42" s="192"/>
      <c r="R42" s="192"/>
      <c r="S42" s="192"/>
    </row>
    <row r="43" spans="1:19" ht="17.25" customHeight="1" thickBot="1">
      <c r="A43" s="20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2"/>
      <c r="R43" s="182"/>
      <c r="S43" s="18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2"/>
      <c r="R44" s="192"/>
      <c r="S44" s="19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2"/>
      <c r="R45" s="192"/>
      <c r="S45" s="19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2"/>
      <c r="R46" s="182"/>
      <c r="S46" s="18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2"/>
      <c r="R47" s="182"/>
      <c r="S47" s="18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2"/>
      <c r="R48" s="182"/>
      <c r="S48" s="18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2"/>
      <c r="R49" s="182"/>
      <c r="S49" s="18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2"/>
      <c r="R50" s="182"/>
      <c r="S50" s="18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2"/>
      <c r="R51" s="182"/>
      <c r="S51" s="18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3"/>
      <c r="R53" s="184"/>
      <c r="S53" s="18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6"/>
      <c r="R54" s="187"/>
      <c r="S54" s="18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9"/>
      <c r="R55" s="190"/>
      <c r="S55" s="19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2"/>
      <c r="R56" s="182"/>
      <c r="S56" s="18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2"/>
      <c r="R57" s="192"/>
      <c r="S57" s="19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2"/>
      <c r="R58" s="192"/>
      <c r="S58" s="19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2"/>
      <c r="R59" s="182"/>
      <c r="S59" s="18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2"/>
      <c r="R60" s="182"/>
      <c r="S60" s="18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2"/>
      <c r="R61" s="182"/>
      <c r="S61" s="18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1"/>
      <c r="R62" s="172"/>
      <c r="S62" s="17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4"/>
      <c r="R63" s="175"/>
      <c r="S63" s="176"/>
    </row>
    <row r="64" spans="1:19" ht="17.25" customHeight="1" thickBot="1">
      <c r="A64" s="26" t="s">
        <v>301</v>
      </c>
      <c r="B64" s="180">
        <f>$B$37</f>
        <v>300000</v>
      </c>
      <c r="C64" s="181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77"/>
      <c r="R64" s="178"/>
      <c r="S64" s="17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192"/>
      <c r="R67" s="192"/>
      <c r="S67" s="192"/>
    </row>
    <row r="68" spans="1:19" ht="17.25" thickBot="1">
      <c r="A68" s="111" t="s">
        <v>298</v>
      </c>
      <c r="B68" s="193" t="s">
        <v>49</v>
      </c>
      <c r="C68" s="195"/>
      <c r="D68" s="193" t="s">
        <v>58</v>
      </c>
      <c r="E68" s="194"/>
      <c r="F68" s="195"/>
      <c r="G68" s="196">
        <f>_xlfn.IFNA(VLOOKUP(B68, 현재가테이블!$B$2:$D$200, 2, FALSE), "-")</f>
        <v>68581000</v>
      </c>
      <c r="H68" s="197"/>
      <c r="I68" s="198"/>
      <c r="J68" s="193" t="s">
        <v>59</v>
      </c>
      <c r="K68" s="194"/>
      <c r="L68" s="195"/>
      <c r="M68" s="199">
        <f>_xlfn.IFNA(VLOOKUP(B68, 현재가테이블!$B$2:$D$200, 3, FALSE), "-")</f>
        <v>-2.7047857000000002E-3</v>
      </c>
      <c r="N68" s="200"/>
      <c r="O68" s="201"/>
      <c r="Q68" s="192"/>
      <c r="R68" s="192"/>
      <c r="S68" s="192"/>
    </row>
    <row r="69" spans="1:19" ht="17.25" thickBot="1">
      <c r="A69" s="202" t="s">
        <v>55</v>
      </c>
      <c r="B69" s="204" t="str">
        <f>TEXT($G$1, "[$-ko-KR]yyyy-mm-dd(ddd) ") &amp; "오전 00:00"</f>
        <v>2021-04-01(목) 오전 00:00</v>
      </c>
      <c r="C69" s="205"/>
      <c r="D69" s="206" t="str">
        <f>TEXT($G$1, "[$-ko-KR]yyyy-mm-dd(ddd) ") &amp; "오후 14:00"</f>
        <v>2021-04-01(목) 오후 14:00</v>
      </c>
      <c r="E69" s="207"/>
      <c r="F69" s="208"/>
      <c r="G69" s="206" t="str">
        <f>TEXT($G$1, "[$-ko-KR]yyyy-mm-dd(ddd) ") &amp; "오후 19:00"</f>
        <v>2021-04-01(목) 오후 19:00</v>
      </c>
      <c r="H69" s="207"/>
      <c r="I69" s="208"/>
      <c r="J69" s="206" t="str">
        <f>TEXT($G$1, "[$-ko-KR]yyyy-mm-dd(ddd) ") &amp; "오후 21:00"</f>
        <v>2021-04-01(목) 오후 21:00</v>
      </c>
      <c r="K69" s="207"/>
      <c r="L69" s="208"/>
      <c r="M69" s="206" t="str">
        <f>TEXT($G$1+1, "[$-ko-KR]yyyy-mm-dd(ddd) ") &amp; "오전 00:00"</f>
        <v>2021-04-02(금) 오전 00:00</v>
      </c>
      <c r="N69" s="207"/>
      <c r="O69" s="208"/>
      <c r="Q69" s="192"/>
      <c r="R69" s="192"/>
      <c r="S69" s="192"/>
    </row>
    <row r="70" spans="1:19" ht="17.25" thickBot="1">
      <c r="A70" s="20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2"/>
      <c r="R70" s="182"/>
      <c r="S70" s="18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2"/>
      <c r="R71" s="192"/>
      <c r="S71" s="19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2"/>
      <c r="R72" s="192"/>
      <c r="S72" s="19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2"/>
      <c r="R73" s="182"/>
      <c r="S73" s="18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2"/>
      <c r="R74" s="182"/>
      <c r="S74" s="18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2"/>
      <c r="R75" s="182"/>
      <c r="S75" s="18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2"/>
      <c r="R76" s="182"/>
      <c r="S76" s="18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2"/>
      <c r="R77" s="182"/>
      <c r="S77" s="18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2"/>
      <c r="R78" s="182"/>
      <c r="S78" s="18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3"/>
      <c r="R80" s="184"/>
      <c r="S80" s="18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6"/>
      <c r="R81" s="187"/>
      <c r="S81" s="18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9"/>
      <c r="R82" s="190"/>
      <c r="S82" s="19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2"/>
      <c r="R83" s="182"/>
      <c r="S83" s="18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2"/>
      <c r="R84" s="192"/>
      <c r="S84" s="19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2"/>
      <c r="R85" s="192"/>
      <c r="S85" s="19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2"/>
      <c r="R86" s="182"/>
      <c r="S86" s="18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2"/>
      <c r="R87" s="182"/>
      <c r="S87" s="18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2"/>
      <c r="R88" s="182"/>
      <c r="S88" s="18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1"/>
      <c r="R89" s="172"/>
      <c r="S89" s="17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4"/>
      <c r="R90" s="175"/>
      <c r="S90" s="176"/>
    </row>
    <row r="91" spans="1:19" ht="17.25" thickBot="1">
      <c r="A91" s="26" t="s">
        <v>301</v>
      </c>
      <c r="B91" s="180">
        <f>$B$37</f>
        <v>300000</v>
      </c>
      <c r="C91" s="181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77"/>
      <c r="R91" s="178"/>
      <c r="S91" s="17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192"/>
      <c r="R94" s="192"/>
      <c r="S94" s="192"/>
    </row>
    <row r="95" spans="1:19" ht="17.25" thickBot="1">
      <c r="A95" s="111" t="s">
        <v>298</v>
      </c>
      <c r="B95" s="193" t="s">
        <v>49</v>
      </c>
      <c r="C95" s="195"/>
      <c r="D95" s="193" t="s">
        <v>58</v>
      </c>
      <c r="E95" s="194"/>
      <c r="F95" s="195"/>
      <c r="G95" s="196">
        <f>_xlfn.IFNA(VLOOKUP(B95, 현재가테이블!$B$2:$D$200, 2, FALSE), "-")</f>
        <v>68581000</v>
      </c>
      <c r="H95" s="197"/>
      <c r="I95" s="198"/>
      <c r="J95" s="193" t="s">
        <v>59</v>
      </c>
      <c r="K95" s="194"/>
      <c r="L95" s="195"/>
      <c r="M95" s="199">
        <f>_xlfn.IFNA(VLOOKUP(B95, 현재가테이블!$B$2:$D$200, 3, FALSE), "-")</f>
        <v>-2.7047857000000002E-3</v>
      </c>
      <c r="N95" s="200"/>
      <c r="O95" s="201"/>
      <c r="Q95" s="192"/>
      <c r="R95" s="192"/>
      <c r="S95" s="192"/>
    </row>
    <row r="96" spans="1:19" ht="17.25" thickBot="1">
      <c r="A96" s="202" t="s">
        <v>55</v>
      </c>
      <c r="B96" s="204" t="str">
        <f>TEXT($G$1, "[$-ko-KR]yyyy-mm-dd(ddd) ") &amp; "오전 00:00"</f>
        <v>2021-04-01(목) 오전 00:00</v>
      </c>
      <c r="C96" s="205"/>
      <c r="D96" s="206" t="str">
        <f>TEXT($G$1, "[$-ko-KR]yyyy-mm-dd(ddd) ") &amp; "오후 14:00"</f>
        <v>2021-04-01(목) 오후 14:00</v>
      </c>
      <c r="E96" s="207"/>
      <c r="F96" s="208"/>
      <c r="G96" s="206" t="str">
        <f>TEXT($G$1, "[$-ko-KR]yyyy-mm-dd(ddd) ") &amp; "오후 19:00"</f>
        <v>2021-04-01(목) 오후 19:00</v>
      </c>
      <c r="H96" s="207"/>
      <c r="I96" s="208"/>
      <c r="J96" s="206" t="str">
        <f>TEXT($G$1, "[$-ko-KR]yyyy-mm-dd(ddd) ") &amp; "오후 21:00"</f>
        <v>2021-04-01(목) 오후 21:00</v>
      </c>
      <c r="K96" s="207"/>
      <c r="L96" s="208"/>
      <c r="M96" s="206" t="str">
        <f>TEXT($G$1+1, "[$-ko-KR]yyyy-mm-dd(ddd) ") &amp; "오전 00:00"</f>
        <v>2021-04-02(금) 오전 00:00</v>
      </c>
      <c r="N96" s="207"/>
      <c r="O96" s="208"/>
      <c r="Q96" s="192"/>
      <c r="R96" s="192"/>
      <c r="S96" s="192"/>
    </row>
    <row r="97" spans="1:19" ht="17.25" thickBot="1">
      <c r="A97" s="20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2"/>
      <c r="R97" s="182"/>
      <c r="S97" s="18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2"/>
      <c r="R98" s="192"/>
      <c r="S98" s="19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2"/>
      <c r="R99" s="192"/>
      <c r="S99" s="19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2"/>
      <c r="R100" s="182"/>
      <c r="S100" s="18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2"/>
      <c r="R101" s="182"/>
      <c r="S101" s="18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2"/>
      <c r="R102" s="182"/>
      <c r="S102" s="18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2"/>
      <c r="R103" s="182"/>
      <c r="S103" s="18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2"/>
      <c r="R104" s="182"/>
      <c r="S104" s="18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2"/>
      <c r="R105" s="182"/>
      <c r="S105" s="18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3"/>
      <c r="R107" s="184"/>
      <c r="S107" s="18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6"/>
      <c r="R108" s="187"/>
      <c r="S108" s="18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9"/>
      <c r="R109" s="190"/>
      <c r="S109" s="19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2"/>
      <c r="R110" s="182"/>
      <c r="S110" s="18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2"/>
      <c r="R111" s="192"/>
      <c r="S111" s="19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2"/>
      <c r="R112" s="192"/>
      <c r="S112" s="19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2"/>
      <c r="R113" s="182"/>
      <c r="S113" s="18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2"/>
      <c r="R114" s="182"/>
      <c r="S114" s="18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2"/>
      <c r="R115" s="182"/>
      <c r="S115" s="18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1"/>
      <c r="R116" s="172"/>
      <c r="S116" s="17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4"/>
      <c r="R117" s="175"/>
      <c r="S117" s="176"/>
    </row>
    <row r="118" spans="1:19" ht="17.25" thickBot="1">
      <c r="A118" s="26" t="s">
        <v>301</v>
      </c>
      <c r="B118" s="180">
        <f>$B$37</f>
        <v>300000</v>
      </c>
      <c r="C118" s="181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77"/>
      <c r="R118" s="178"/>
      <c r="S118" s="17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192"/>
      <c r="R121" s="192"/>
      <c r="S121" s="192"/>
    </row>
    <row r="122" spans="1:19" ht="17.25" thickBot="1">
      <c r="A122" s="111" t="s">
        <v>298</v>
      </c>
      <c r="B122" s="193" t="s">
        <v>49</v>
      </c>
      <c r="C122" s="195"/>
      <c r="D122" s="193" t="s">
        <v>58</v>
      </c>
      <c r="E122" s="194"/>
      <c r="F122" s="195"/>
      <c r="G122" s="196">
        <f>_xlfn.IFNA(VLOOKUP(B122, 현재가테이블!$B$2:$D$200, 2, FALSE), "-")</f>
        <v>68581000</v>
      </c>
      <c r="H122" s="197"/>
      <c r="I122" s="198"/>
      <c r="J122" s="193" t="s">
        <v>59</v>
      </c>
      <c r="K122" s="194"/>
      <c r="L122" s="195"/>
      <c r="M122" s="199">
        <f>_xlfn.IFNA(VLOOKUP(B122, 현재가테이블!$B$2:$D$200, 3, FALSE), "-")</f>
        <v>-2.7047857000000002E-3</v>
      </c>
      <c r="N122" s="200"/>
      <c r="O122" s="201"/>
      <c r="Q122" s="192"/>
      <c r="R122" s="192"/>
      <c r="S122" s="192"/>
    </row>
    <row r="123" spans="1:19" ht="17.25" thickBot="1">
      <c r="A123" s="202" t="s">
        <v>55</v>
      </c>
      <c r="B123" s="204" t="str">
        <f>TEXT($G$1, "[$-ko-KR]yyyy-mm-dd(ddd) ") &amp; "오전 00:00"</f>
        <v>2021-04-01(목) 오전 00:00</v>
      </c>
      <c r="C123" s="205"/>
      <c r="D123" s="206" t="str">
        <f>TEXT($G$1, "[$-ko-KR]yyyy-mm-dd(ddd) ") &amp; "오후 14:00"</f>
        <v>2021-04-01(목) 오후 14:00</v>
      </c>
      <c r="E123" s="207"/>
      <c r="F123" s="208"/>
      <c r="G123" s="206" t="str">
        <f>TEXT($G$1, "[$-ko-KR]yyyy-mm-dd(ddd) ") &amp; "오후 19:00"</f>
        <v>2021-04-01(목) 오후 19:00</v>
      </c>
      <c r="H123" s="207"/>
      <c r="I123" s="208"/>
      <c r="J123" s="206" t="str">
        <f>TEXT($G$1, "[$-ko-KR]yyyy-mm-dd(ddd) ") &amp; "오후 21:00"</f>
        <v>2021-04-01(목) 오후 21:00</v>
      </c>
      <c r="K123" s="207"/>
      <c r="L123" s="208"/>
      <c r="M123" s="206" t="str">
        <f>TEXT($G$1+1, "[$-ko-KR]yyyy-mm-dd(ddd) ") &amp; "오전 00:00"</f>
        <v>2021-04-02(금) 오전 00:00</v>
      </c>
      <c r="N123" s="207"/>
      <c r="O123" s="208"/>
      <c r="Q123" s="192"/>
      <c r="R123" s="192"/>
      <c r="S123" s="192"/>
    </row>
    <row r="124" spans="1:19" ht="17.25" thickBot="1">
      <c r="A124" s="20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2"/>
      <c r="R124" s="182"/>
      <c r="S124" s="18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2"/>
      <c r="R125" s="192"/>
      <c r="S125" s="19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2"/>
      <c r="R126" s="192"/>
      <c r="S126" s="19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2"/>
      <c r="R127" s="182"/>
      <c r="S127" s="18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2"/>
      <c r="R128" s="182"/>
      <c r="S128" s="18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2"/>
      <c r="R129" s="182"/>
      <c r="S129" s="18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2"/>
      <c r="R130" s="182"/>
      <c r="S130" s="18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2"/>
      <c r="R131" s="182"/>
      <c r="S131" s="18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2"/>
      <c r="R132" s="182"/>
      <c r="S132" s="18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3"/>
      <c r="R134" s="184"/>
      <c r="S134" s="18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6"/>
      <c r="R135" s="187"/>
      <c r="S135" s="18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9"/>
      <c r="R136" s="190"/>
      <c r="S136" s="19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2"/>
      <c r="R137" s="182"/>
      <c r="S137" s="18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2"/>
      <c r="R138" s="192"/>
      <c r="S138" s="19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2"/>
      <c r="R139" s="192"/>
      <c r="S139" s="19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2"/>
      <c r="R140" s="182"/>
      <c r="S140" s="18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2"/>
      <c r="R141" s="182"/>
      <c r="S141" s="18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2"/>
      <c r="R142" s="182"/>
      <c r="S142" s="18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1"/>
      <c r="R143" s="172"/>
      <c r="S143" s="17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4"/>
      <c r="R144" s="175"/>
      <c r="S144" s="176"/>
    </row>
    <row r="145" spans="1:19" ht="17.25" thickBot="1">
      <c r="A145" s="26" t="s">
        <v>301</v>
      </c>
      <c r="B145" s="180">
        <f>$B$37</f>
        <v>300000</v>
      </c>
      <c r="C145" s="181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77"/>
      <c r="R145" s="178"/>
      <c r="S145" s="17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192"/>
      <c r="R148" s="192"/>
      <c r="S148" s="192"/>
    </row>
    <row r="149" spans="1:19" ht="17.25" thickBot="1">
      <c r="A149" s="111" t="s">
        <v>298</v>
      </c>
      <c r="B149" s="193" t="s">
        <v>49</v>
      </c>
      <c r="C149" s="195"/>
      <c r="D149" s="193" t="s">
        <v>58</v>
      </c>
      <c r="E149" s="194"/>
      <c r="F149" s="195"/>
      <c r="G149" s="196">
        <f>_xlfn.IFNA(VLOOKUP(B149, 현재가테이블!$B$2:$D$200, 2, FALSE), "-")</f>
        <v>68581000</v>
      </c>
      <c r="H149" s="197"/>
      <c r="I149" s="198"/>
      <c r="J149" s="193" t="s">
        <v>59</v>
      </c>
      <c r="K149" s="194"/>
      <c r="L149" s="195"/>
      <c r="M149" s="199">
        <f>_xlfn.IFNA(VLOOKUP(B149, 현재가테이블!$B$2:$D$200, 3, FALSE), "-")</f>
        <v>-2.7047857000000002E-3</v>
      </c>
      <c r="N149" s="200"/>
      <c r="O149" s="201"/>
      <c r="Q149" s="192"/>
      <c r="R149" s="192"/>
      <c r="S149" s="192"/>
    </row>
    <row r="150" spans="1:19" ht="17.25" thickBot="1">
      <c r="A150" s="202" t="s">
        <v>55</v>
      </c>
      <c r="B150" s="204" t="str">
        <f>TEXT($G$1, "[$-ko-KR]yyyy-mm-dd(ddd) ") &amp; "오전 00:00"</f>
        <v>2021-04-01(목) 오전 00:00</v>
      </c>
      <c r="C150" s="205"/>
      <c r="D150" s="206" t="str">
        <f>TEXT($G$1, "[$-ko-KR]yyyy-mm-dd(ddd) ") &amp; "오후 14:00"</f>
        <v>2021-04-01(목) 오후 14:00</v>
      </c>
      <c r="E150" s="207"/>
      <c r="F150" s="208"/>
      <c r="G150" s="206" t="str">
        <f>TEXT($G$1, "[$-ko-KR]yyyy-mm-dd(ddd) ") &amp; "오후 19:00"</f>
        <v>2021-04-01(목) 오후 19:00</v>
      </c>
      <c r="H150" s="207"/>
      <c r="I150" s="208"/>
      <c r="J150" s="206" t="str">
        <f>TEXT($G$1, "[$-ko-KR]yyyy-mm-dd(ddd) ") &amp; "오후 21:00"</f>
        <v>2021-04-01(목) 오후 21:00</v>
      </c>
      <c r="K150" s="207"/>
      <c r="L150" s="208"/>
      <c r="M150" s="206" t="str">
        <f>TEXT($G$1+1, "[$-ko-KR]yyyy-mm-dd(ddd) ") &amp; "오전 00:00"</f>
        <v>2021-04-02(금) 오전 00:00</v>
      </c>
      <c r="N150" s="207"/>
      <c r="O150" s="208"/>
      <c r="Q150" s="192"/>
      <c r="R150" s="192"/>
      <c r="S150" s="192"/>
    </row>
    <row r="151" spans="1:19" ht="17.25" thickBot="1">
      <c r="A151" s="20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2"/>
      <c r="R151" s="182"/>
      <c r="S151" s="18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2"/>
      <c r="R152" s="192"/>
      <c r="S152" s="19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2"/>
      <c r="R153" s="192"/>
      <c r="S153" s="19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2"/>
      <c r="R154" s="182"/>
      <c r="S154" s="18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2"/>
      <c r="R155" s="182"/>
      <c r="S155" s="18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2"/>
      <c r="R156" s="182"/>
      <c r="S156" s="18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2"/>
      <c r="R157" s="182"/>
      <c r="S157" s="18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2"/>
      <c r="R158" s="182"/>
      <c r="S158" s="18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2"/>
      <c r="R159" s="182"/>
      <c r="S159" s="18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3"/>
      <c r="R161" s="184"/>
      <c r="S161" s="18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6"/>
      <c r="R162" s="187"/>
      <c r="S162" s="18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9"/>
      <c r="R163" s="190"/>
      <c r="S163" s="19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2"/>
      <c r="R164" s="182"/>
      <c r="S164" s="18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2"/>
      <c r="R165" s="192"/>
      <c r="S165" s="19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2"/>
      <c r="R166" s="192"/>
      <c r="S166" s="19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2"/>
      <c r="R167" s="182"/>
      <c r="S167" s="18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2"/>
      <c r="R168" s="182"/>
      <c r="S168" s="18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2"/>
      <c r="R169" s="182"/>
      <c r="S169" s="18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1"/>
      <c r="R170" s="172"/>
      <c r="S170" s="17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4"/>
      <c r="R171" s="175"/>
      <c r="S171" s="176"/>
    </row>
    <row r="172" spans="1:19" ht="17.25" thickBot="1">
      <c r="A172" s="26" t="s">
        <v>301</v>
      </c>
      <c r="B172" s="180">
        <f>$B$37</f>
        <v>300000</v>
      </c>
      <c r="C172" s="181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77"/>
      <c r="R172" s="178"/>
      <c r="S172" s="17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192"/>
      <c r="R175" s="192"/>
      <c r="S175" s="192"/>
    </row>
    <row r="176" spans="1:19" ht="17.25" thickBot="1">
      <c r="A176" s="111" t="s">
        <v>298</v>
      </c>
      <c r="B176" s="193" t="s">
        <v>49</v>
      </c>
      <c r="C176" s="195"/>
      <c r="D176" s="193" t="s">
        <v>58</v>
      </c>
      <c r="E176" s="194"/>
      <c r="F176" s="195"/>
      <c r="G176" s="196">
        <f>_xlfn.IFNA(VLOOKUP(B176, 현재가테이블!$B$2:$D$200, 2, FALSE), "-")</f>
        <v>68581000</v>
      </c>
      <c r="H176" s="197"/>
      <c r="I176" s="198"/>
      <c r="J176" s="193" t="s">
        <v>59</v>
      </c>
      <c r="K176" s="194"/>
      <c r="L176" s="195"/>
      <c r="M176" s="199">
        <f>_xlfn.IFNA(VLOOKUP(B176, 현재가테이블!$B$2:$D$200, 3, FALSE), "-")</f>
        <v>-2.7047857000000002E-3</v>
      </c>
      <c r="N176" s="200"/>
      <c r="O176" s="201"/>
      <c r="Q176" s="192"/>
      <c r="R176" s="192"/>
      <c r="S176" s="192"/>
    </row>
    <row r="177" spans="1:19" ht="17.25" thickBot="1">
      <c r="A177" s="202" t="s">
        <v>55</v>
      </c>
      <c r="B177" s="204" t="str">
        <f>TEXT($G$1, "[$-ko-KR]yyyy-mm-dd(ddd) ") &amp; "오전 00:00"</f>
        <v>2021-04-01(목) 오전 00:00</v>
      </c>
      <c r="C177" s="205"/>
      <c r="D177" s="206" t="str">
        <f>TEXT($G$1, "[$-ko-KR]yyyy-mm-dd(ddd) ") &amp; "오후 14:00"</f>
        <v>2021-04-01(목) 오후 14:00</v>
      </c>
      <c r="E177" s="207"/>
      <c r="F177" s="208"/>
      <c r="G177" s="206" t="str">
        <f>TEXT($G$1, "[$-ko-KR]yyyy-mm-dd(ddd) ") &amp; "오후 19:00"</f>
        <v>2021-04-01(목) 오후 19:00</v>
      </c>
      <c r="H177" s="207"/>
      <c r="I177" s="208"/>
      <c r="J177" s="206" t="str">
        <f>TEXT($G$1, "[$-ko-KR]yyyy-mm-dd(ddd) ") &amp; "오후 21:00"</f>
        <v>2021-04-01(목) 오후 21:00</v>
      </c>
      <c r="K177" s="207"/>
      <c r="L177" s="208"/>
      <c r="M177" s="206" t="str">
        <f>TEXT($G$1+1, "[$-ko-KR]yyyy-mm-dd(ddd) ") &amp; "오전 00:00"</f>
        <v>2021-04-02(금) 오전 00:00</v>
      </c>
      <c r="N177" s="207"/>
      <c r="O177" s="208"/>
      <c r="Q177" s="192"/>
      <c r="R177" s="192"/>
      <c r="S177" s="192"/>
    </row>
    <row r="178" spans="1:19" ht="17.25" thickBot="1">
      <c r="A178" s="20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2"/>
      <c r="R178" s="182"/>
      <c r="S178" s="18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2"/>
      <c r="R179" s="192"/>
      <c r="S179" s="19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2"/>
      <c r="R180" s="192"/>
      <c r="S180" s="19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2"/>
      <c r="R181" s="182"/>
      <c r="S181" s="18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2"/>
      <c r="R182" s="182"/>
      <c r="S182" s="18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2"/>
      <c r="R183" s="182"/>
      <c r="S183" s="18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2"/>
      <c r="R184" s="182"/>
      <c r="S184" s="18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2"/>
      <c r="R185" s="182"/>
      <c r="S185" s="18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2"/>
      <c r="R186" s="182"/>
      <c r="S186" s="18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3"/>
      <c r="R188" s="184"/>
      <c r="S188" s="18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6"/>
      <c r="R189" s="187"/>
      <c r="S189" s="18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9"/>
      <c r="R190" s="190"/>
      <c r="S190" s="19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2"/>
      <c r="R191" s="182"/>
      <c r="S191" s="18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2"/>
      <c r="R192" s="192"/>
      <c r="S192" s="19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2"/>
      <c r="R193" s="192"/>
      <c r="S193" s="19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2"/>
      <c r="R194" s="182"/>
      <c r="S194" s="18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2"/>
      <c r="R195" s="182"/>
      <c r="S195" s="18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2"/>
      <c r="R196" s="182"/>
      <c r="S196" s="18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1"/>
      <c r="R197" s="172"/>
      <c r="S197" s="17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4"/>
      <c r="R198" s="175"/>
      <c r="S198" s="176"/>
    </row>
    <row r="199" spans="1:19" ht="17.25" thickBot="1">
      <c r="A199" s="26" t="s">
        <v>301</v>
      </c>
      <c r="B199" s="180">
        <f>$B$37</f>
        <v>300000</v>
      </c>
      <c r="C199" s="181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77"/>
      <c r="R199" s="178"/>
      <c r="S199" s="1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5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157">
      <formula>AND($N17 &gt; 0, ISNUMBER($N17))</formula>
    </cfRule>
    <cfRule type="expression" dxfId="1842" priority="158">
      <formula>AND($N17 = 0 * ISNUMBER($N17))</formula>
    </cfRule>
    <cfRule type="expression" dxfId="1841" priority="159">
      <formula>AND($N17 &lt; 0, ISNUMBER($N17))</formula>
    </cfRule>
  </conditionalFormatting>
  <conditionalFormatting sqref="A17:F36">
    <cfRule type="expression" dxfId="1840" priority="166">
      <formula>AND($E17 &gt; 0, ISNUMBER($E17))</formula>
    </cfRule>
    <cfRule type="expression" dxfId="1839" priority="167">
      <formula>AND($E17 = 0 * ISNUMBER($E17))</formula>
    </cfRule>
    <cfRule type="expression" dxfId="1838" priority="168">
      <formula>AND($E17 &lt; 0, ISNUMBER($E17))</formula>
    </cfRule>
  </conditionalFormatting>
  <conditionalFormatting sqref="A17:C36 G17:I36">
    <cfRule type="expression" dxfId="1837" priority="163">
      <formula>AND($H17 &gt; 0, ISNUMBER($H17))</formula>
    </cfRule>
    <cfRule type="expression" dxfId="1836" priority="164">
      <formula>AND($H17 = 0 * ISNUMBER($H17))</formula>
    </cfRule>
    <cfRule type="expression" dxfId="1835" priority="165">
      <formula>AND($H17 &lt; 0, ISNUMBER($H17))</formula>
    </cfRule>
  </conditionalFormatting>
  <conditionalFormatting sqref="A17:C36 J17:L36">
    <cfRule type="expression" dxfId="1834" priority="160">
      <formula>AND($K17 &gt; 0, ISNUMBER($K17))</formula>
    </cfRule>
    <cfRule type="expression" dxfId="1833" priority="161">
      <formula>AND($K17 = 0 * ISNUMBER($K17))</formula>
    </cfRule>
    <cfRule type="expression" dxfId="1832" priority="162">
      <formula>AND($K17 &lt; 0, ISNUMBER($K17))</formula>
    </cfRule>
  </conditionalFormatting>
  <conditionalFormatting sqref="D15:F16 E37:F37">
    <cfRule type="expression" dxfId="1831" priority="154">
      <formula>$E$37 &gt; 0</formula>
    </cfRule>
    <cfRule type="expression" dxfId="1830" priority="155">
      <formula>$E$37 = 0</formula>
    </cfRule>
    <cfRule type="expression" dxfId="1829" priority="156">
      <formula>$E$37 &lt; 0</formula>
    </cfRule>
  </conditionalFormatting>
  <conditionalFormatting sqref="G15:I16 H37:I37">
    <cfRule type="expression" dxfId="1828" priority="151">
      <formula>$H$37 &gt; 0</formula>
    </cfRule>
    <cfRule type="expression" dxfId="1827" priority="152">
      <formula>$H$37 = 0</formula>
    </cfRule>
    <cfRule type="expression" dxfId="1826" priority="153">
      <formula>$H$37 &lt; 0</formula>
    </cfRule>
  </conditionalFormatting>
  <conditionalFormatting sqref="J15:L16 K37:L37">
    <cfRule type="expression" dxfId="1825" priority="148">
      <formula>$K$37 &gt; 0</formula>
    </cfRule>
    <cfRule type="expression" dxfId="1824" priority="149">
      <formula>$K$37 = 0</formula>
    </cfRule>
    <cfRule type="expression" dxfId="1823" priority="150">
      <formula>$K$37 &lt; 0</formula>
    </cfRule>
  </conditionalFormatting>
  <conditionalFormatting sqref="M15:O16 N37:O37">
    <cfRule type="expression" dxfId="1822" priority="145">
      <formula>$N$37 &gt; 0</formula>
    </cfRule>
    <cfRule type="expression" dxfId="1821" priority="146">
      <formula>$N$37 = 0</formula>
    </cfRule>
    <cfRule type="expression" dxfId="1820" priority="147">
      <formula>$N$37 &lt; 0</formula>
    </cfRule>
  </conditionalFormatting>
  <conditionalFormatting sqref="A44:C63 M44:O63">
    <cfRule type="expression" dxfId="1819" priority="133">
      <formula>AND($N44 &gt; 0, ISNUMBER($N44))</formula>
    </cfRule>
    <cfRule type="expression" dxfId="1818" priority="134">
      <formula>AND($N44 = 0 * ISNUMBER($N44))</formula>
    </cfRule>
    <cfRule type="expression" dxfId="1817" priority="135">
      <formula>AND($N44 &lt; 0, ISNUMBER($N44))</formula>
    </cfRule>
  </conditionalFormatting>
  <conditionalFormatting sqref="A44:F63">
    <cfRule type="expression" dxfId="1816" priority="142">
      <formula>AND($E44 &gt; 0, ISNUMBER($E44))</formula>
    </cfRule>
    <cfRule type="expression" dxfId="1815" priority="143">
      <formula>AND($E44 = 0 * ISNUMBER($E44))</formula>
    </cfRule>
    <cfRule type="expression" dxfId="1814" priority="144">
      <formula>AND($E44 &lt; 0, ISNUMBER($E44))</formula>
    </cfRule>
  </conditionalFormatting>
  <conditionalFormatting sqref="A44:C63 G44:I63">
    <cfRule type="expression" dxfId="1813" priority="139">
      <formula>AND($H44 &gt; 0, ISNUMBER($H44))</formula>
    </cfRule>
    <cfRule type="expression" dxfId="1812" priority="140">
      <formula>AND($H44 = 0 * ISNUMBER($H44))</formula>
    </cfRule>
    <cfRule type="expression" dxfId="1811" priority="141">
      <formula>AND($H44 &lt; 0, ISNUMBER($H44))</formula>
    </cfRule>
  </conditionalFormatting>
  <conditionalFormatting sqref="A44:C63 J44:L63">
    <cfRule type="expression" dxfId="1810" priority="136">
      <formula>AND($K44 &gt; 0, ISNUMBER($K44))</formula>
    </cfRule>
    <cfRule type="expression" dxfId="1809" priority="137">
      <formula>AND($K44 = 0 * ISNUMBER($K44))</formula>
    </cfRule>
    <cfRule type="expression" dxfId="1808" priority="138">
      <formula>AND($K44 &lt; 0, ISNUMBER($K44))</formula>
    </cfRule>
  </conditionalFormatting>
  <conditionalFormatting sqref="D42:F43 E64:F64">
    <cfRule type="expression" dxfId="1807" priority="130">
      <formula>$E$64 &gt; 0</formula>
    </cfRule>
    <cfRule type="expression" dxfId="1806" priority="131">
      <formula>$E$64 = 0</formula>
    </cfRule>
    <cfRule type="expression" dxfId="1805" priority="132">
      <formula>$E$64 &lt; 0</formula>
    </cfRule>
  </conditionalFormatting>
  <conditionalFormatting sqref="G42:I43 H64:I64">
    <cfRule type="expression" dxfId="1804" priority="127">
      <formula>$H$64 &gt; 0</formula>
    </cfRule>
    <cfRule type="expression" dxfId="1803" priority="128">
      <formula>$H$64 = 0</formula>
    </cfRule>
    <cfRule type="expression" dxfId="1802" priority="129">
      <formula>$H$64 &lt; 0</formula>
    </cfRule>
  </conditionalFormatting>
  <conditionalFormatting sqref="J42:L43 K64:L64">
    <cfRule type="expression" dxfId="1801" priority="124">
      <formula>$K$64 &gt; 0</formula>
    </cfRule>
    <cfRule type="expression" dxfId="1800" priority="125">
      <formula>$K$64 = 0</formula>
    </cfRule>
    <cfRule type="expression" dxfId="1799" priority="126">
      <formula>$K$64 &lt; 0</formula>
    </cfRule>
  </conditionalFormatting>
  <conditionalFormatting sqref="M42:O43 N64:O64">
    <cfRule type="expression" dxfId="1798" priority="121">
      <formula>$N$64 &gt; 0</formula>
    </cfRule>
    <cfRule type="expression" dxfId="1797" priority="122">
      <formula>$N$64 = 0</formula>
    </cfRule>
    <cfRule type="expression" dxfId="1796" priority="123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22" zoomScaleNormal="100" workbookViewId="0">
      <selection sqref="A1:O1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224">
        <v>44317</v>
      </c>
      <c r="H1" s="225"/>
      <c r="I1" s="226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20" t="s">
        <v>3</v>
      </c>
      <c r="B2" s="227" t="s">
        <v>4</v>
      </c>
      <c r="C2" s="228"/>
      <c r="D2" s="228"/>
      <c r="E2" s="228"/>
      <c r="F2" s="229"/>
      <c r="G2" s="221" t="s">
        <v>46</v>
      </c>
      <c r="H2" s="222"/>
      <c r="I2" s="223"/>
      <c r="J2" s="1" t="s">
        <v>3</v>
      </c>
      <c r="K2" s="227" t="s">
        <v>5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21" t="s">
        <v>7</v>
      </c>
      <c r="B3" s="218" t="s">
        <v>8</v>
      </c>
      <c r="C3" s="219"/>
      <c r="D3" s="219"/>
      <c r="E3" s="219"/>
      <c r="F3" s="220"/>
      <c r="G3" s="21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5"/>
      <c r="I3" s="216"/>
      <c r="J3" s="4" t="s">
        <v>7</v>
      </c>
      <c r="K3" s="218" t="s">
        <v>9</v>
      </c>
      <c r="L3" s="219"/>
      <c r="M3" s="219"/>
      <c r="N3" s="219"/>
      <c r="O3" s="220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8" t="s">
        <v>12</v>
      </c>
      <c r="C4" s="219"/>
      <c r="D4" s="219"/>
      <c r="E4" s="219"/>
      <c r="F4" s="220"/>
      <c r="G4" s="221" t="s">
        <v>44</v>
      </c>
      <c r="H4" s="222"/>
      <c r="I4" s="223"/>
      <c r="J4" s="4" t="s">
        <v>11</v>
      </c>
      <c r="K4" s="218" t="s">
        <v>13</v>
      </c>
      <c r="L4" s="219"/>
      <c r="M4" s="219"/>
      <c r="N4" s="219"/>
      <c r="O4" s="220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8" t="s">
        <v>16</v>
      </c>
      <c r="C5" s="219"/>
      <c r="D5" s="219"/>
      <c r="E5" s="219"/>
      <c r="F5" s="220"/>
      <c r="G5" s="21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5"/>
      <c r="I5" s="216"/>
      <c r="J5" s="4" t="s">
        <v>15</v>
      </c>
      <c r="K5" s="218" t="s">
        <v>17</v>
      </c>
      <c r="L5" s="219"/>
      <c r="M5" s="219"/>
      <c r="N5" s="219"/>
      <c r="O5" s="220"/>
    </row>
    <row r="6" spans="1:19">
      <c r="A6" s="121" t="s">
        <v>18</v>
      </c>
      <c r="B6" s="218" t="s">
        <v>19</v>
      </c>
      <c r="C6" s="219"/>
      <c r="D6" s="219"/>
      <c r="E6" s="219"/>
      <c r="F6" s="220"/>
      <c r="G6" s="221" t="s">
        <v>45</v>
      </c>
      <c r="H6" s="222"/>
      <c r="I6" s="223"/>
      <c r="J6" s="4" t="s">
        <v>18</v>
      </c>
      <c r="K6" s="218" t="s">
        <v>20</v>
      </c>
      <c r="L6" s="219"/>
      <c r="M6" s="219"/>
      <c r="N6" s="219"/>
      <c r="O6" s="220"/>
    </row>
    <row r="7" spans="1:19" ht="17.25" thickBot="1">
      <c r="A7" s="121" t="s">
        <v>21</v>
      </c>
      <c r="B7" s="218" t="s">
        <v>22</v>
      </c>
      <c r="C7" s="219"/>
      <c r="D7" s="219"/>
      <c r="E7" s="219"/>
      <c r="F7" s="220"/>
      <c r="G7" s="21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5"/>
      <c r="I7" s="216"/>
      <c r="J7" s="4" t="s">
        <v>21</v>
      </c>
      <c r="K7" s="218" t="s">
        <v>23</v>
      </c>
      <c r="L7" s="219"/>
      <c r="M7" s="219"/>
      <c r="N7" s="219"/>
      <c r="O7" s="220"/>
    </row>
    <row r="8" spans="1:19" ht="17.25" thickBot="1">
      <c r="A8" s="121" t="s">
        <v>24</v>
      </c>
      <c r="B8" s="218" t="s">
        <v>25</v>
      </c>
      <c r="C8" s="219"/>
      <c r="D8" s="219"/>
      <c r="E8" s="219"/>
      <c r="F8" s="220"/>
      <c r="G8" s="221" t="s">
        <v>285</v>
      </c>
      <c r="H8" s="222"/>
      <c r="I8" s="223"/>
      <c r="J8" s="4" t="s">
        <v>24</v>
      </c>
      <c r="K8" s="218" t="s">
        <v>26</v>
      </c>
      <c r="L8" s="219"/>
      <c r="M8" s="219"/>
      <c r="N8" s="219"/>
      <c r="O8" s="220"/>
      <c r="Q8" s="193" t="s">
        <v>27</v>
      </c>
      <c r="R8" s="195"/>
    </row>
    <row r="9" spans="1:19" ht="17.25" thickBot="1">
      <c r="A9" s="121" t="s">
        <v>28</v>
      </c>
      <c r="B9" s="218"/>
      <c r="C9" s="219"/>
      <c r="D9" s="219"/>
      <c r="E9" s="219"/>
      <c r="F9" s="220"/>
      <c r="G9" s="21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5"/>
      <c r="I9" s="216"/>
      <c r="J9" s="4" t="s">
        <v>28</v>
      </c>
      <c r="K9" s="218" t="s">
        <v>293</v>
      </c>
      <c r="L9" s="219"/>
      <c r="M9" s="219"/>
      <c r="N9" s="219"/>
      <c r="O9" s="220"/>
      <c r="Q9" s="2" t="s">
        <v>29</v>
      </c>
      <c r="R9" s="6">
        <v>10</v>
      </c>
    </row>
    <row r="10" spans="1:19">
      <c r="A10" s="121" t="s">
        <v>30</v>
      </c>
      <c r="B10" s="218"/>
      <c r="C10" s="219"/>
      <c r="D10" s="219"/>
      <c r="E10" s="219"/>
      <c r="F10" s="220"/>
      <c r="G10" s="221" t="s">
        <v>47</v>
      </c>
      <c r="H10" s="222"/>
      <c r="I10" s="223"/>
      <c r="J10" s="4" t="s">
        <v>30</v>
      </c>
      <c r="K10" s="218"/>
      <c r="L10" s="219"/>
      <c r="M10" s="219"/>
      <c r="N10" s="219"/>
      <c r="O10" s="220"/>
      <c r="Q10" s="2" t="s">
        <v>31</v>
      </c>
      <c r="R10" s="6">
        <v>100</v>
      </c>
    </row>
    <row r="11" spans="1:19" ht="17.25" thickBot="1">
      <c r="A11" s="122" t="s">
        <v>32</v>
      </c>
      <c r="B11" s="211"/>
      <c r="C11" s="212"/>
      <c r="D11" s="212"/>
      <c r="E11" s="212"/>
      <c r="F11" s="213"/>
      <c r="G11" s="21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5"/>
      <c r="I11" s="216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192"/>
      <c r="R13" s="192"/>
      <c r="S13" s="192"/>
    </row>
    <row r="14" spans="1:19" ht="17.25" customHeight="1" thickBot="1">
      <c r="A14" s="116" t="s">
        <v>35</v>
      </c>
      <c r="B14" s="193" t="s">
        <v>36</v>
      </c>
      <c r="C14" s="195"/>
      <c r="D14" s="193" t="s">
        <v>37</v>
      </c>
      <c r="E14" s="194"/>
      <c r="F14" s="195"/>
      <c r="G14" s="196">
        <f>_xlfn.IFNA(VLOOKUP(B14, 현재가테이블!$B$2:$D$200, 2, FALSE), "-")</f>
        <v>68581000</v>
      </c>
      <c r="H14" s="197"/>
      <c r="I14" s="198"/>
      <c r="J14" s="193" t="s">
        <v>38</v>
      </c>
      <c r="K14" s="194"/>
      <c r="L14" s="195"/>
      <c r="M14" s="199">
        <f>_xlfn.IFNA(VLOOKUP(B14, 현재가테이블!$B$2:$D$200, 3, FALSE), "-")</f>
        <v>-2.7047857000000002E-3</v>
      </c>
      <c r="N14" s="200"/>
      <c r="O14" s="201"/>
      <c r="Q14" s="192"/>
      <c r="R14" s="192"/>
      <c r="S14" s="192"/>
    </row>
    <row r="15" spans="1:19" ht="17.25" customHeight="1" thickBot="1">
      <c r="A15" s="230" t="s">
        <v>39</v>
      </c>
      <c r="B15" s="231" t="str">
        <f>TEXT($G$1, "[$-ko-KR]yyyy-mm-dd(ddd) ") &amp; "오전 00:00"</f>
        <v>2021-05-01(토) 오전 00:00</v>
      </c>
      <c r="C15" s="232"/>
      <c r="D15" s="206" t="str">
        <f>TEXT($G$1, "[$-ko-KR]yyyy-mm-dd(ddd) ") &amp; "오후 14:00"</f>
        <v>2021-05-01(토) 오후 14:00</v>
      </c>
      <c r="E15" s="207"/>
      <c r="F15" s="208"/>
      <c r="G15" s="206" t="str">
        <f>TEXT($G$1, "[$-ko-KR]yyyy-mm-dd(ddd) ") &amp; "오후 19:00"</f>
        <v>2021-05-01(토) 오후 19:00</v>
      </c>
      <c r="H15" s="207"/>
      <c r="I15" s="208"/>
      <c r="J15" s="206" t="str">
        <f>TEXT($G$1, "[$-ko-KR]yyyy-mm-dd(ddd) ") &amp; "오후 21:00"</f>
        <v>2021-05-01(토) 오후 21:00</v>
      </c>
      <c r="K15" s="207"/>
      <c r="L15" s="208"/>
      <c r="M15" s="206" t="str">
        <f>TEXT($G$1+1, "[$-ko-KR]yyyy-mm-dd(ddd) ") &amp; "오전 00:00"</f>
        <v>2021-05-02(일) 오전 00:00</v>
      </c>
      <c r="N15" s="207"/>
      <c r="O15" s="208"/>
      <c r="Q15" s="192"/>
      <c r="R15" s="192"/>
      <c r="S15" s="192"/>
    </row>
    <row r="16" spans="1:19" ht="17.25" customHeight="1" thickBot="1">
      <c r="A16" s="230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2"/>
      <c r="R16" s="182"/>
      <c r="S16" s="182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2"/>
      <c r="R17" s="192"/>
      <c r="S17" s="192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2"/>
      <c r="R18" s="192"/>
      <c r="S18" s="192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2"/>
      <c r="R19" s="182"/>
      <c r="S19" s="182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2"/>
      <c r="R20" s="182"/>
      <c r="S20" s="182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2"/>
      <c r="R21" s="182"/>
      <c r="S21" s="182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2"/>
      <c r="R22" s="182"/>
      <c r="S22" s="182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2"/>
      <c r="R23" s="182"/>
      <c r="S23" s="182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2"/>
      <c r="R24" s="182"/>
      <c r="S24" s="182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3"/>
      <c r="R26" s="184"/>
      <c r="S26" s="185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6"/>
      <c r="R27" s="187"/>
      <c r="S27" s="188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9"/>
      <c r="R28" s="190"/>
      <c r="S28" s="191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2"/>
      <c r="R29" s="182"/>
      <c r="S29" s="182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2"/>
      <c r="R32" s="182"/>
      <c r="S32" s="182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2"/>
      <c r="R33" s="182"/>
      <c r="S33" s="182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2"/>
      <c r="R34" s="182"/>
      <c r="S34" s="182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1"/>
      <c r="R35" s="172"/>
      <c r="S35" s="173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4"/>
      <c r="R36" s="175"/>
      <c r="S36" s="176"/>
    </row>
    <row r="37" spans="1:19" ht="17.25" customHeight="1" thickBot="1">
      <c r="A37" s="135" t="s">
        <v>42</v>
      </c>
      <c r="B37" s="235">
        <v>300000</v>
      </c>
      <c r="C37" s="23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7"/>
      <c r="R37" s="178"/>
      <c r="S37" s="17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192"/>
      <c r="R40" s="192"/>
      <c r="S40" s="192"/>
    </row>
    <row r="41" spans="1:19" ht="17.25" customHeight="1" thickBot="1">
      <c r="A41" s="116" t="s">
        <v>298</v>
      </c>
      <c r="B41" s="193" t="s">
        <v>49</v>
      </c>
      <c r="C41" s="195"/>
      <c r="D41" s="193" t="s">
        <v>58</v>
      </c>
      <c r="E41" s="194"/>
      <c r="F41" s="195"/>
      <c r="G41" s="196">
        <f>_xlfn.IFNA(VLOOKUP(B41, 현재가테이블!$B$2:$D$200, 2, FALSE), "-")</f>
        <v>68581000</v>
      </c>
      <c r="H41" s="197"/>
      <c r="I41" s="198"/>
      <c r="J41" s="193" t="s">
        <v>59</v>
      </c>
      <c r="K41" s="194"/>
      <c r="L41" s="195"/>
      <c r="M41" s="199">
        <f>_xlfn.IFNA(VLOOKUP(B41, 현재가테이블!$B$2:$D$200, 3, FALSE), "-")</f>
        <v>-2.7047857000000002E-3</v>
      </c>
      <c r="N41" s="200"/>
      <c r="O41" s="201"/>
      <c r="Q41" s="192"/>
      <c r="R41" s="192"/>
      <c r="S41" s="192"/>
    </row>
    <row r="42" spans="1:19" ht="17.25" customHeight="1" thickBot="1">
      <c r="A42" s="237" t="s">
        <v>55</v>
      </c>
      <c r="B42" s="233" t="str">
        <f>TEXT($G$1, "[$-ko-KR]yyyy-mm-dd(ddd) ") &amp; "오전 00:00"</f>
        <v>2021-05-01(토) 오전 00:00</v>
      </c>
      <c r="C42" s="234"/>
      <c r="D42" s="206" t="str">
        <f>TEXT($G$1, "[$-ko-KR]yyyy-mm-dd(ddd) ") &amp; "오후 14:00"</f>
        <v>2021-05-01(토) 오후 14:00</v>
      </c>
      <c r="E42" s="207"/>
      <c r="F42" s="208"/>
      <c r="G42" s="206" t="str">
        <f>TEXT($G$1, "[$-ko-KR]yyyy-mm-dd(ddd) ") &amp; "오후 19:00"</f>
        <v>2021-05-01(토) 오후 19:00</v>
      </c>
      <c r="H42" s="207"/>
      <c r="I42" s="208"/>
      <c r="J42" s="206" t="str">
        <f>TEXT($G$1, "[$-ko-KR]yyyy-mm-dd(ddd) ") &amp; "오후 21:00"</f>
        <v>2021-05-01(토) 오후 21:00</v>
      </c>
      <c r="K42" s="207"/>
      <c r="L42" s="208"/>
      <c r="M42" s="206" t="str">
        <f>TEXT($G$1+1, "[$-ko-KR]yyyy-mm-dd(ddd) ") &amp; "오전 00:00"</f>
        <v>2021-05-02(일) 오전 00:00</v>
      </c>
      <c r="N42" s="207"/>
      <c r="O42" s="208"/>
      <c r="Q42" s="192"/>
      <c r="R42" s="192"/>
      <c r="S42" s="192"/>
    </row>
    <row r="43" spans="1:19" ht="17.25" customHeight="1" thickBot="1">
      <c r="A43" s="238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2"/>
      <c r="R43" s="182"/>
      <c r="S43" s="182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2"/>
      <c r="R44" s="192"/>
      <c r="S44" s="192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2"/>
      <c r="R45" s="192"/>
      <c r="S45" s="192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2"/>
      <c r="R46" s="182"/>
      <c r="S46" s="182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2"/>
      <c r="R47" s="182"/>
      <c r="S47" s="182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2"/>
      <c r="R48" s="182"/>
      <c r="S48" s="182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2"/>
      <c r="R49" s="182"/>
      <c r="S49" s="182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2"/>
      <c r="R50" s="182"/>
      <c r="S50" s="182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2"/>
      <c r="R51" s="182"/>
      <c r="S51" s="182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3"/>
      <c r="R53" s="184"/>
      <c r="S53" s="185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6"/>
      <c r="R54" s="187"/>
      <c r="S54" s="188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9"/>
      <c r="R55" s="190"/>
      <c r="S55" s="191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2"/>
      <c r="R56" s="182"/>
      <c r="S56" s="182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2"/>
      <c r="R57" s="192"/>
      <c r="S57" s="192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2"/>
      <c r="R58" s="192"/>
      <c r="S58" s="192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2"/>
      <c r="R59" s="182"/>
      <c r="S59" s="182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2"/>
      <c r="R60" s="182"/>
      <c r="S60" s="182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2"/>
      <c r="R61" s="182"/>
      <c r="S61" s="182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1"/>
      <c r="R62" s="172"/>
      <c r="S62" s="173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4"/>
      <c r="R63" s="175"/>
      <c r="S63" s="176"/>
    </row>
    <row r="64" spans="1:19" ht="17.25" customHeight="1" thickBot="1">
      <c r="A64" s="135" t="s">
        <v>301</v>
      </c>
      <c r="B64" s="235">
        <f>$B$37</f>
        <v>300000</v>
      </c>
      <c r="C64" s="236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77"/>
      <c r="R64" s="178"/>
      <c r="S64" s="17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192"/>
      <c r="R67" s="192"/>
      <c r="S67" s="192"/>
    </row>
    <row r="68" spans="1:19" ht="17.25" thickBot="1">
      <c r="A68" s="116" t="s">
        <v>298</v>
      </c>
      <c r="B68" s="193" t="s">
        <v>49</v>
      </c>
      <c r="C68" s="195"/>
      <c r="D68" s="193" t="s">
        <v>58</v>
      </c>
      <c r="E68" s="194"/>
      <c r="F68" s="195"/>
      <c r="G68" s="196">
        <f>_xlfn.IFNA(VLOOKUP(B68, 현재가테이블!$B$2:$D$200, 2, FALSE), "-")</f>
        <v>68581000</v>
      </c>
      <c r="H68" s="197"/>
      <c r="I68" s="198"/>
      <c r="J68" s="193" t="s">
        <v>59</v>
      </c>
      <c r="K68" s="194"/>
      <c r="L68" s="195"/>
      <c r="M68" s="199">
        <f>_xlfn.IFNA(VLOOKUP(B68, 현재가테이블!$B$2:$D$200, 3, FALSE), "-")</f>
        <v>-2.7047857000000002E-3</v>
      </c>
      <c r="N68" s="200"/>
      <c r="O68" s="201"/>
      <c r="Q68" s="192"/>
      <c r="R68" s="192"/>
      <c r="S68" s="192"/>
    </row>
    <row r="69" spans="1:19" ht="17.25" thickBot="1">
      <c r="A69" s="237" t="s">
        <v>55</v>
      </c>
      <c r="B69" s="233" t="str">
        <f>TEXT($G$1, "[$-ko-KR]yyyy-mm-dd(ddd) ") &amp; "오전 00:00"</f>
        <v>2021-05-01(토) 오전 00:00</v>
      </c>
      <c r="C69" s="234"/>
      <c r="D69" s="206" t="str">
        <f>TEXT($G$1, "[$-ko-KR]yyyy-mm-dd(ddd) ") &amp; "오후 14:00"</f>
        <v>2021-05-01(토) 오후 14:00</v>
      </c>
      <c r="E69" s="207"/>
      <c r="F69" s="208"/>
      <c r="G69" s="206" t="str">
        <f>TEXT($G$1, "[$-ko-KR]yyyy-mm-dd(ddd) ") &amp; "오후 19:00"</f>
        <v>2021-05-01(토) 오후 19:00</v>
      </c>
      <c r="H69" s="207"/>
      <c r="I69" s="208"/>
      <c r="J69" s="206" t="str">
        <f>TEXT($G$1, "[$-ko-KR]yyyy-mm-dd(ddd) ") &amp; "오후 21:00"</f>
        <v>2021-05-01(토) 오후 21:00</v>
      </c>
      <c r="K69" s="207"/>
      <c r="L69" s="208"/>
      <c r="M69" s="206" t="str">
        <f>TEXT($G$1+1, "[$-ko-KR]yyyy-mm-dd(ddd) ") &amp; "오전 00:00"</f>
        <v>2021-05-02(일) 오전 00:00</v>
      </c>
      <c r="N69" s="207"/>
      <c r="O69" s="208"/>
      <c r="Q69" s="192"/>
      <c r="R69" s="192"/>
      <c r="S69" s="192"/>
    </row>
    <row r="70" spans="1:19" ht="17.25" thickBot="1">
      <c r="A70" s="238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2"/>
      <c r="R70" s="182"/>
      <c r="S70" s="182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2"/>
      <c r="R71" s="192"/>
      <c r="S71" s="192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2"/>
      <c r="R72" s="192"/>
      <c r="S72" s="192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2"/>
      <c r="R73" s="182"/>
      <c r="S73" s="182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2"/>
      <c r="R74" s="182"/>
      <c r="S74" s="182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2"/>
      <c r="R75" s="182"/>
      <c r="S75" s="182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2"/>
      <c r="R76" s="182"/>
      <c r="S76" s="182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2"/>
      <c r="R77" s="182"/>
      <c r="S77" s="182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2"/>
      <c r="R78" s="182"/>
      <c r="S78" s="182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3"/>
      <c r="R80" s="184"/>
      <c r="S80" s="185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6"/>
      <c r="R81" s="187"/>
      <c r="S81" s="188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9"/>
      <c r="R82" s="190"/>
      <c r="S82" s="191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2"/>
      <c r="R83" s="182"/>
      <c r="S83" s="182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2"/>
      <c r="R84" s="192"/>
      <c r="S84" s="192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2"/>
      <c r="R85" s="192"/>
      <c r="S85" s="192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2"/>
      <c r="R86" s="182"/>
      <c r="S86" s="182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2"/>
      <c r="R87" s="182"/>
      <c r="S87" s="182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2"/>
      <c r="R88" s="182"/>
      <c r="S88" s="182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1"/>
      <c r="R89" s="172"/>
      <c r="S89" s="173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4"/>
      <c r="R90" s="175"/>
      <c r="S90" s="176"/>
    </row>
    <row r="91" spans="1:19" ht="17.25" thickBot="1">
      <c r="A91" s="135" t="s">
        <v>301</v>
      </c>
      <c r="B91" s="235">
        <f>$B$37</f>
        <v>300000</v>
      </c>
      <c r="C91" s="236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77"/>
      <c r="R91" s="178"/>
      <c r="S91" s="17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192"/>
      <c r="R94" s="192"/>
      <c r="S94" s="192"/>
    </row>
    <row r="95" spans="1:19" ht="17.25" thickBot="1">
      <c r="A95" s="116" t="s">
        <v>298</v>
      </c>
      <c r="B95" s="193" t="s">
        <v>49</v>
      </c>
      <c r="C95" s="195"/>
      <c r="D95" s="193" t="s">
        <v>58</v>
      </c>
      <c r="E95" s="194"/>
      <c r="F95" s="195"/>
      <c r="G95" s="196">
        <f>_xlfn.IFNA(VLOOKUP(B95, 현재가테이블!$B$2:$D$200, 2, FALSE), "-")</f>
        <v>68581000</v>
      </c>
      <c r="H95" s="197"/>
      <c r="I95" s="198"/>
      <c r="J95" s="193" t="s">
        <v>59</v>
      </c>
      <c r="K95" s="194"/>
      <c r="L95" s="195"/>
      <c r="M95" s="199">
        <f>_xlfn.IFNA(VLOOKUP(B95, 현재가테이블!$B$2:$D$200, 3, FALSE), "-")</f>
        <v>-2.7047857000000002E-3</v>
      </c>
      <c r="N95" s="200"/>
      <c r="O95" s="201"/>
      <c r="Q95" s="192"/>
      <c r="R95" s="192"/>
      <c r="S95" s="192"/>
    </row>
    <row r="96" spans="1:19" ht="17.25" thickBot="1">
      <c r="A96" s="237" t="s">
        <v>55</v>
      </c>
      <c r="B96" s="233" t="str">
        <f>TEXT($G$1, "[$-ko-KR]yyyy-mm-dd(ddd) ") &amp; "오전 00:00"</f>
        <v>2021-05-01(토) 오전 00:00</v>
      </c>
      <c r="C96" s="234"/>
      <c r="D96" s="206" t="str">
        <f>TEXT($G$1, "[$-ko-KR]yyyy-mm-dd(ddd) ") &amp; "오후 14:00"</f>
        <v>2021-05-01(토) 오후 14:00</v>
      </c>
      <c r="E96" s="207"/>
      <c r="F96" s="208"/>
      <c r="G96" s="206" t="str">
        <f>TEXT($G$1, "[$-ko-KR]yyyy-mm-dd(ddd) ") &amp; "오후 19:00"</f>
        <v>2021-05-01(토) 오후 19:00</v>
      </c>
      <c r="H96" s="207"/>
      <c r="I96" s="208"/>
      <c r="J96" s="206" t="str">
        <f>TEXT($G$1, "[$-ko-KR]yyyy-mm-dd(ddd) ") &amp; "오후 21:00"</f>
        <v>2021-05-01(토) 오후 21:00</v>
      </c>
      <c r="K96" s="207"/>
      <c r="L96" s="208"/>
      <c r="M96" s="206" t="str">
        <f>TEXT($G$1+1, "[$-ko-KR]yyyy-mm-dd(ddd) ") &amp; "오전 00:00"</f>
        <v>2021-05-02(일) 오전 00:00</v>
      </c>
      <c r="N96" s="207"/>
      <c r="O96" s="208"/>
      <c r="Q96" s="192"/>
      <c r="R96" s="192"/>
      <c r="S96" s="192"/>
    </row>
    <row r="97" spans="1:19" ht="17.25" thickBot="1">
      <c r="A97" s="238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2"/>
      <c r="R97" s="182"/>
      <c r="S97" s="182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2"/>
      <c r="R98" s="192"/>
      <c r="S98" s="192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2"/>
      <c r="R99" s="192"/>
      <c r="S99" s="192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2"/>
      <c r="R100" s="182"/>
      <c r="S100" s="182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2"/>
      <c r="R101" s="182"/>
      <c r="S101" s="182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2"/>
      <c r="R102" s="182"/>
      <c r="S102" s="182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2"/>
      <c r="R103" s="182"/>
      <c r="S103" s="182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2"/>
      <c r="R104" s="182"/>
      <c r="S104" s="182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2"/>
      <c r="R105" s="182"/>
      <c r="S105" s="182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3"/>
      <c r="R107" s="184"/>
      <c r="S107" s="185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6"/>
      <c r="R108" s="187"/>
      <c r="S108" s="188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9"/>
      <c r="R109" s="190"/>
      <c r="S109" s="191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2"/>
      <c r="R110" s="182"/>
      <c r="S110" s="182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2"/>
      <c r="R111" s="192"/>
      <c r="S111" s="192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2"/>
      <c r="R112" s="192"/>
      <c r="S112" s="192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2"/>
      <c r="R113" s="182"/>
      <c r="S113" s="182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2"/>
      <c r="R114" s="182"/>
      <c r="S114" s="182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2"/>
      <c r="R115" s="182"/>
      <c r="S115" s="182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1"/>
      <c r="R116" s="172"/>
      <c r="S116" s="173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4"/>
      <c r="R117" s="175"/>
      <c r="S117" s="176"/>
    </row>
    <row r="118" spans="1:19" ht="17.25" thickBot="1">
      <c r="A118" s="135" t="s">
        <v>301</v>
      </c>
      <c r="B118" s="235">
        <f>$B$37</f>
        <v>300000</v>
      </c>
      <c r="C118" s="236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77"/>
      <c r="R118" s="178"/>
      <c r="S118" s="17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192"/>
      <c r="R121" s="192"/>
      <c r="S121" s="192"/>
    </row>
    <row r="122" spans="1:19" ht="17.25" thickBot="1">
      <c r="A122" s="116" t="s">
        <v>298</v>
      </c>
      <c r="B122" s="193" t="s">
        <v>49</v>
      </c>
      <c r="C122" s="195"/>
      <c r="D122" s="193" t="s">
        <v>58</v>
      </c>
      <c r="E122" s="194"/>
      <c r="F122" s="195"/>
      <c r="G122" s="196">
        <f>_xlfn.IFNA(VLOOKUP(B122, 현재가테이블!$B$2:$D$200, 2, FALSE), "-")</f>
        <v>68581000</v>
      </c>
      <c r="H122" s="197"/>
      <c r="I122" s="198"/>
      <c r="J122" s="193" t="s">
        <v>59</v>
      </c>
      <c r="K122" s="194"/>
      <c r="L122" s="195"/>
      <c r="M122" s="199">
        <f>_xlfn.IFNA(VLOOKUP(B122, 현재가테이블!$B$2:$D$200, 3, FALSE), "-")</f>
        <v>-2.7047857000000002E-3</v>
      </c>
      <c r="N122" s="200"/>
      <c r="O122" s="201"/>
      <c r="Q122" s="192"/>
      <c r="R122" s="192"/>
      <c r="S122" s="192"/>
    </row>
    <row r="123" spans="1:19" ht="17.25" thickBot="1">
      <c r="A123" s="237" t="s">
        <v>55</v>
      </c>
      <c r="B123" s="233" t="str">
        <f>TEXT($G$1, "[$-ko-KR]yyyy-mm-dd(ddd) ") &amp; "오전 00:00"</f>
        <v>2021-05-01(토) 오전 00:00</v>
      </c>
      <c r="C123" s="234"/>
      <c r="D123" s="206" t="str">
        <f>TEXT($G$1, "[$-ko-KR]yyyy-mm-dd(ddd) ") &amp; "오후 14:00"</f>
        <v>2021-05-01(토) 오후 14:00</v>
      </c>
      <c r="E123" s="207"/>
      <c r="F123" s="208"/>
      <c r="G123" s="206" t="str">
        <f>TEXT($G$1, "[$-ko-KR]yyyy-mm-dd(ddd) ") &amp; "오후 19:00"</f>
        <v>2021-05-01(토) 오후 19:00</v>
      </c>
      <c r="H123" s="207"/>
      <c r="I123" s="208"/>
      <c r="J123" s="206" t="str">
        <f>TEXT($G$1, "[$-ko-KR]yyyy-mm-dd(ddd) ") &amp; "오후 21:00"</f>
        <v>2021-05-01(토) 오후 21:00</v>
      </c>
      <c r="K123" s="207"/>
      <c r="L123" s="208"/>
      <c r="M123" s="206" t="str">
        <f>TEXT($G$1+1, "[$-ko-KR]yyyy-mm-dd(ddd) ") &amp; "오전 00:00"</f>
        <v>2021-05-02(일) 오전 00:00</v>
      </c>
      <c r="N123" s="207"/>
      <c r="O123" s="208"/>
      <c r="Q123" s="192"/>
      <c r="R123" s="192"/>
      <c r="S123" s="192"/>
    </row>
    <row r="124" spans="1:19" ht="17.25" thickBot="1">
      <c r="A124" s="238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2"/>
      <c r="R124" s="182"/>
      <c r="S124" s="182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2"/>
      <c r="R125" s="192"/>
      <c r="S125" s="192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2"/>
      <c r="R126" s="192"/>
      <c r="S126" s="192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2"/>
      <c r="R127" s="182"/>
      <c r="S127" s="182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2"/>
      <c r="R128" s="182"/>
      <c r="S128" s="182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2"/>
      <c r="R129" s="182"/>
      <c r="S129" s="182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2"/>
      <c r="R130" s="182"/>
      <c r="S130" s="182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2"/>
      <c r="R131" s="182"/>
      <c r="S131" s="182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2"/>
      <c r="R132" s="182"/>
      <c r="S132" s="182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3"/>
      <c r="R134" s="184"/>
      <c r="S134" s="185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6"/>
      <c r="R135" s="187"/>
      <c r="S135" s="188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9"/>
      <c r="R136" s="190"/>
      <c r="S136" s="191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2"/>
      <c r="R137" s="182"/>
      <c r="S137" s="182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2"/>
      <c r="R138" s="192"/>
      <c r="S138" s="192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2"/>
      <c r="R139" s="192"/>
      <c r="S139" s="192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2"/>
      <c r="R140" s="182"/>
      <c r="S140" s="182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2"/>
      <c r="R141" s="182"/>
      <c r="S141" s="182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2"/>
      <c r="R142" s="182"/>
      <c r="S142" s="182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1"/>
      <c r="R143" s="172"/>
      <c r="S143" s="173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4"/>
      <c r="R144" s="175"/>
      <c r="S144" s="176"/>
    </row>
    <row r="145" spans="1:19" ht="17.25" thickBot="1">
      <c r="A145" s="135" t="s">
        <v>301</v>
      </c>
      <c r="B145" s="235">
        <f>$B$37</f>
        <v>300000</v>
      </c>
      <c r="C145" s="236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77"/>
      <c r="R145" s="178"/>
      <c r="S145" s="17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192"/>
      <c r="R148" s="192"/>
      <c r="S148" s="192"/>
    </row>
    <row r="149" spans="1:19" ht="17.25" thickBot="1">
      <c r="A149" s="116" t="s">
        <v>298</v>
      </c>
      <c r="B149" s="193" t="s">
        <v>49</v>
      </c>
      <c r="C149" s="195"/>
      <c r="D149" s="193" t="s">
        <v>58</v>
      </c>
      <c r="E149" s="194"/>
      <c r="F149" s="195"/>
      <c r="G149" s="196">
        <f>_xlfn.IFNA(VLOOKUP(B149, 현재가테이블!$B$2:$D$200, 2, FALSE), "-")</f>
        <v>68581000</v>
      </c>
      <c r="H149" s="197"/>
      <c r="I149" s="198"/>
      <c r="J149" s="193" t="s">
        <v>59</v>
      </c>
      <c r="K149" s="194"/>
      <c r="L149" s="195"/>
      <c r="M149" s="199">
        <f>_xlfn.IFNA(VLOOKUP(B149, 현재가테이블!$B$2:$D$200, 3, FALSE), "-")</f>
        <v>-2.7047857000000002E-3</v>
      </c>
      <c r="N149" s="200"/>
      <c r="O149" s="201"/>
      <c r="Q149" s="192"/>
      <c r="R149" s="192"/>
      <c r="S149" s="192"/>
    </row>
    <row r="150" spans="1:19" ht="17.25" thickBot="1">
      <c r="A150" s="237" t="s">
        <v>55</v>
      </c>
      <c r="B150" s="233" t="str">
        <f>TEXT($G$1, "[$-ko-KR]yyyy-mm-dd(ddd) ") &amp; "오전 00:00"</f>
        <v>2021-05-01(토) 오전 00:00</v>
      </c>
      <c r="C150" s="234"/>
      <c r="D150" s="206" t="str">
        <f>TEXT($G$1, "[$-ko-KR]yyyy-mm-dd(ddd) ") &amp; "오후 14:00"</f>
        <v>2021-05-01(토) 오후 14:00</v>
      </c>
      <c r="E150" s="207"/>
      <c r="F150" s="208"/>
      <c r="G150" s="206" t="str">
        <f>TEXT($G$1, "[$-ko-KR]yyyy-mm-dd(ddd) ") &amp; "오후 19:00"</f>
        <v>2021-05-01(토) 오후 19:00</v>
      </c>
      <c r="H150" s="207"/>
      <c r="I150" s="208"/>
      <c r="J150" s="206" t="str">
        <f>TEXT($G$1, "[$-ko-KR]yyyy-mm-dd(ddd) ") &amp; "오후 21:00"</f>
        <v>2021-05-01(토) 오후 21:00</v>
      </c>
      <c r="K150" s="207"/>
      <c r="L150" s="208"/>
      <c r="M150" s="206" t="str">
        <f>TEXT($G$1+1, "[$-ko-KR]yyyy-mm-dd(ddd) ") &amp; "오전 00:00"</f>
        <v>2021-05-02(일) 오전 00:00</v>
      </c>
      <c r="N150" s="207"/>
      <c r="O150" s="208"/>
      <c r="Q150" s="192"/>
      <c r="R150" s="192"/>
      <c r="S150" s="192"/>
    </row>
    <row r="151" spans="1:19" ht="17.25" thickBot="1">
      <c r="A151" s="238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2"/>
      <c r="R151" s="182"/>
      <c r="S151" s="182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2"/>
      <c r="R152" s="192"/>
      <c r="S152" s="192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2"/>
      <c r="R153" s="192"/>
      <c r="S153" s="192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2"/>
      <c r="R154" s="182"/>
      <c r="S154" s="182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2"/>
      <c r="R155" s="182"/>
      <c r="S155" s="182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2"/>
      <c r="R156" s="182"/>
      <c r="S156" s="182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2"/>
      <c r="R157" s="182"/>
      <c r="S157" s="182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2"/>
      <c r="R158" s="182"/>
      <c r="S158" s="182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2"/>
      <c r="R159" s="182"/>
      <c r="S159" s="182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3"/>
      <c r="R161" s="184"/>
      <c r="S161" s="185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6"/>
      <c r="R162" s="187"/>
      <c r="S162" s="188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9"/>
      <c r="R163" s="190"/>
      <c r="S163" s="191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2"/>
      <c r="R164" s="182"/>
      <c r="S164" s="182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2"/>
      <c r="R165" s="192"/>
      <c r="S165" s="192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2"/>
      <c r="R166" s="192"/>
      <c r="S166" s="192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2"/>
      <c r="R167" s="182"/>
      <c r="S167" s="182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2"/>
      <c r="R168" s="182"/>
      <c r="S168" s="182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2"/>
      <c r="R169" s="182"/>
      <c r="S169" s="182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1"/>
      <c r="R170" s="172"/>
      <c r="S170" s="173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4"/>
      <c r="R171" s="175"/>
      <c r="S171" s="176"/>
    </row>
    <row r="172" spans="1:19" ht="17.25" thickBot="1">
      <c r="A172" s="135" t="s">
        <v>301</v>
      </c>
      <c r="B172" s="235">
        <f>$B$37</f>
        <v>300000</v>
      </c>
      <c r="C172" s="236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77"/>
      <c r="R172" s="178"/>
      <c r="S172" s="17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192"/>
      <c r="R175" s="192"/>
      <c r="S175" s="192"/>
    </row>
    <row r="176" spans="1:19" ht="17.25" thickBot="1">
      <c r="A176" s="116" t="s">
        <v>298</v>
      </c>
      <c r="B176" s="193" t="s">
        <v>49</v>
      </c>
      <c r="C176" s="195"/>
      <c r="D176" s="193" t="s">
        <v>58</v>
      </c>
      <c r="E176" s="194"/>
      <c r="F176" s="195"/>
      <c r="G176" s="196">
        <f>_xlfn.IFNA(VLOOKUP(B176, 현재가테이블!$B$2:$D$200, 2, FALSE), "-")</f>
        <v>68581000</v>
      </c>
      <c r="H176" s="197"/>
      <c r="I176" s="198"/>
      <c r="J176" s="193" t="s">
        <v>59</v>
      </c>
      <c r="K176" s="194"/>
      <c r="L176" s="195"/>
      <c r="M176" s="199">
        <f>_xlfn.IFNA(VLOOKUP(B176, 현재가테이블!$B$2:$D$200, 3, FALSE), "-")</f>
        <v>-2.7047857000000002E-3</v>
      </c>
      <c r="N176" s="200"/>
      <c r="O176" s="201"/>
      <c r="Q176" s="192"/>
      <c r="R176" s="192"/>
      <c r="S176" s="192"/>
    </row>
    <row r="177" spans="1:19" ht="17.25" thickBot="1">
      <c r="A177" s="237" t="s">
        <v>55</v>
      </c>
      <c r="B177" s="233" t="str">
        <f>TEXT($G$1, "[$-ko-KR]yyyy-mm-dd(ddd) ") &amp; "오전 00:00"</f>
        <v>2021-05-01(토) 오전 00:00</v>
      </c>
      <c r="C177" s="234"/>
      <c r="D177" s="206" t="str">
        <f>TEXT($G$1, "[$-ko-KR]yyyy-mm-dd(ddd) ") &amp; "오후 14:00"</f>
        <v>2021-05-01(토) 오후 14:00</v>
      </c>
      <c r="E177" s="207"/>
      <c r="F177" s="208"/>
      <c r="G177" s="206" t="str">
        <f>TEXT($G$1, "[$-ko-KR]yyyy-mm-dd(ddd) ") &amp; "오후 19:00"</f>
        <v>2021-05-01(토) 오후 19:00</v>
      </c>
      <c r="H177" s="207"/>
      <c r="I177" s="208"/>
      <c r="J177" s="206" t="str">
        <f>TEXT($G$1, "[$-ko-KR]yyyy-mm-dd(ddd) ") &amp; "오후 21:00"</f>
        <v>2021-05-01(토) 오후 21:00</v>
      </c>
      <c r="K177" s="207"/>
      <c r="L177" s="208"/>
      <c r="M177" s="206" t="str">
        <f>TEXT($G$1+1, "[$-ko-KR]yyyy-mm-dd(ddd) ") &amp; "오전 00:00"</f>
        <v>2021-05-02(일) 오전 00:00</v>
      </c>
      <c r="N177" s="207"/>
      <c r="O177" s="208"/>
      <c r="Q177" s="192"/>
      <c r="R177" s="192"/>
      <c r="S177" s="192"/>
    </row>
    <row r="178" spans="1:19" ht="17.25" thickBot="1">
      <c r="A178" s="238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2"/>
      <c r="R178" s="182"/>
      <c r="S178" s="182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2"/>
      <c r="R179" s="192"/>
      <c r="S179" s="192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2"/>
      <c r="R180" s="192"/>
      <c r="S180" s="192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2"/>
      <c r="R181" s="182"/>
      <c r="S181" s="182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2"/>
      <c r="R182" s="182"/>
      <c r="S182" s="182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2"/>
      <c r="R183" s="182"/>
      <c r="S183" s="182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2"/>
      <c r="R184" s="182"/>
      <c r="S184" s="182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2"/>
      <c r="R185" s="182"/>
      <c r="S185" s="182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2"/>
      <c r="R186" s="182"/>
      <c r="S186" s="182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3"/>
      <c r="R188" s="184"/>
      <c r="S188" s="185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6"/>
      <c r="R189" s="187"/>
      <c r="S189" s="188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9"/>
      <c r="R190" s="190"/>
      <c r="S190" s="191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2"/>
      <c r="R191" s="182"/>
      <c r="S191" s="182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2"/>
      <c r="R192" s="192"/>
      <c r="S192" s="192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2"/>
      <c r="R193" s="192"/>
      <c r="S193" s="192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2"/>
      <c r="R194" s="182"/>
      <c r="S194" s="182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2"/>
      <c r="R195" s="182"/>
      <c r="S195" s="182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2"/>
      <c r="R196" s="182"/>
      <c r="S196" s="182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1"/>
      <c r="R197" s="172"/>
      <c r="S197" s="173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4"/>
      <c r="R198" s="175"/>
      <c r="S198" s="176"/>
    </row>
    <row r="199" spans="1:19" ht="17.25" thickBot="1">
      <c r="A199" s="135" t="s">
        <v>301</v>
      </c>
      <c r="B199" s="235">
        <f>$B$37</f>
        <v>300000</v>
      </c>
      <c r="C199" s="236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77"/>
      <c r="R199" s="178"/>
      <c r="S199" s="17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67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289">
      <formula>AND($N17 &gt; 0, ISNUMBER($N17))</formula>
    </cfRule>
    <cfRule type="expression" dxfId="1664" priority="290">
      <formula>AND($N17 = 0 * ISNUMBER($N17))</formula>
    </cfRule>
    <cfRule type="expression" dxfId="1663" priority="291">
      <formula>AND($N17 &lt; 0, ISNUMBER($N17))</formula>
    </cfRule>
  </conditionalFormatting>
  <conditionalFormatting sqref="A17:C36 D17:F36">
    <cfRule type="expression" dxfId="1662" priority="298">
      <formula>AND($E17 &gt; 0, ISNUMBER($E17))</formula>
    </cfRule>
    <cfRule type="expression" dxfId="1661" priority="299">
      <formula>AND($E17 = 0 * ISNUMBER($E17))</formula>
    </cfRule>
    <cfRule type="expression" dxfId="1660" priority="300">
      <formula>AND($E17 &lt; 0, ISNUMBER($E17))</formula>
    </cfRule>
  </conditionalFormatting>
  <conditionalFormatting sqref="A17:C36 G17:I36">
    <cfRule type="expression" dxfId="1659" priority="295">
      <formula>AND($H17 &gt; 0, ISNUMBER($H17))</formula>
    </cfRule>
    <cfRule type="expression" dxfId="1658" priority="296">
      <formula>AND($H17 = 0 * ISNUMBER($H17))</formula>
    </cfRule>
    <cfRule type="expression" dxfId="1657" priority="297">
      <formula>AND($H17 &lt; 0, ISNUMBER($H17))</formula>
    </cfRule>
  </conditionalFormatting>
  <conditionalFormatting sqref="A17:C36 J17:L36">
    <cfRule type="expression" dxfId="1656" priority="292">
      <formula>AND($K17 &gt; 0, ISNUMBER($K17))</formula>
    </cfRule>
    <cfRule type="expression" dxfId="1655" priority="293">
      <formula>AND($K17 = 0 * ISNUMBER($K17))</formula>
    </cfRule>
    <cfRule type="expression" dxfId="1654" priority="294">
      <formula>AND($K17 &lt; 0, ISNUMBER($K17))</formula>
    </cfRule>
  </conditionalFormatting>
  <conditionalFormatting sqref="D15:F16 E37:F37">
    <cfRule type="expression" dxfId="1653" priority="286">
      <formula>$E$37 &gt; 0</formula>
    </cfRule>
    <cfRule type="expression" dxfId="1652" priority="287">
      <formula>$E$37 = 0</formula>
    </cfRule>
    <cfRule type="expression" dxfId="1651" priority="288">
      <formula>$E$37 &lt; 0</formula>
    </cfRule>
  </conditionalFormatting>
  <conditionalFormatting sqref="G15:I16 H37:I37">
    <cfRule type="expression" dxfId="1650" priority="283">
      <formula>$H$37 &gt; 0</formula>
    </cfRule>
    <cfRule type="expression" dxfId="1649" priority="284">
      <formula>$H$37 = 0</formula>
    </cfRule>
    <cfRule type="expression" dxfId="1648" priority="285">
      <formula>$H$37 &lt; 0</formula>
    </cfRule>
  </conditionalFormatting>
  <conditionalFormatting sqref="J15:L16 K37:L37">
    <cfRule type="expression" dxfId="1647" priority="280">
      <formula>$K$37 &gt; 0</formula>
    </cfRule>
    <cfRule type="expression" dxfId="1646" priority="281">
      <formula>$K$37 = 0</formula>
    </cfRule>
    <cfRule type="expression" dxfId="1645" priority="282">
      <formula>$K$37 &lt; 0</formula>
    </cfRule>
  </conditionalFormatting>
  <conditionalFormatting sqref="M15:O16 N37:O37">
    <cfRule type="expression" dxfId="1644" priority="277">
      <formula>$N$37 &gt; 0</formula>
    </cfRule>
    <cfRule type="expression" dxfId="1643" priority="278">
      <formula>$N$37 = 0</formula>
    </cfRule>
    <cfRule type="expression" dxfId="1642" priority="279">
      <formula>$N$37 &lt; 0</formula>
    </cfRule>
  </conditionalFormatting>
  <conditionalFormatting sqref="A44:C63 M44:O63">
    <cfRule type="expression" dxfId="1641" priority="265">
      <formula>AND($N44 &gt; 0, ISNUMBER($N44))</formula>
    </cfRule>
    <cfRule type="expression" dxfId="1640" priority="266">
      <formula>AND($N44 = 0 * ISNUMBER($N44))</formula>
    </cfRule>
    <cfRule type="expression" dxfId="1639" priority="267">
      <formula>AND($N44 &lt; 0, ISNUMBER($N44))</formula>
    </cfRule>
  </conditionalFormatting>
  <conditionalFormatting sqref="A44:F63">
    <cfRule type="expression" dxfId="1638" priority="274">
      <formula>AND($E44 &gt; 0, ISNUMBER($E44))</formula>
    </cfRule>
    <cfRule type="expression" dxfId="1637" priority="275">
      <formula>AND($E44 = 0 * ISNUMBER($E44))</formula>
    </cfRule>
    <cfRule type="expression" dxfId="1636" priority="276">
      <formula>AND($E44 &lt; 0, ISNUMBER($E44))</formula>
    </cfRule>
  </conditionalFormatting>
  <conditionalFormatting sqref="A44:C63 G44:I63">
    <cfRule type="expression" dxfId="1635" priority="271">
      <formula>AND($H44 &gt; 0, ISNUMBER($H44))</formula>
    </cfRule>
    <cfRule type="expression" dxfId="1634" priority="272">
      <formula>AND($H44 = 0 * ISNUMBER($H44))</formula>
    </cfRule>
    <cfRule type="expression" dxfId="1633" priority="273">
      <formula>AND($H44 &lt; 0, ISNUMBER($H44))</formula>
    </cfRule>
  </conditionalFormatting>
  <conditionalFormatting sqref="A44:C63 J44:L63">
    <cfRule type="expression" dxfId="1632" priority="268">
      <formula>AND($K44 &gt; 0, ISNUMBER($K44))</formula>
    </cfRule>
    <cfRule type="expression" dxfId="1631" priority="269">
      <formula>AND($K44 = 0 * ISNUMBER($K44))</formula>
    </cfRule>
    <cfRule type="expression" dxfId="1630" priority="270">
      <formula>AND($K44 &lt; 0, ISNUMBER($K44))</formula>
    </cfRule>
  </conditionalFormatting>
  <conditionalFormatting sqref="D42:F43 E64:F64">
    <cfRule type="expression" dxfId="1629" priority="262">
      <formula>$E$64 &gt; 0</formula>
    </cfRule>
    <cfRule type="expression" dxfId="1628" priority="263">
      <formula>$E$64 = 0</formula>
    </cfRule>
    <cfRule type="expression" dxfId="1627" priority="264">
      <formula>$E$64 &lt; 0</formula>
    </cfRule>
  </conditionalFormatting>
  <conditionalFormatting sqref="G42:I43 H64:I64">
    <cfRule type="expression" dxfId="1626" priority="259">
      <formula>$H$64 &gt; 0</formula>
    </cfRule>
    <cfRule type="expression" dxfId="1625" priority="260">
      <formula>$H$64 = 0</formula>
    </cfRule>
    <cfRule type="expression" dxfId="1624" priority="261">
      <formula>$H$64 &lt; 0</formula>
    </cfRule>
  </conditionalFormatting>
  <conditionalFormatting sqref="J42:L43 K64:L64">
    <cfRule type="expression" dxfId="1623" priority="256">
      <formula>$K$64 &gt; 0</formula>
    </cfRule>
    <cfRule type="expression" dxfId="1622" priority="257">
      <formula>$K$64 = 0</formula>
    </cfRule>
    <cfRule type="expression" dxfId="1621" priority="258">
      <formula>$K$64 &lt; 0</formula>
    </cfRule>
  </conditionalFormatting>
  <conditionalFormatting sqref="M42:O43 N64:O64">
    <cfRule type="expression" dxfId="1620" priority="253">
      <formula>$N$64 &gt; 0</formula>
    </cfRule>
    <cfRule type="expression" dxfId="1619" priority="254">
      <formula>$N$64 = 0</formula>
    </cfRule>
    <cfRule type="expression" dxfId="1618" priority="255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241</v>
      </c>
      <c r="B2" s="11" t="s">
        <v>242</v>
      </c>
      <c r="C2" s="95">
        <v>11800</v>
      </c>
      <c r="D2" s="92">
        <v>0.39562389120000002</v>
      </c>
      <c r="E2" s="93">
        <v>54266092.858796358</v>
      </c>
      <c r="F2" s="35"/>
      <c r="G2" s="54"/>
      <c r="H2" s="35"/>
      <c r="I2" s="35"/>
    </row>
    <row r="3" spans="1:18" ht="17.25" thickBot="1">
      <c r="A3" s="40" t="s">
        <v>187</v>
      </c>
      <c r="B3" s="11" t="s">
        <v>188</v>
      </c>
      <c r="C3" s="95">
        <v>37610</v>
      </c>
      <c r="D3" s="92">
        <v>0.24371693119999999</v>
      </c>
      <c r="E3" s="93">
        <v>74798230.856582671</v>
      </c>
      <c r="F3" s="35"/>
      <c r="G3" s="237" t="s">
        <v>290</v>
      </c>
      <c r="H3" s="249" t="s">
        <v>355</v>
      </c>
      <c r="I3" s="249"/>
      <c r="K3" s="193" t="s">
        <v>34</v>
      </c>
      <c r="L3" s="194"/>
      <c r="M3" s="194"/>
      <c r="N3" s="195"/>
      <c r="O3" s="193" t="s">
        <v>292</v>
      </c>
      <c r="P3" s="194"/>
      <c r="Q3" s="194"/>
      <c r="R3" s="195"/>
    </row>
    <row r="4" spans="1:18" ht="17.25" thickBot="1">
      <c r="A4" s="40" t="s">
        <v>215</v>
      </c>
      <c r="B4" s="11" t="s">
        <v>216</v>
      </c>
      <c r="C4" s="95">
        <v>544</v>
      </c>
      <c r="D4" s="92">
        <v>0.18777292579999999</v>
      </c>
      <c r="E4" s="93">
        <v>246907425.95225847</v>
      </c>
      <c r="F4" s="35"/>
      <c r="G4" s="238"/>
      <c r="H4" s="250"/>
      <c r="I4" s="250"/>
      <c r="K4" s="230" t="s">
        <v>55</v>
      </c>
      <c r="L4" s="246">
        <f ca="1">NOW()</f>
        <v>44323.913974884257</v>
      </c>
      <c r="M4" s="247"/>
      <c r="N4" s="248"/>
      <c r="O4" s="245" t="s">
        <v>55</v>
      </c>
      <c r="P4" s="246">
        <f ca="1">NOW()</f>
        <v>44323.913974884257</v>
      </c>
      <c r="Q4" s="247"/>
      <c r="R4" s="248"/>
    </row>
    <row r="5" spans="1:18" ht="17.25" thickBot="1">
      <c r="A5" s="40" t="s">
        <v>113</v>
      </c>
      <c r="B5" s="11" t="s">
        <v>114</v>
      </c>
      <c r="C5" s="95">
        <v>14880</v>
      </c>
      <c r="D5" s="92">
        <v>0.12217194570000001</v>
      </c>
      <c r="E5" s="93">
        <v>5235487.1629036302</v>
      </c>
      <c r="F5" s="35"/>
      <c r="K5" s="238"/>
      <c r="L5" s="36" t="s">
        <v>58</v>
      </c>
      <c r="M5" s="73" t="s">
        <v>59</v>
      </c>
      <c r="N5" s="69" t="s">
        <v>294</v>
      </c>
      <c r="O5" s="238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131</v>
      </c>
      <c r="B6" s="11" t="s">
        <v>132</v>
      </c>
      <c r="C6" s="95">
        <v>294</v>
      </c>
      <c r="D6" s="92">
        <v>0.1136363636</v>
      </c>
      <c r="E6" s="93">
        <v>2660052571.566287</v>
      </c>
      <c r="F6" s="35"/>
      <c r="G6" s="193" t="s">
        <v>52</v>
      </c>
      <c r="H6" s="194"/>
      <c r="I6" s="195"/>
      <c r="K6" s="55" t="str">
        <f ca="1">IFERROR(OFFSET(INDIRECT($H$3 &amp; "!A17"), 0, 0), "")</f>
        <v>퀀텀</v>
      </c>
      <c r="L6" s="38">
        <f t="shared" ref="L6:L24" ca="1" si="0">_xlfn.IFNA(VLOOKUP(K6, $B$2:$E$200, 2, FALSE), "")</f>
        <v>37610</v>
      </c>
      <c r="M6" s="76">
        <f t="shared" ref="M6:M25" ca="1" si="1">_xlfn.IFNA(VLOOKUP(K6, $B$2:$E$200, 3, FALSE), "")</f>
        <v>0.24371693119999999</v>
      </c>
      <c r="N6" s="85">
        <f ca="1">_xlfn.IFNA(VLOOKUP(K6, $B$2:$E$200, 4, FALSE), "")</f>
        <v>74798230.856582671</v>
      </c>
      <c r="O6" s="46" t="str">
        <f>INDEX($A$2:$D$200, MATCH(LARGE($D$2:$D$200, 1), $D$2:$D$200, 0), 2)</f>
        <v>리스크</v>
      </c>
      <c r="P6" s="38">
        <f t="shared" ref="P6:P25" si="2">_xlfn.IFNA(VLOOKUP(O6, $B$2:$D$200, 2, FALSE), "")</f>
        <v>11800</v>
      </c>
      <c r="Q6" s="76">
        <f t="shared" ref="Q6:Q25" si="3">_xlfn.IFNA(VLOOKUP(O6, $B$2:$D$200, 3, FALSE), "")</f>
        <v>0.39562389120000002</v>
      </c>
      <c r="R6" s="85">
        <f>_xlfn.IFNA(VLOOKUP(O6, $B$2:$E$200, 4, FALSE), "")</f>
        <v>54266092.858796358</v>
      </c>
    </row>
    <row r="7" spans="1:18">
      <c r="A7" s="40" t="s">
        <v>271</v>
      </c>
      <c r="B7" s="11" t="s">
        <v>272</v>
      </c>
      <c r="C7" s="95">
        <v>2910</v>
      </c>
      <c r="D7" s="92">
        <v>0.1106870229</v>
      </c>
      <c r="E7" s="93">
        <v>21560183.7873221</v>
      </c>
      <c r="F7" s="35"/>
      <c r="G7" s="221" t="s">
        <v>36</v>
      </c>
      <c r="H7" s="222"/>
      <c r="I7" s="223"/>
      <c r="K7" s="56" t="str">
        <f ca="1">IFERROR(OFFSET(INDIRECT($H$3 &amp; "!A17"), 1, 0), "")</f>
        <v>이더리움클래식</v>
      </c>
      <c r="L7" s="39">
        <f t="shared" ca="1" si="0"/>
        <v>164950</v>
      </c>
      <c r="M7" s="77">
        <f t="shared" ca="1" si="1"/>
        <v>3.7421383599999997E-2</v>
      </c>
      <c r="N7" s="86">
        <f t="shared" ref="N7:N25" ca="1" si="4">_xlfn.IFNA(VLOOKUP(K7, $B$2:$E$200, 4, FALSE), "")</f>
        <v>27092191.089047901</v>
      </c>
      <c r="O7" s="47" t="str">
        <f>INDEX($A$2:$D$200, MATCH(LARGE($D$2:$D$200, 2), $D$2:$D$200, 0), 2)</f>
        <v>퀀텀</v>
      </c>
      <c r="P7" s="39">
        <f t="shared" si="2"/>
        <v>37610</v>
      </c>
      <c r="Q7" s="77">
        <f t="shared" si="3"/>
        <v>0.24371693119999999</v>
      </c>
      <c r="R7" s="86">
        <f t="shared" ref="R7:R25" si="5">_xlfn.IFNA(VLOOKUP(O7, $B$2:$E$200, 4, FALSE), "")</f>
        <v>74798230.856582671</v>
      </c>
    </row>
    <row r="8" spans="1:18" ht="17.25" thickBot="1">
      <c r="A8" s="40" t="s">
        <v>109</v>
      </c>
      <c r="B8" s="11" t="s">
        <v>110</v>
      </c>
      <c r="C8" s="95">
        <v>3315</v>
      </c>
      <c r="D8" s="92">
        <v>9.4059405900000004E-2</v>
      </c>
      <c r="E8" s="93">
        <v>9246197.6008660104</v>
      </c>
      <c r="F8" s="35"/>
      <c r="G8" s="214"/>
      <c r="H8" s="215"/>
      <c r="I8" s="216"/>
      <c r="K8" s="56" t="str">
        <f ca="1">IFERROR(OFFSET(INDIRECT($H$3 &amp; "!A17"), 2, 0), "")</f>
        <v>코모도</v>
      </c>
      <c r="L8" s="39">
        <f t="shared" ca="1" si="0"/>
        <v>4180</v>
      </c>
      <c r="M8" s="77">
        <f t="shared" ca="1" si="1"/>
        <v>8.5714285700000004E-2</v>
      </c>
      <c r="N8" s="86">
        <f t="shared" ca="1" si="4"/>
        <v>19954548.981527749</v>
      </c>
      <c r="O8" s="47" t="str">
        <f>INDEX($A$2:$D$200, MATCH(LARGE($D$2:$D$200, 3), $D$2:$D$200, 0), 2)</f>
        <v>폴리매쓰</v>
      </c>
      <c r="P8" s="39">
        <f t="shared" si="2"/>
        <v>544</v>
      </c>
      <c r="Q8" s="77">
        <f t="shared" si="3"/>
        <v>0.18777292579999999</v>
      </c>
      <c r="R8" s="86">
        <f t="shared" si="5"/>
        <v>246907425.95225847</v>
      </c>
    </row>
    <row r="9" spans="1:18" ht="17.25" thickBot="1">
      <c r="A9" s="40" t="s">
        <v>169</v>
      </c>
      <c r="B9" s="11" t="s">
        <v>170</v>
      </c>
      <c r="C9" s="95">
        <v>586</v>
      </c>
      <c r="D9" s="92">
        <v>9.1247672299999999E-2</v>
      </c>
      <c r="E9" s="93">
        <v>85810980.401596844</v>
      </c>
      <c r="F9" s="35"/>
      <c r="G9" s="9" t="s">
        <v>38</v>
      </c>
      <c r="H9" s="194" t="s">
        <v>37</v>
      </c>
      <c r="I9" s="195"/>
      <c r="K9" s="56" t="str">
        <f ca="1">IFERROR(OFFSET(INDIRECT($H$3 &amp; "!A17"), 3, 0), "")</f>
        <v>스팀</v>
      </c>
      <c r="L9" s="39">
        <f t="shared" ca="1" si="0"/>
        <v>1505</v>
      </c>
      <c r="M9" s="77">
        <f t="shared" ca="1" si="1"/>
        <v>1.3468013500000001E-2</v>
      </c>
      <c r="N9" s="86">
        <f t="shared" ca="1" si="4"/>
        <v>58091352.780126572</v>
      </c>
      <c r="O9" s="47" t="str">
        <f>INDEX($A$2:$D$200, MATCH(LARGE($D$2:$D$200, 4), $D$2:$D$200, 0), 2)</f>
        <v>쎄타토큰</v>
      </c>
      <c r="P9" s="39">
        <f t="shared" si="2"/>
        <v>14880</v>
      </c>
      <c r="Q9" s="77">
        <f t="shared" si="3"/>
        <v>0.12217194570000001</v>
      </c>
      <c r="R9" s="86">
        <f t="shared" si="5"/>
        <v>5235487.1629036302</v>
      </c>
    </row>
    <row r="10" spans="1:18">
      <c r="A10" s="40" t="s">
        <v>247</v>
      </c>
      <c r="B10" s="11" t="s">
        <v>248</v>
      </c>
      <c r="C10" s="95">
        <v>4180</v>
      </c>
      <c r="D10" s="92">
        <v>8.5714285700000004E-2</v>
      </c>
      <c r="E10" s="93">
        <v>19954548.981527749</v>
      </c>
      <c r="F10" s="35"/>
      <c r="G10" s="239">
        <f>_xlfn.IFNA(VLOOKUP(G7, $B$2:$D$200, 3, FALSE), "-")</f>
        <v>-2.7047857000000002E-3</v>
      </c>
      <c r="H10" s="241">
        <f>_xlfn.IFNA(VLOOKUP(G7, $B$2:$D$200, 2, FALSE), "-")</f>
        <v>68581000</v>
      </c>
      <c r="I10" s="242"/>
      <c r="K10" s="58" t="str">
        <f ca="1">IFERROR(OFFSET(INDIRECT($H$3 &amp; "!A17"), 4, 0), "")</f>
        <v>질리카</v>
      </c>
      <c r="L10" s="44">
        <f t="shared" ca="1" si="0"/>
        <v>287</v>
      </c>
      <c r="M10" s="78">
        <f t="shared" ca="1" si="1"/>
        <v>7.0175439000000001E-3</v>
      </c>
      <c r="N10" s="90">
        <f t="shared" ca="1" si="4"/>
        <v>69724585.990911216</v>
      </c>
      <c r="O10" s="47" t="str">
        <f>INDEX($A$2:$D$200, MATCH(LARGE($D$2:$D$200, 5), $D$2:$D$200, 0), 2)</f>
        <v>비체인</v>
      </c>
      <c r="P10" s="39">
        <f t="shared" si="2"/>
        <v>294</v>
      </c>
      <c r="Q10" s="77">
        <f t="shared" si="3"/>
        <v>0.1136363636</v>
      </c>
      <c r="R10" s="90">
        <f t="shared" si="5"/>
        <v>2660052571.566287</v>
      </c>
    </row>
    <row r="11" spans="1:18" ht="17.25" thickBot="1">
      <c r="A11" s="40" t="s">
        <v>79</v>
      </c>
      <c r="B11" s="11" t="s">
        <v>80</v>
      </c>
      <c r="C11" s="95">
        <v>1835</v>
      </c>
      <c r="D11" s="92">
        <v>6.9970845500000003E-2</v>
      </c>
      <c r="E11" s="93">
        <v>25461998.67584708</v>
      </c>
      <c r="F11" s="35"/>
      <c r="G11" s="240"/>
      <c r="H11" s="243"/>
      <c r="I11" s="244"/>
      <c r="K11" s="56" t="str">
        <f ca="1">IFERROR(OFFSET(INDIRECT($H$3 &amp; "!A17"), 5, 0), "")</f>
        <v>스테이터스네트워크토큰</v>
      </c>
      <c r="L11" s="39">
        <f t="shared" ca="1" si="0"/>
        <v>270</v>
      </c>
      <c r="M11" s="77">
        <f t="shared" ca="1" si="1"/>
        <v>2.6615969600000001E-2</v>
      </c>
      <c r="N11" s="99">
        <f t="shared" ca="1" si="4"/>
        <v>570542708.44723666</v>
      </c>
      <c r="O11" s="49" t="str">
        <f>INDEX($A$2:$D$200, MATCH(LARGE($D$2:$D$200, 6), $D$2:$D$200, 0), 2)</f>
        <v>아크</v>
      </c>
      <c r="P11" s="45">
        <f t="shared" si="2"/>
        <v>2910</v>
      </c>
      <c r="Q11" s="80">
        <f t="shared" si="3"/>
        <v>0.1106870229</v>
      </c>
      <c r="R11" s="99">
        <f t="shared" si="5"/>
        <v>21560183.7873221</v>
      </c>
    </row>
    <row r="12" spans="1:18" ht="17.25" thickBot="1">
      <c r="A12" s="40" t="s">
        <v>143</v>
      </c>
      <c r="B12" s="11" t="s">
        <v>144</v>
      </c>
      <c r="C12" s="95">
        <v>17180</v>
      </c>
      <c r="D12" s="92">
        <v>6.4436183399999999E-2</v>
      </c>
      <c r="E12" s="93">
        <v>18604714.758380439</v>
      </c>
      <c r="F12" s="35"/>
      <c r="K12" s="56" t="str">
        <f ca="1">IFERROR(OFFSET(INDIRECT($H$3 &amp; "!A17"), 6, 0), "")</f>
        <v>비트코인골드</v>
      </c>
      <c r="L12" s="39">
        <f t="shared" ca="1" si="0"/>
        <v>165450</v>
      </c>
      <c r="M12" s="77">
        <f t="shared" ca="1" si="1"/>
        <v>-4.9684089600000002E-2</v>
      </c>
      <c r="N12" s="86">
        <f t="shared" ca="1" si="4"/>
        <v>2244952.3997135698</v>
      </c>
      <c r="O12" s="47" t="str">
        <f>INDEX($A$2:$D$200, MATCH(LARGE($D$2:$D$200, 7), $D$2:$D$200, 0), 2)</f>
        <v>아이콘</v>
      </c>
      <c r="P12" s="39">
        <f t="shared" si="2"/>
        <v>3315</v>
      </c>
      <c r="Q12" s="77">
        <f t="shared" si="3"/>
        <v>9.4059405900000004E-2</v>
      </c>
      <c r="R12" s="86">
        <f t="shared" si="5"/>
        <v>9246197.6008660104</v>
      </c>
    </row>
    <row r="13" spans="1:18" ht="17.25" thickBot="1">
      <c r="A13" s="40" t="s">
        <v>64</v>
      </c>
      <c r="B13" s="11" t="s">
        <v>65</v>
      </c>
      <c r="C13" s="95">
        <v>83.6</v>
      </c>
      <c r="D13" s="92">
        <v>6.36132316E-2</v>
      </c>
      <c r="E13" s="93">
        <v>767744242.15995705</v>
      </c>
      <c r="F13" s="35"/>
      <c r="G13" s="193" t="s">
        <v>70</v>
      </c>
      <c r="H13" s="194"/>
      <c r="I13" s="195"/>
      <c r="K13" s="56" t="str">
        <f ca="1">IFERROR(OFFSET(INDIRECT($H$3 &amp; "!A17"), 7, 0), "")</f>
        <v>테조스</v>
      </c>
      <c r="L13" s="39">
        <f t="shared" ca="1" si="0"/>
        <v>8970</v>
      </c>
      <c r="M13" s="77">
        <f t="shared" ca="1" si="1"/>
        <v>-2.8695181399999999E-2</v>
      </c>
      <c r="N13" s="86">
        <f t="shared" ca="1" si="4"/>
        <v>13550935.93980059</v>
      </c>
      <c r="O13" s="47" t="str">
        <f>INDEX($A$2:$D$200, MATCH(LARGE($D$2:$D$200, 8), $D$2:$D$200, 0), 2)</f>
        <v>엘프</v>
      </c>
      <c r="P13" s="39">
        <f t="shared" si="2"/>
        <v>586</v>
      </c>
      <c r="Q13" s="77">
        <f t="shared" si="3"/>
        <v>9.1247672299999999E-2</v>
      </c>
      <c r="R13" s="86">
        <f t="shared" si="5"/>
        <v>85810980.401596844</v>
      </c>
    </row>
    <row r="14" spans="1:18">
      <c r="A14" s="40" t="s">
        <v>117</v>
      </c>
      <c r="B14" s="11" t="s">
        <v>118</v>
      </c>
      <c r="C14" s="95">
        <v>8105</v>
      </c>
      <c r="D14" s="92">
        <v>6.2254259499999999E-2</v>
      </c>
      <c r="E14" s="93">
        <v>2905158.8994291099</v>
      </c>
      <c r="F14" s="35"/>
      <c r="G14" s="221" t="s">
        <v>36</v>
      </c>
      <c r="H14" s="222"/>
      <c r="I14" s="223"/>
      <c r="K14" s="56" t="str">
        <f ca="1">IFERROR(OFFSET(INDIRECT($H$3 &amp; "!A17"), 8, 0), "")</f>
        <v>에이다</v>
      </c>
      <c r="L14" s="39">
        <f t="shared" ca="1" si="0"/>
        <v>2055</v>
      </c>
      <c r="M14" s="77">
        <f t="shared" ca="1" si="1"/>
        <v>1.23152709E-2</v>
      </c>
      <c r="N14" s="86">
        <f t="shared" ca="1" si="4"/>
        <v>156134565.54649723</v>
      </c>
      <c r="O14" s="47" t="str">
        <f>INDEX($A$2:$D$200, MATCH(LARGE($D$2:$D$200, 9), $D$2:$D$200, 0), 2)</f>
        <v>코모도</v>
      </c>
      <c r="P14" s="39">
        <f t="shared" si="2"/>
        <v>4180</v>
      </c>
      <c r="Q14" s="77">
        <f t="shared" si="3"/>
        <v>8.5714285700000004E-2</v>
      </c>
      <c r="R14" s="86">
        <f t="shared" si="5"/>
        <v>19954548.981527749</v>
      </c>
    </row>
    <row r="15" spans="1:18" ht="17.25" thickBot="1">
      <c r="A15" s="40" t="s">
        <v>133</v>
      </c>
      <c r="B15" s="11" t="s">
        <v>134</v>
      </c>
      <c r="C15" s="95">
        <v>161</v>
      </c>
      <c r="D15" s="92">
        <v>5.9210526300000003E-2</v>
      </c>
      <c r="E15" s="93">
        <v>130249978.7222244</v>
      </c>
      <c r="F15" s="35"/>
      <c r="G15" s="214"/>
      <c r="H15" s="215"/>
      <c r="I15" s="216"/>
      <c r="K15" s="57" t="str">
        <f ca="1">IFERROR(OFFSET(INDIRECT($H$3 &amp; "!A17"), 9, 0), "")</f>
        <v>아이오타</v>
      </c>
      <c r="L15" s="37">
        <f t="shared" ca="1" si="0"/>
        <v>2955</v>
      </c>
      <c r="M15" s="79">
        <f t="shared" ca="1" si="1"/>
        <v>2.7826086999999999E-2</v>
      </c>
      <c r="N15" s="87">
        <f t="shared" ca="1" si="4"/>
        <v>6960384.7160304496</v>
      </c>
      <c r="O15" s="48" t="str">
        <f>INDEX($A$2:$D$200, MATCH(LARGE($D$2:$D$200, 10), $D$2:$D$200, 0), 2)</f>
        <v>베이직어텐션토큰</v>
      </c>
      <c r="P15" s="37">
        <f t="shared" si="2"/>
        <v>1835</v>
      </c>
      <c r="Q15" s="79">
        <f t="shared" si="3"/>
        <v>6.9970845500000003E-2</v>
      </c>
      <c r="R15" s="87">
        <f t="shared" si="5"/>
        <v>25461998.67584708</v>
      </c>
    </row>
    <row r="16" spans="1:18" ht="17.25" thickBot="1">
      <c r="A16" s="40" t="s">
        <v>139</v>
      </c>
      <c r="B16" s="11" t="s">
        <v>140</v>
      </c>
      <c r="C16" s="95">
        <v>4580</v>
      </c>
      <c r="D16" s="92">
        <v>5.7736720599999999E-2</v>
      </c>
      <c r="E16" s="93">
        <v>4689120.6962882997</v>
      </c>
      <c r="F16" s="35"/>
      <c r="G16" s="9" t="s">
        <v>38</v>
      </c>
      <c r="H16" s="194" t="s">
        <v>37</v>
      </c>
      <c r="I16" s="195"/>
      <c r="K16" s="55" t="str">
        <f ca="1">IFERROR(OFFSET(INDIRECT($H$3 &amp; "!A17"), 10, 0), "")</f>
        <v>비트토렌트</v>
      </c>
      <c r="L16" s="38">
        <f t="shared" ca="1" si="0"/>
        <v>10.1</v>
      </c>
      <c r="M16" s="76">
        <f t="shared" ca="1" si="1"/>
        <v>4.3388429800000003E-2</v>
      </c>
      <c r="N16" s="85">
        <f t="shared" ca="1" si="4"/>
        <v>121498093002.5717</v>
      </c>
      <c r="O16" s="46" t="str">
        <f>INDEX($A$2:$D$200, MATCH(LARGE($D$2:$D$200, 11), $D$2:$D$200, 0), 2)</f>
        <v>오미세고</v>
      </c>
      <c r="P16" s="38">
        <f t="shared" si="2"/>
        <v>17180</v>
      </c>
      <c r="Q16" s="76">
        <f t="shared" si="3"/>
        <v>6.4436183399999999E-2</v>
      </c>
      <c r="R16" s="85">
        <f t="shared" si="5"/>
        <v>18604714.758380439</v>
      </c>
    </row>
    <row r="17" spans="1:18">
      <c r="A17" s="40" t="s">
        <v>181</v>
      </c>
      <c r="B17" s="11" t="s">
        <v>182</v>
      </c>
      <c r="C17" s="95">
        <v>559</v>
      </c>
      <c r="D17" s="92">
        <v>5.6710774999999998E-2</v>
      </c>
      <c r="E17" s="93">
        <v>38172595.416037083</v>
      </c>
      <c r="F17" s="35"/>
      <c r="G17" s="239">
        <f>_xlfn.IFNA(VLOOKUP(G14, $B$2:$D$200, 3, FALSE), "-")</f>
        <v>-2.7047857000000002E-3</v>
      </c>
      <c r="H17" s="241">
        <f>_xlfn.IFNA(VLOOKUP(G14, $B$2:$D$200, 2, FALSE), "-")</f>
        <v>68581000</v>
      </c>
      <c r="I17" s="242"/>
      <c r="K17" s="56" t="str">
        <f ca="1">IFERROR(OFFSET(INDIRECT($H$3 &amp; "!A17"), 11, 0), "")</f>
        <v>이오스</v>
      </c>
      <c r="L17" s="39">
        <f t="shared" ca="1" si="0"/>
        <v>13830</v>
      </c>
      <c r="M17" s="77">
        <f t="shared" ca="1" si="1"/>
        <v>-1.5658363000000002E-2</v>
      </c>
      <c r="N17" s="86">
        <f t="shared" ca="1" si="4"/>
        <v>98196491.532424316</v>
      </c>
      <c r="O17" s="47" t="str">
        <f>INDEX($A$2:$D$200, MATCH(LARGE($D$2:$D$200, 12), $D$2:$D$200, 0), 2)</f>
        <v>아이오에스티</v>
      </c>
      <c r="P17" s="39">
        <f t="shared" si="2"/>
        <v>83.6</v>
      </c>
      <c r="Q17" s="77">
        <f t="shared" si="3"/>
        <v>6.36132316E-2</v>
      </c>
      <c r="R17" s="86">
        <f t="shared" si="5"/>
        <v>767744242.15995705</v>
      </c>
    </row>
    <row r="18" spans="1:18" ht="17.25" thickBot="1">
      <c r="A18" s="40" t="s">
        <v>56</v>
      </c>
      <c r="B18" s="11" t="s">
        <v>57</v>
      </c>
      <c r="C18" s="95">
        <v>498</v>
      </c>
      <c r="D18" s="92">
        <v>5.0632911400000001E-2</v>
      </c>
      <c r="E18" s="93">
        <v>271824327.2634753</v>
      </c>
      <c r="F18" s="35"/>
      <c r="G18" s="240"/>
      <c r="H18" s="243"/>
      <c r="I18" s="244"/>
      <c r="K18" s="56" t="str">
        <f ca="1">IFERROR(OFFSET(INDIRECT($H$3 &amp; "!A17"), 12, 0), "")</f>
        <v>리스크</v>
      </c>
      <c r="L18" s="39">
        <f t="shared" ca="1" si="0"/>
        <v>11800</v>
      </c>
      <c r="M18" s="77">
        <f t="shared" ca="1" si="1"/>
        <v>0.39562389120000002</v>
      </c>
      <c r="N18" s="86">
        <f t="shared" ca="1" si="4"/>
        <v>54266092.858796358</v>
      </c>
      <c r="O18" s="47" t="str">
        <f>INDEX($A$2:$D$200, MATCH(LARGE($D$2:$D$200, 13), $D$2:$D$200, 0), 2)</f>
        <v>카바</v>
      </c>
      <c r="P18" s="39">
        <f t="shared" si="2"/>
        <v>8105</v>
      </c>
      <c r="Q18" s="77">
        <f t="shared" si="3"/>
        <v>6.2254259499999999E-2</v>
      </c>
      <c r="R18" s="86">
        <f t="shared" si="5"/>
        <v>2905158.8994291099</v>
      </c>
    </row>
    <row r="19" spans="1:18" ht="17.25" thickBot="1">
      <c r="A19" s="40" t="s">
        <v>283</v>
      </c>
      <c r="B19" s="11" t="s">
        <v>284</v>
      </c>
      <c r="C19" s="95">
        <v>522</v>
      </c>
      <c r="D19" s="92">
        <v>5.03018109E-2</v>
      </c>
      <c r="E19" s="93">
        <v>45110251.533986762</v>
      </c>
      <c r="F19" s="35"/>
      <c r="K19" s="56" t="str">
        <f ca="1">IFERROR(OFFSET(INDIRECT($H$3 &amp; "!A17"), 13, 0), "")</f>
        <v>쿼크체인</v>
      </c>
      <c r="L19" s="39">
        <f t="shared" ca="1" si="0"/>
        <v>38.1</v>
      </c>
      <c r="M19" s="77">
        <f t="shared" ca="1" si="1"/>
        <v>-3.2994923900000001E-2</v>
      </c>
      <c r="N19" s="86">
        <f t="shared" ca="1" si="4"/>
        <v>271986966.22693163</v>
      </c>
      <c r="O19" s="47" t="str">
        <f>INDEX($A$2:$D$200, MATCH(LARGE($D$2:$D$200, 14), $D$2:$D$200, 0), 2)</f>
        <v>오브스</v>
      </c>
      <c r="P19" s="39">
        <f t="shared" si="2"/>
        <v>161</v>
      </c>
      <c r="Q19" s="77">
        <f t="shared" si="3"/>
        <v>5.9210526300000003E-2</v>
      </c>
      <c r="R19" s="86">
        <f t="shared" si="5"/>
        <v>130249978.7222244</v>
      </c>
    </row>
    <row r="20" spans="1:18" ht="17.25" thickBot="1">
      <c r="A20" s="40" t="s">
        <v>105</v>
      </c>
      <c r="B20" s="11" t="s">
        <v>106</v>
      </c>
      <c r="C20" s="95">
        <v>2625</v>
      </c>
      <c r="D20" s="92">
        <v>0.05</v>
      </c>
      <c r="E20" s="93">
        <v>13988435.8052305</v>
      </c>
      <c r="F20" s="35"/>
      <c r="G20" s="193" t="s">
        <v>286</v>
      </c>
      <c r="H20" s="194"/>
      <c r="I20" s="195"/>
      <c r="K20" s="58" t="str">
        <f ca="1">IFERROR(OFFSET(INDIRECT($H$3 &amp; "!A17"), 14, 0), "")</f>
        <v>온톨로지</v>
      </c>
      <c r="L20" s="44">
        <f t="shared" ca="1" si="0"/>
        <v>3200</v>
      </c>
      <c r="M20" s="78">
        <f t="shared" ca="1" si="1"/>
        <v>-2.2900763399999999E-2</v>
      </c>
      <c r="N20" s="90">
        <f t="shared" ca="1" si="4"/>
        <v>50148257.096650928</v>
      </c>
      <c r="O20" s="47" t="str">
        <f>INDEX($A$2:$D$200, MATCH(LARGE($D$2:$D$200, 15), $D$2:$D$200, 0), 2)</f>
        <v>카이버네트워크</v>
      </c>
      <c r="P20" s="39">
        <f t="shared" si="2"/>
        <v>4580</v>
      </c>
      <c r="Q20" s="77">
        <f t="shared" si="3"/>
        <v>5.7736720599999999E-2</v>
      </c>
      <c r="R20" s="90">
        <f t="shared" si="5"/>
        <v>4689120.6962882997</v>
      </c>
    </row>
    <row r="21" spans="1:18">
      <c r="A21" s="40" t="s">
        <v>269</v>
      </c>
      <c r="B21" s="11" t="s">
        <v>270</v>
      </c>
      <c r="C21" s="95">
        <v>633</v>
      </c>
      <c r="D21" s="92">
        <v>4.4554455399999998E-2</v>
      </c>
      <c r="E21" s="93">
        <v>33001322.05483361</v>
      </c>
      <c r="F21" s="35"/>
      <c r="G21" s="221" t="s">
        <v>36</v>
      </c>
      <c r="H21" s="222"/>
      <c r="I21" s="223"/>
      <c r="K21" s="56" t="str">
        <f ca="1">IFERROR(OFFSET(INDIRECT($H$3 &amp; "!A17"), 15, 0), "")</f>
        <v>파워렛저</v>
      </c>
      <c r="L21" s="39">
        <f t="shared" ca="1" si="0"/>
        <v>559</v>
      </c>
      <c r="M21" s="77">
        <f t="shared" ca="1" si="1"/>
        <v>5.6710774999999998E-2</v>
      </c>
      <c r="N21" s="99">
        <f t="shared" ca="1" si="4"/>
        <v>38172595.416037083</v>
      </c>
      <c r="O21" s="49" t="str">
        <f>INDEX($A$2:$D$200, MATCH(LARGE($D$2:$D$200, 16), $D$2:$D$200, 0), 2)</f>
        <v>파워렛저</v>
      </c>
      <c r="P21" s="45">
        <f t="shared" si="2"/>
        <v>559</v>
      </c>
      <c r="Q21" s="80">
        <f t="shared" si="3"/>
        <v>5.6710774999999998E-2</v>
      </c>
      <c r="R21" s="99">
        <f t="shared" si="5"/>
        <v>38172595.416037083</v>
      </c>
    </row>
    <row r="22" spans="1:18" ht="17.25" thickBot="1">
      <c r="A22" s="40" t="s">
        <v>157</v>
      </c>
      <c r="B22" s="11" t="s">
        <v>158</v>
      </c>
      <c r="C22" s="95">
        <v>10060</v>
      </c>
      <c r="D22" s="92">
        <v>4.3568464699999997E-2</v>
      </c>
      <c r="E22" s="93">
        <v>2305663.8422136498</v>
      </c>
      <c r="F22" s="35"/>
      <c r="G22" s="214"/>
      <c r="H22" s="215"/>
      <c r="I22" s="216"/>
      <c r="K22" s="56" t="str">
        <f ca="1">IFERROR(OFFSET(INDIRECT($H$3 &amp; "!A17"), 16, 0), "")</f>
        <v>비체인</v>
      </c>
      <c r="L22" s="39">
        <f t="shared" ca="1" si="0"/>
        <v>294</v>
      </c>
      <c r="M22" s="77">
        <f t="shared" ca="1" si="1"/>
        <v>0.1136363636</v>
      </c>
      <c r="N22" s="86">
        <f t="shared" ca="1" si="4"/>
        <v>2660052571.566287</v>
      </c>
      <c r="O22" s="47" t="str">
        <f>INDEX($A$2:$D$200, MATCH(LARGE($D$2:$D$200, 17), $D$2:$D$200, 0), 2)</f>
        <v>넴</v>
      </c>
      <c r="P22" s="39">
        <f t="shared" si="2"/>
        <v>498</v>
      </c>
      <c r="Q22" s="77">
        <f t="shared" si="3"/>
        <v>5.0632911400000001E-2</v>
      </c>
      <c r="R22" s="86">
        <f t="shared" si="5"/>
        <v>271824327.2634753</v>
      </c>
    </row>
    <row r="23" spans="1:18" ht="17.25" thickBot="1">
      <c r="A23" s="40" t="s">
        <v>99</v>
      </c>
      <c r="B23" s="11" t="s">
        <v>100</v>
      </c>
      <c r="C23" s="95">
        <v>10.1</v>
      </c>
      <c r="D23" s="92">
        <v>4.3388429800000003E-2</v>
      </c>
      <c r="E23" s="93">
        <v>121498093002.5717</v>
      </c>
      <c r="F23" s="35"/>
      <c r="G23" s="9" t="s">
        <v>38</v>
      </c>
      <c r="H23" s="194" t="s">
        <v>37</v>
      </c>
      <c r="I23" s="195"/>
      <c r="K23" s="56" t="str">
        <f ca="1">IFERROR(OFFSET(INDIRECT($H$3 &amp; "!A17"), 17, 0), "")</f>
        <v>제로엑스</v>
      </c>
      <c r="L23" s="39">
        <f t="shared" ca="1" si="0"/>
        <v>2625</v>
      </c>
      <c r="M23" s="77">
        <f t="shared" ca="1" si="1"/>
        <v>0.05</v>
      </c>
      <c r="N23" s="86">
        <f t="shared" ca="1" si="4"/>
        <v>13988435.8052305</v>
      </c>
      <c r="O23" s="47" t="str">
        <f>INDEX($A$2:$D$200, MATCH(LARGE($D$2:$D$200, 18), $D$2:$D$200, 0), 2)</f>
        <v>아더</v>
      </c>
      <c r="P23" s="39">
        <f t="shared" si="2"/>
        <v>522</v>
      </c>
      <c r="Q23" s="77">
        <f t="shared" si="3"/>
        <v>5.03018109E-2</v>
      </c>
      <c r="R23" s="86">
        <f t="shared" si="5"/>
        <v>45110251.533986762</v>
      </c>
    </row>
    <row r="24" spans="1:18">
      <c r="A24" s="40" t="s">
        <v>165</v>
      </c>
      <c r="B24" s="11" t="s">
        <v>166</v>
      </c>
      <c r="C24" s="95">
        <v>2425</v>
      </c>
      <c r="D24" s="92">
        <v>4.0772532200000003E-2</v>
      </c>
      <c r="E24" s="93">
        <v>5706882.1296965098</v>
      </c>
      <c r="F24" s="35"/>
      <c r="G24" s="239">
        <f>_xlfn.IFNA(VLOOKUP(G21, $B$2:$D$200, 3, FALSE), "-")</f>
        <v>-2.7047857000000002E-3</v>
      </c>
      <c r="H24" s="241">
        <f>_xlfn.IFNA(VLOOKUP(G21, $B$2:$D$200, 2, FALSE), "-")</f>
        <v>68581000</v>
      </c>
      <c r="I24" s="242"/>
      <c r="K24" s="56" t="str">
        <f ca="1">IFERROR(OFFSET(INDIRECT($H$3 &amp; "!A17"), 18, 0), "")</f>
        <v>카바</v>
      </c>
      <c r="L24" s="39">
        <f t="shared" ca="1" si="0"/>
        <v>8105</v>
      </c>
      <c r="M24" s="77">
        <f t="shared" ca="1" si="1"/>
        <v>6.2254259499999999E-2</v>
      </c>
      <c r="N24" s="86">
        <f t="shared" ca="1" si="4"/>
        <v>2905158.8994291099</v>
      </c>
      <c r="O24" s="47" t="str">
        <f>INDEX($A$2:$D$200, MATCH(LARGE($D$2:$D$200, 19), $D$2:$D$200, 0), 2)</f>
        <v>제로엑스</v>
      </c>
      <c r="P24" s="39">
        <f t="shared" si="2"/>
        <v>2625</v>
      </c>
      <c r="Q24" s="77">
        <f t="shared" si="3"/>
        <v>0.05</v>
      </c>
      <c r="R24" s="86">
        <f t="shared" si="5"/>
        <v>13988435.8052305</v>
      </c>
    </row>
    <row r="25" spans="1:18" ht="17.25" thickBot="1">
      <c r="A25" s="40" t="s">
        <v>277</v>
      </c>
      <c r="B25" s="11" t="s">
        <v>278</v>
      </c>
      <c r="C25" s="95">
        <v>183</v>
      </c>
      <c r="D25" s="92">
        <v>3.9772727299999998E-2</v>
      </c>
      <c r="E25" s="93">
        <v>244329921.48523042</v>
      </c>
      <c r="F25" s="35"/>
      <c r="G25" s="240"/>
      <c r="H25" s="243"/>
      <c r="I25" s="244"/>
      <c r="K25" s="57" t="str">
        <f ca="1">IFERROR(OFFSET(INDIRECT($H$3 &amp; "!A17"), 19, 0), "")</f>
        <v>시아코인</v>
      </c>
      <c r="L25" s="37">
        <f t="shared" ref="L25" ca="1" si="6">_xlfn.IFNA(VLOOKUP(K25, $B$2:$D$200, 2, FALSE), "")</f>
        <v>51.8</v>
      </c>
      <c r="M25" s="79">
        <f t="shared" ca="1" si="1"/>
        <v>2.5742574300000001E-2</v>
      </c>
      <c r="N25" s="87">
        <f t="shared" ca="1" si="4"/>
        <v>1457309245.1440432</v>
      </c>
      <c r="O25" s="48" t="str">
        <f>INDEX($A$2:$D$200, MATCH(LARGE($D$2:$D$200, 20), $D$2:$D$200, 0), 2)</f>
        <v>골렘</v>
      </c>
      <c r="P25" s="37">
        <f t="shared" si="2"/>
        <v>633</v>
      </c>
      <c r="Q25" s="79">
        <f t="shared" si="3"/>
        <v>4.4554455399999998E-2</v>
      </c>
      <c r="R25" s="87">
        <f t="shared" si="5"/>
        <v>33001322.05483361</v>
      </c>
    </row>
    <row r="26" spans="1:18">
      <c r="A26" s="40" t="s">
        <v>141</v>
      </c>
      <c r="B26" s="11" t="s">
        <v>142</v>
      </c>
      <c r="C26" s="95">
        <v>487</v>
      </c>
      <c r="D26" s="92">
        <v>3.83795309E-2</v>
      </c>
      <c r="E26" s="93">
        <v>77886696.125810415</v>
      </c>
      <c r="F26" s="35"/>
    </row>
    <row r="27" spans="1:18" ht="17.25" thickBot="1">
      <c r="A27" s="40" t="s">
        <v>101</v>
      </c>
      <c r="B27" s="11" t="s">
        <v>102</v>
      </c>
      <c r="C27" s="95">
        <v>164950</v>
      </c>
      <c r="D27" s="92">
        <v>3.7421383599999997E-2</v>
      </c>
      <c r="E27" s="93">
        <v>27092191.089047901</v>
      </c>
      <c r="F27" s="35"/>
    </row>
    <row r="28" spans="1:18" ht="17.25" thickBot="1">
      <c r="A28" s="40" t="s">
        <v>231</v>
      </c>
      <c r="B28" s="11" t="s">
        <v>232</v>
      </c>
      <c r="C28" s="95">
        <v>175</v>
      </c>
      <c r="D28" s="92">
        <v>3.5502958600000002E-2</v>
      </c>
      <c r="E28" s="93">
        <v>45915677.791405492</v>
      </c>
      <c r="F28" s="35"/>
      <c r="G28" s="193" t="s">
        <v>46</v>
      </c>
      <c r="H28" s="194"/>
      <c r="I28" s="194"/>
      <c r="J28" s="195"/>
      <c r="K28" s="193" t="s">
        <v>44</v>
      </c>
      <c r="L28" s="194"/>
      <c r="M28" s="194"/>
      <c r="N28" s="195"/>
      <c r="O28" s="193" t="s">
        <v>45</v>
      </c>
      <c r="P28" s="194"/>
      <c r="Q28" s="194"/>
      <c r="R28" s="195"/>
    </row>
    <row r="29" spans="1:18" ht="17.25" thickBot="1">
      <c r="A29" s="40" t="s">
        <v>275</v>
      </c>
      <c r="B29" s="11" t="s">
        <v>276</v>
      </c>
      <c r="C29" s="95">
        <v>4800</v>
      </c>
      <c r="D29" s="92">
        <v>3.4482758600000003E-2</v>
      </c>
      <c r="E29" s="93">
        <v>4978367.8819809398</v>
      </c>
      <c r="F29" s="35"/>
      <c r="G29" s="230" t="s">
        <v>55</v>
      </c>
      <c r="H29" s="246">
        <f ca="1">NOW()</f>
        <v>44323.913974884257</v>
      </c>
      <c r="I29" s="247"/>
      <c r="J29" s="248"/>
      <c r="K29" s="245" t="s">
        <v>55</v>
      </c>
      <c r="L29" s="246">
        <f ca="1">NOW()</f>
        <v>44323.913974884257</v>
      </c>
      <c r="M29" s="247"/>
      <c r="N29" s="248"/>
      <c r="O29" s="245" t="s">
        <v>55</v>
      </c>
      <c r="P29" s="246">
        <f ca="1">NOW()</f>
        <v>44323.913974884257</v>
      </c>
      <c r="Q29" s="247"/>
      <c r="R29" s="248"/>
    </row>
    <row r="30" spans="1:18" ht="17.25" thickBot="1">
      <c r="A30" s="40" t="s">
        <v>127</v>
      </c>
      <c r="B30" s="11" t="s">
        <v>128</v>
      </c>
      <c r="C30" s="95">
        <v>734</v>
      </c>
      <c r="D30" s="92">
        <v>3.3802816899999998E-2</v>
      </c>
      <c r="E30" s="93">
        <v>31305144.201130949</v>
      </c>
      <c r="F30" s="35"/>
      <c r="G30" s="238"/>
      <c r="H30" s="36" t="s">
        <v>58</v>
      </c>
      <c r="I30" s="73" t="s">
        <v>59</v>
      </c>
      <c r="J30" s="69" t="s">
        <v>294</v>
      </c>
      <c r="K30" s="238"/>
      <c r="L30" s="36" t="s">
        <v>58</v>
      </c>
      <c r="M30" s="73" t="s">
        <v>59</v>
      </c>
      <c r="N30" s="69" t="s">
        <v>294</v>
      </c>
      <c r="O30" s="238"/>
      <c r="P30" s="36" t="s">
        <v>58</v>
      </c>
      <c r="Q30" s="73" t="s">
        <v>59</v>
      </c>
      <c r="R30" s="69" t="s">
        <v>294</v>
      </c>
    </row>
    <row r="31" spans="1:18">
      <c r="A31" s="40" t="s">
        <v>155</v>
      </c>
      <c r="B31" s="11" t="s">
        <v>156</v>
      </c>
      <c r="C31" s="95">
        <v>192</v>
      </c>
      <c r="D31" s="92">
        <v>3.2258064500000003E-2</v>
      </c>
      <c r="E31" s="93">
        <v>1829342227.6283355</v>
      </c>
      <c r="F31" s="35"/>
      <c r="G31" s="55" t="str">
        <f ca="1">IFERROR(OFFSET(INDIRECT($H$3 &amp; "!A98"), 0, 0), "")</f>
        <v>퀀텀</v>
      </c>
      <c r="H31" s="38">
        <f t="shared" ref="H31:H50" ca="1" si="7">_xlfn.IFNA(VLOOKUP(G31, $B$2:$D$200, 2, FALSE), "")</f>
        <v>37610</v>
      </c>
      <c r="I31" s="76">
        <f t="shared" ref="I31:I50" ca="1" si="8">_xlfn.IFNA(VLOOKUP(G31, $B$2:$D$200, 3, FALSE), "")</f>
        <v>0.24371693119999999</v>
      </c>
      <c r="J31" s="85">
        <f ca="1">_xlfn.IFNA(VLOOKUP(G31, $B$2:$E$200, 4, FALSE), "")</f>
        <v>74798230.856582671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10.1</v>
      </c>
      <c r="M31" s="76">
        <f t="shared" ref="M31:M50" ca="1" si="10">_xlfn.IFNA(VLOOKUP(K31, $B$2:$D$200, 3, FALSE), "")</f>
        <v>4.3388429800000003E-2</v>
      </c>
      <c r="N31" s="85">
        <f ca="1">_xlfn.IFNA(VLOOKUP(K31, $B$2:$E$200, 4, FALSE), "")</f>
        <v>121498093002.5717</v>
      </c>
      <c r="O31" s="55" t="str">
        <f ca="1">IFERROR(OFFSET(INDIRECT($H$3 &amp; "!A71"), 0, 0), "")</f>
        <v>질리카</v>
      </c>
      <c r="P31" s="38">
        <f t="shared" ref="P31:P50" ca="1" si="11">_xlfn.IFNA(VLOOKUP(O31, $B$2:$D$200, 2, FALSE), "")</f>
        <v>287</v>
      </c>
      <c r="Q31" s="76">
        <f t="shared" ref="Q31:Q50" ca="1" si="12">_xlfn.IFNA(VLOOKUP(O31, $B$2:$D$200, 3, FALSE), "")</f>
        <v>7.0175439000000001E-3</v>
      </c>
      <c r="R31" s="85">
        <f ca="1">_xlfn.IFNA(VLOOKUP(O31, $B$2:$E$200, 4, FALSE), "")</f>
        <v>69724585.990911216</v>
      </c>
    </row>
    <row r="32" spans="1:18">
      <c r="A32" s="40" t="s">
        <v>159</v>
      </c>
      <c r="B32" s="11" t="s">
        <v>160</v>
      </c>
      <c r="C32" s="95">
        <v>3115</v>
      </c>
      <c r="D32" s="92">
        <v>2.9752066099999998E-2</v>
      </c>
      <c r="E32" s="93">
        <v>5784486.2808066197</v>
      </c>
      <c r="F32" s="35"/>
      <c r="G32" s="56" t="str">
        <f ca="1">IFERROR(OFFSET(INDIRECT($H$3 &amp; "!A98"), 1, 0), "")</f>
        <v>이더리움클래식</v>
      </c>
      <c r="H32" s="39">
        <f t="shared" ca="1" si="7"/>
        <v>164950</v>
      </c>
      <c r="I32" s="77">
        <f t="shared" ca="1" si="8"/>
        <v>3.7421383599999997E-2</v>
      </c>
      <c r="J32" s="86">
        <f t="shared" ref="J32:J50" ca="1" si="13">_xlfn.IFNA(VLOOKUP(G32, $B$2:$E$200, 4, FALSE), "")</f>
        <v>27092191.089047901</v>
      </c>
      <c r="K32" s="56" t="str">
        <f ca="1">IFERROR(OFFSET(INDIRECT($H$3 &amp; "!A44"), 1, 0), "")</f>
        <v>쿼크체인</v>
      </c>
      <c r="L32" s="39">
        <f t="shared" ca="1" si="9"/>
        <v>38.1</v>
      </c>
      <c r="M32" s="77">
        <f t="shared" ca="1" si="10"/>
        <v>-3.2994923900000001E-2</v>
      </c>
      <c r="N32" s="86">
        <f t="shared" ref="N32:N50" ca="1" si="14">_xlfn.IFNA(VLOOKUP(K32, $B$2:$E$200, 4, FALSE), "")</f>
        <v>271986966.22693163</v>
      </c>
      <c r="O32" s="56" t="str">
        <f ca="1">IFERROR(OFFSET(INDIRECT($H$3 &amp; "!A71"), 1, 0), "")</f>
        <v>스테이터스네트워크토큰</v>
      </c>
      <c r="P32" s="39">
        <f t="shared" ca="1" si="11"/>
        <v>270</v>
      </c>
      <c r="Q32" s="77">
        <f t="shared" ca="1" si="12"/>
        <v>2.6615969600000001E-2</v>
      </c>
      <c r="R32" s="86">
        <f t="shared" ref="R32:R50" ca="1" si="15">_xlfn.IFNA(VLOOKUP(O32, $B$2:$E$200, 4, FALSE), "")</f>
        <v>570542708.44723666</v>
      </c>
    </row>
    <row r="33" spans="1:18">
      <c r="A33" s="40" t="s">
        <v>183</v>
      </c>
      <c r="B33" s="11" t="s">
        <v>184</v>
      </c>
      <c r="C33" s="95">
        <v>2955</v>
      </c>
      <c r="D33" s="92">
        <v>2.7826086999999999E-2</v>
      </c>
      <c r="E33" s="93">
        <v>6960384.7160304496</v>
      </c>
      <c r="F33" s="35"/>
      <c r="G33" s="56" t="str">
        <f ca="1">IFERROR(OFFSET(INDIRECT($H$3 &amp; "!A98"), 2, 0), "")</f>
        <v>코모도</v>
      </c>
      <c r="H33" s="39">
        <f t="shared" ca="1" si="7"/>
        <v>4180</v>
      </c>
      <c r="I33" s="77">
        <f t="shared" ca="1" si="8"/>
        <v>8.5714285700000004E-2</v>
      </c>
      <c r="J33" s="86">
        <f t="shared" ca="1" si="13"/>
        <v>19954548.981527749</v>
      </c>
      <c r="K33" s="56" t="str">
        <f ca="1">IFERROR(OFFSET(INDIRECT($H$3 &amp; "!A44"), 2, 0), "")</f>
        <v>시아코인</v>
      </c>
      <c r="L33" s="39">
        <f t="shared" ca="1" si="9"/>
        <v>51.8</v>
      </c>
      <c r="M33" s="77">
        <f t="shared" ca="1" si="10"/>
        <v>2.5742574300000001E-2</v>
      </c>
      <c r="N33" s="86">
        <f t="shared" ca="1" si="14"/>
        <v>1457309245.1440432</v>
      </c>
      <c r="O33" s="56" t="str">
        <f ca="1">IFERROR(OFFSET(INDIRECT($H$3 &amp; "!A71"), 2, 0), "")</f>
        <v>파워렛저</v>
      </c>
      <c r="P33" s="39">
        <f t="shared" ca="1" si="11"/>
        <v>559</v>
      </c>
      <c r="Q33" s="77">
        <f t="shared" ca="1" si="12"/>
        <v>5.6710774999999998E-2</v>
      </c>
      <c r="R33" s="86">
        <f t="shared" ca="1" si="15"/>
        <v>38172595.416037083</v>
      </c>
    </row>
    <row r="34" spans="1:18">
      <c r="A34" s="40" t="s">
        <v>167</v>
      </c>
      <c r="B34" s="11" t="s">
        <v>168</v>
      </c>
      <c r="C34" s="95">
        <v>270</v>
      </c>
      <c r="D34" s="92">
        <v>2.6615969600000001E-2</v>
      </c>
      <c r="E34" s="93">
        <v>570542708.44723666</v>
      </c>
      <c r="F34" s="35"/>
      <c r="G34" s="56" t="str">
        <f ca="1">IFERROR(OFFSET(INDIRECT($H$3 &amp; "!A98"), 3, 0), "")</f>
        <v>스팀</v>
      </c>
      <c r="H34" s="39">
        <f t="shared" ca="1" si="7"/>
        <v>1505</v>
      </c>
      <c r="I34" s="77">
        <f t="shared" ca="1" si="8"/>
        <v>1.3468013500000001E-2</v>
      </c>
      <c r="J34" s="86">
        <f t="shared" ca="1" si="13"/>
        <v>58091352.780126572</v>
      </c>
      <c r="K34" s="56" t="str">
        <f ca="1">IFERROR(OFFSET(INDIRECT($H$3 &amp; "!A44"), 3, 0), "")</f>
        <v>아이오에스티</v>
      </c>
      <c r="L34" s="39">
        <f t="shared" ca="1" si="9"/>
        <v>83.6</v>
      </c>
      <c r="M34" s="77">
        <f t="shared" ca="1" si="10"/>
        <v>6.36132316E-2</v>
      </c>
      <c r="N34" s="86">
        <f t="shared" ca="1" si="14"/>
        <v>767744242.15995705</v>
      </c>
      <c r="O34" s="56" t="str">
        <f ca="1">IFERROR(OFFSET(INDIRECT($H$3 &amp; "!A71"), 3, 0), "")</f>
        <v>비체인</v>
      </c>
      <c r="P34" s="39">
        <f t="shared" ca="1" si="11"/>
        <v>294</v>
      </c>
      <c r="Q34" s="77">
        <f t="shared" ca="1" si="12"/>
        <v>0.1136363636</v>
      </c>
      <c r="R34" s="86">
        <f t="shared" ca="1" si="15"/>
        <v>2660052571.566287</v>
      </c>
    </row>
    <row r="35" spans="1:18">
      <c r="A35" s="40" t="s">
        <v>151</v>
      </c>
      <c r="B35" s="11" t="s">
        <v>152</v>
      </c>
      <c r="C35" s="95">
        <v>51.8</v>
      </c>
      <c r="D35" s="92">
        <v>2.5742574300000001E-2</v>
      </c>
      <c r="E35" s="93">
        <v>1457309245.1440432</v>
      </c>
      <c r="F35" s="35"/>
      <c r="G35" s="58" t="str">
        <f ca="1">IFERROR(OFFSET(INDIRECT($H$3 &amp; "!A98"), 4, 0), "")</f>
        <v>질리카</v>
      </c>
      <c r="H35" s="44">
        <f t="shared" ca="1" si="7"/>
        <v>287</v>
      </c>
      <c r="I35" s="78">
        <f t="shared" ca="1" si="8"/>
        <v>7.0175439000000001E-3</v>
      </c>
      <c r="J35" s="90">
        <f t="shared" ca="1" si="13"/>
        <v>69724585.990911216</v>
      </c>
      <c r="K35" s="58" t="str">
        <f ca="1">IFERROR(OFFSET(INDIRECT($H$3 &amp; "!A44"), 4, 0), "")</f>
        <v>아하토큰</v>
      </c>
      <c r="L35" s="44">
        <f t="shared" ca="1" si="9"/>
        <v>18.600000000000001</v>
      </c>
      <c r="M35" s="78">
        <f t="shared" ca="1" si="10"/>
        <v>1.08695652E-2</v>
      </c>
      <c r="N35" s="90">
        <f t="shared" ca="1" si="14"/>
        <v>320589817.22010851</v>
      </c>
      <c r="O35" s="58" t="str">
        <f ca="1">IFERROR(OFFSET(INDIRECT($H$3 &amp; "!A71"), 4, 0), "")</f>
        <v>저스트</v>
      </c>
      <c r="P35" s="44">
        <f t="shared" ca="1" si="11"/>
        <v>183</v>
      </c>
      <c r="Q35" s="78">
        <f t="shared" ca="1" si="12"/>
        <v>3.9772727299999998E-2</v>
      </c>
      <c r="R35" s="90">
        <f t="shared" ca="1" si="15"/>
        <v>244329921.48523042</v>
      </c>
    </row>
    <row r="36" spans="1:18">
      <c r="A36" s="40" t="s">
        <v>91</v>
      </c>
      <c r="B36" s="11" t="s">
        <v>92</v>
      </c>
      <c r="C36" s="95">
        <v>2000</v>
      </c>
      <c r="D36" s="92">
        <v>2.30179028E-2</v>
      </c>
      <c r="E36" s="93">
        <v>598650468.23279297</v>
      </c>
      <c r="F36" s="35"/>
      <c r="G36" s="56" t="str">
        <f ca="1">IFERROR(OFFSET(INDIRECT($H$3 &amp; "!A98"), 5, 0), "")</f>
        <v>스테이터스네트워크토큰</v>
      </c>
      <c r="H36" s="39">
        <f t="shared" ca="1" si="7"/>
        <v>270</v>
      </c>
      <c r="I36" s="77">
        <f t="shared" ca="1" si="8"/>
        <v>2.6615969600000001E-2</v>
      </c>
      <c r="J36" s="99">
        <f t="shared" ca="1" si="13"/>
        <v>570542708.44723666</v>
      </c>
      <c r="K36" s="56" t="str">
        <f ca="1">IFERROR(OFFSET(INDIRECT($H$3 &amp; "!A44"), 5, 0), "")</f>
        <v>스톰엑스</v>
      </c>
      <c r="L36" s="39">
        <f t="shared" ca="1" si="9"/>
        <v>61.8</v>
      </c>
      <c r="M36" s="77">
        <f t="shared" ca="1" si="10"/>
        <v>8.1566069000000001E-3</v>
      </c>
      <c r="N36" s="99">
        <f t="shared" ca="1" si="14"/>
        <v>233290761.88029864</v>
      </c>
      <c r="O36" s="56" t="str">
        <f ca="1">IFERROR(OFFSET(INDIRECT($H$3 &amp; "!A71"), 5, 0), "")</f>
        <v>스텔라루멘</v>
      </c>
      <c r="P36" s="39">
        <f t="shared" ca="1" si="11"/>
        <v>812</v>
      </c>
      <c r="Q36" s="77">
        <f t="shared" ca="1" si="12"/>
        <v>2.1383647799999999E-2</v>
      </c>
      <c r="R36" s="99">
        <f t="shared" ca="1" si="15"/>
        <v>177714537.2080861</v>
      </c>
    </row>
    <row r="37" spans="1:18">
      <c r="A37" s="40" t="s">
        <v>50</v>
      </c>
      <c r="B37" s="11" t="s">
        <v>51</v>
      </c>
      <c r="C37" s="95">
        <v>812</v>
      </c>
      <c r="D37" s="92">
        <v>2.1383647799999999E-2</v>
      </c>
      <c r="E37" s="93">
        <v>177714537.2080861</v>
      </c>
      <c r="F37" s="35"/>
      <c r="G37" s="56" t="str">
        <f ca="1">IFERROR(OFFSET(INDIRECT($H$3 &amp; "!A98"), 6, 0), "")</f>
        <v>비트코인골드</v>
      </c>
      <c r="H37" s="39">
        <f t="shared" ca="1" si="7"/>
        <v>165450</v>
      </c>
      <c r="I37" s="77">
        <f t="shared" ca="1" si="8"/>
        <v>-4.9684089600000002E-2</v>
      </c>
      <c r="J37" s="86">
        <f t="shared" ca="1" si="13"/>
        <v>2244952.3997135698</v>
      </c>
      <c r="K37" s="56" t="str">
        <f ca="1">IFERROR(OFFSET(INDIRECT($H$3 &amp; "!A44"), 6, 0), "")</f>
        <v>썬더토큰</v>
      </c>
      <c r="L37" s="39">
        <f t="shared" ca="1" si="9"/>
        <v>20.5</v>
      </c>
      <c r="M37" s="77">
        <f t="shared" ca="1" si="10"/>
        <v>1.4851485100000001E-2</v>
      </c>
      <c r="N37" s="86">
        <f t="shared" ca="1" si="14"/>
        <v>506028501.55439883</v>
      </c>
      <c r="O37" s="56" t="str">
        <f ca="1">IFERROR(OFFSET(INDIRECT($H$3 &amp; "!A71"), 6, 0), "")</f>
        <v>넴</v>
      </c>
      <c r="P37" s="39">
        <f t="shared" ca="1" si="11"/>
        <v>498</v>
      </c>
      <c r="Q37" s="77">
        <f t="shared" ca="1" si="12"/>
        <v>5.0632911400000001E-2</v>
      </c>
      <c r="R37" s="86">
        <f t="shared" ca="1" si="15"/>
        <v>271824327.2634753</v>
      </c>
    </row>
    <row r="38" spans="1:18">
      <c r="A38" s="40" t="s">
        <v>295</v>
      </c>
      <c r="B38" s="11" t="s">
        <v>296</v>
      </c>
      <c r="C38" s="95">
        <v>722</v>
      </c>
      <c r="D38" s="92">
        <v>1.9774011300000002E-2</v>
      </c>
      <c r="E38" s="93">
        <v>6164168658.0053062</v>
      </c>
      <c r="F38" s="35"/>
      <c r="G38" s="56" t="str">
        <f ca="1">IFERROR(OFFSET(INDIRECT($H$3 &amp; "!A98"), 7, 0), "")</f>
        <v>테조스</v>
      </c>
      <c r="H38" s="39">
        <f t="shared" ca="1" si="7"/>
        <v>8970</v>
      </c>
      <c r="I38" s="77">
        <f t="shared" ca="1" si="8"/>
        <v>-2.8695181399999999E-2</v>
      </c>
      <c r="J38" s="86">
        <f t="shared" ca="1" si="13"/>
        <v>13550935.93980059</v>
      </c>
      <c r="K38" s="56" t="str">
        <f ca="1">IFERROR(OFFSET(INDIRECT($H$3 &amp; "!A44"), 7, 0), "")</f>
        <v>에브리피디아</v>
      </c>
      <c r="L38" s="39">
        <f t="shared" ca="1" si="9"/>
        <v>25.4</v>
      </c>
      <c r="M38" s="77">
        <f t="shared" ca="1" si="10"/>
        <v>1.19521912E-2</v>
      </c>
      <c r="N38" s="86">
        <f t="shared" ca="1" si="14"/>
        <v>361601384.8253594</v>
      </c>
      <c r="O38" s="56" t="str">
        <f ca="1">IFERROR(OFFSET(INDIRECT($H$3 &amp; "!A71"), 7, 0), "")</f>
        <v>트론</v>
      </c>
      <c r="P38" s="39">
        <f t="shared" ca="1" si="11"/>
        <v>192</v>
      </c>
      <c r="Q38" s="77">
        <f t="shared" ca="1" si="12"/>
        <v>3.2258064500000003E-2</v>
      </c>
      <c r="R38" s="86">
        <f t="shared" ca="1" si="15"/>
        <v>1829342227.6283355</v>
      </c>
    </row>
    <row r="39" spans="1:18">
      <c r="A39" s="40" t="s">
        <v>195</v>
      </c>
      <c r="B39" s="11" t="s">
        <v>196</v>
      </c>
      <c r="C39" s="95">
        <v>20.5</v>
      </c>
      <c r="D39" s="92">
        <v>1.4851485100000001E-2</v>
      </c>
      <c r="E39" s="93">
        <v>506028501.55439883</v>
      </c>
      <c r="F39" s="35"/>
      <c r="G39" s="56" t="str">
        <f ca="1">IFERROR(OFFSET(INDIRECT($H$3 &amp; "!A98"), 8, 0), "")</f>
        <v>에이다</v>
      </c>
      <c r="H39" s="39">
        <f t="shared" ca="1" si="7"/>
        <v>2055</v>
      </c>
      <c r="I39" s="77">
        <f t="shared" ca="1" si="8"/>
        <v>1.23152709E-2</v>
      </c>
      <c r="J39" s="86">
        <f t="shared" ca="1" si="13"/>
        <v>156134565.54649723</v>
      </c>
      <c r="K39" s="56" t="str">
        <f ca="1">IFERROR(OFFSET(INDIRECT($H$3 &amp; "!A44"), 8, 0), "")</f>
        <v>엔도르</v>
      </c>
      <c r="L39" s="39">
        <f t="shared" ca="1" si="9"/>
        <v>68.3</v>
      </c>
      <c r="M39" s="77">
        <f t="shared" ca="1" si="10"/>
        <v>8.8626291999999995E-3</v>
      </c>
      <c r="N39" s="86">
        <f t="shared" ca="1" si="14"/>
        <v>217441343.33502841</v>
      </c>
      <c r="O39" s="56" t="str">
        <f ca="1">IFERROR(OFFSET(INDIRECT($H$3 &amp; "!A71"), 8, 0), "")</f>
        <v>크립토닷컴체인</v>
      </c>
      <c r="P39" s="39">
        <f t="shared" ca="1" si="11"/>
        <v>228</v>
      </c>
      <c r="Q39" s="77">
        <f t="shared" ca="1" si="12"/>
        <v>-2.1459227500000001E-2</v>
      </c>
      <c r="R39" s="86">
        <f t="shared" ca="1" si="15"/>
        <v>117852886.79524437</v>
      </c>
    </row>
    <row r="40" spans="1:18" ht="17.25" thickBot="1">
      <c r="A40" s="40" t="s">
        <v>261</v>
      </c>
      <c r="B40" s="11" t="s">
        <v>262</v>
      </c>
      <c r="C40" s="95">
        <v>1505</v>
      </c>
      <c r="D40" s="92">
        <v>1.3468013500000001E-2</v>
      </c>
      <c r="E40" s="93">
        <v>58091352.780126572</v>
      </c>
      <c r="F40" s="35"/>
      <c r="G40" s="57" t="str">
        <f ca="1">IFERROR(OFFSET(INDIRECT($H$3 &amp; "!A98"), 9, 0), "")</f>
        <v>아이오타</v>
      </c>
      <c r="H40" s="37">
        <f t="shared" ca="1" si="7"/>
        <v>2955</v>
      </c>
      <c r="I40" s="79">
        <f t="shared" ca="1" si="8"/>
        <v>2.7826086999999999E-2</v>
      </c>
      <c r="J40" s="87">
        <f t="shared" ca="1" si="13"/>
        <v>6960384.7160304496</v>
      </c>
      <c r="K40" s="57" t="str">
        <f ca="1">IFERROR(OFFSET(INDIRECT($H$3 &amp; "!A44"), 9, 0), "")</f>
        <v>엠블</v>
      </c>
      <c r="L40" s="37">
        <f t="shared" ca="1" si="9"/>
        <v>27.8</v>
      </c>
      <c r="M40" s="79">
        <f t="shared" ca="1" si="10"/>
        <v>-3.5842294000000001E-3</v>
      </c>
      <c r="N40" s="87">
        <f t="shared" ca="1" si="14"/>
        <v>909395191.00111961</v>
      </c>
      <c r="O40" s="57" t="str">
        <f ca="1">IFERROR(OFFSET(INDIRECT($H$3 &amp; "!A71"), 9, 0), "")</f>
        <v>폴리매쓰</v>
      </c>
      <c r="P40" s="37">
        <f t="shared" ca="1" si="11"/>
        <v>544</v>
      </c>
      <c r="Q40" s="79">
        <f t="shared" ca="1" si="12"/>
        <v>0.18777292579999999</v>
      </c>
      <c r="R40" s="87">
        <f t="shared" ca="1" si="15"/>
        <v>246907425.95225847</v>
      </c>
    </row>
    <row r="41" spans="1:18">
      <c r="A41" s="40" t="s">
        <v>83</v>
      </c>
      <c r="B41" s="11" t="s">
        <v>84</v>
      </c>
      <c r="C41" s="95">
        <v>2055</v>
      </c>
      <c r="D41" s="92">
        <v>1.23152709E-2</v>
      </c>
      <c r="E41" s="93">
        <v>156134565.54649723</v>
      </c>
      <c r="F41" s="35"/>
      <c r="G41" s="59" t="str">
        <f ca="1">IFERROR(OFFSET(INDIRECT($H$3 &amp; "!A98"), 10, 0), "")</f>
        <v>비트토렌트</v>
      </c>
      <c r="H41" s="38">
        <f t="shared" ca="1" si="7"/>
        <v>10.1</v>
      </c>
      <c r="I41" s="76">
        <f t="shared" ca="1" si="8"/>
        <v>4.3388429800000003E-2</v>
      </c>
      <c r="J41" s="85">
        <f t="shared" ca="1" si="13"/>
        <v>121498093002.5717</v>
      </c>
      <c r="K41" s="55" t="str">
        <f ca="1">IFERROR(OFFSET(INDIRECT($H$3 &amp; "!A44"), 10, 0), "")</f>
        <v>트웰브쉽스</v>
      </c>
      <c r="L41" s="38">
        <f t="shared" ca="1" si="9"/>
        <v>24.3</v>
      </c>
      <c r="M41" s="76">
        <f t="shared" ca="1" si="10"/>
        <v>-1.2195121999999999E-2</v>
      </c>
      <c r="N41" s="85">
        <f t="shared" ca="1" si="14"/>
        <v>259017068.01787764</v>
      </c>
      <c r="O41" s="55" t="str">
        <f ca="1">IFERROR(OFFSET(INDIRECT($H$3 &amp; "!A71"), 10, 0), "")</f>
        <v>오브스</v>
      </c>
      <c r="P41" s="38">
        <f t="shared" ca="1" si="11"/>
        <v>161</v>
      </c>
      <c r="Q41" s="76">
        <f t="shared" ca="1" si="12"/>
        <v>5.9210526300000003E-2</v>
      </c>
      <c r="R41" s="85">
        <f t="shared" ca="1" si="15"/>
        <v>130249978.7222244</v>
      </c>
    </row>
    <row r="42" spans="1:18">
      <c r="A42" s="40" t="s">
        <v>185</v>
      </c>
      <c r="B42" s="11" t="s">
        <v>186</v>
      </c>
      <c r="C42" s="95">
        <v>25.4</v>
      </c>
      <c r="D42" s="92">
        <v>1.19521912E-2</v>
      </c>
      <c r="E42" s="93">
        <v>361601384.8253594</v>
      </c>
      <c r="F42" s="35"/>
      <c r="G42" s="56" t="str">
        <f ca="1">IFERROR(OFFSET(INDIRECT($H$3 &amp; "!A98"), 11, 0), "")</f>
        <v>이오스</v>
      </c>
      <c r="H42" s="39">
        <f t="shared" ca="1" si="7"/>
        <v>13830</v>
      </c>
      <c r="I42" s="77">
        <f t="shared" ca="1" si="8"/>
        <v>-1.5658363000000002E-2</v>
      </c>
      <c r="J42" s="86">
        <f t="shared" ca="1" si="13"/>
        <v>98196491.532424316</v>
      </c>
      <c r="K42" s="56" t="str">
        <f ca="1">IFERROR(OFFSET(INDIRECT($H$3 &amp; "!A44"), 11, 0), "")</f>
        <v>리퍼리움</v>
      </c>
      <c r="L42" s="39">
        <f t="shared" ca="1" si="9"/>
        <v>21.7</v>
      </c>
      <c r="M42" s="77">
        <f t="shared" ca="1" si="10"/>
        <v>-9.1324201000000001E-3</v>
      </c>
      <c r="N42" s="86">
        <f t="shared" ca="1" si="14"/>
        <v>444343690.90506679</v>
      </c>
      <c r="O42" s="56" t="str">
        <f ca="1">IFERROR(OFFSET(INDIRECT($H$3 &amp; "!A71"), 11, 0), "")</f>
        <v>칠리즈</v>
      </c>
      <c r="P42" s="39">
        <f t="shared" ca="1" si="11"/>
        <v>617</v>
      </c>
      <c r="Q42" s="77">
        <f t="shared" ca="1" si="12"/>
        <v>3.2520324999999999E-3</v>
      </c>
      <c r="R42" s="86">
        <f t="shared" ca="1" si="15"/>
        <v>119736462.49195841</v>
      </c>
    </row>
    <row r="43" spans="1:18">
      <c r="A43" s="40" t="s">
        <v>281</v>
      </c>
      <c r="B43" s="11" t="s">
        <v>282</v>
      </c>
      <c r="C43" s="95">
        <v>176</v>
      </c>
      <c r="D43" s="92">
        <v>1.14942529E-2</v>
      </c>
      <c r="E43" s="93">
        <v>67665378.809349015</v>
      </c>
      <c r="F43" s="35"/>
      <c r="G43" s="56" t="str">
        <f ca="1">IFERROR(OFFSET(INDIRECT($H$3 &amp; "!A98"), 12, 0), "")</f>
        <v>리스크</v>
      </c>
      <c r="H43" s="39">
        <f t="shared" ca="1" si="7"/>
        <v>11800</v>
      </c>
      <c r="I43" s="77">
        <f t="shared" ca="1" si="8"/>
        <v>0.39562389120000002</v>
      </c>
      <c r="J43" s="86">
        <f t="shared" ca="1" si="13"/>
        <v>54266092.858796358</v>
      </c>
      <c r="K43" s="56" t="str">
        <f ca="1">IFERROR(OFFSET(INDIRECT($H$3 &amp; "!A44"), 12, 0), "")</f>
        <v>옵저버</v>
      </c>
      <c r="L43" s="39">
        <f t="shared" ca="1" si="9"/>
        <v>28.2</v>
      </c>
      <c r="M43" s="77">
        <f t="shared" ca="1" si="10"/>
        <v>1.0752688200000001E-2</v>
      </c>
      <c r="N43" s="86">
        <f t="shared" ca="1" si="14"/>
        <v>444632648.23089367</v>
      </c>
      <c r="O43" s="56" t="str">
        <f ca="1">IFERROR(OFFSET(INDIRECT($H$3 &amp; "!A71"), 12, 0), "")</f>
        <v>골렘</v>
      </c>
      <c r="P43" s="39">
        <f t="shared" ca="1" si="11"/>
        <v>633</v>
      </c>
      <c r="Q43" s="77">
        <f t="shared" ca="1" si="12"/>
        <v>4.4554455399999998E-2</v>
      </c>
      <c r="R43" s="86">
        <f t="shared" ca="1" si="15"/>
        <v>33001322.05483361</v>
      </c>
    </row>
    <row r="44" spans="1:18">
      <c r="A44" s="40" t="s">
        <v>263</v>
      </c>
      <c r="B44" s="11" t="s">
        <v>264</v>
      </c>
      <c r="C44" s="95">
        <v>183</v>
      </c>
      <c r="D44" s="92">
        <v>1.1049723799999999E-2</v>
      </c>
      <c r="E44" s="93">
        <v>84002547.991991267</v>
      </c>
      <c r="F44" s="35"/>
      <c r="G44" s="56" t="str">
        <f ca="1">IFERROR(OFFSET(INDIRECT($H$3 &amp; "!A98"), 13, 0), "")</f>
        <v>쿼크체인</v>
      </c>
      <c r="H44" s="39">
        <f t="shared" ca="1" si="7"/>
        <v>38.1</v>
      </c>
      <c r="I44" s="77">
        <f t="shared" ca="1" si="8"/>
        <v>-3.2994923900000001E-2</v>
      </c>
      <c r="J44" s="86">
        <f t="shared" ca="1" si="13"/>
        <v>271986966.22693163</v>
      </c>
      <c r="K44" s="56" t="str">
        <f ca="1">IFERROR(OFFSET(INDIRECT($H$3 &amp; "!A44"), 13, 0), "")</f>
        <v>캐리프로토콜</v>
      </c>
      <c r="L44" s="39">
        <f t="shared" ca="1" si="9"/>
        <v>20.7</v>
      </c>
      <c r="M44" s="77">
        <f t="shared" ca="1" si="10"/>
        <v>0</v>
      </c>
      <c r="N44" s="86">
        <f t="shared" ca="1" si="14"/>
        <v>791473775.92339337</v>
      </c>
      <c r="O44" s="56" t="str">
        <f ca="1">IFERROR(OFFSET(INDIRECT($H$3 &amp; "!A71"), 13, 0), "")</f>
        <v>쎄타퓨엘</v>
      </c>
      <c r="P44" s="39">
        <f t="shared" ca="1" si="11"/>
        <v>487</v>
      </c>
      <c r="Q44" s="77">
        <f t="shared" ca="1" si="12"/>
        <v>3.83795309E-2</v>
      </c>
      <c r="R44" s="86">
        <f t="shared" ca="1" si="15"/>
        <v>77886696.125810415</v>
      </c>
    </row>
    <row r="45" spans="1:18">
      <c r="A45" s="40" t="s">
        <v>221</v>
      </c>
      <c r="B45" s="11" t="s">
        <v>222</v>
      </c>
      <c r="C45" s="95">
        <v>18.600000000000001</v>
      </c>
      <c r="D45" s="92">
        <v>1.08695652E-2</v>
      </c>
      <c r="E45" s="93">
        <v>320589817.22010851</v>
      </c>
      <c r="F45" s="35"/>
      <c r="G45" s="58" t="str">
        <f ca="1">IFERROR(OFFSET(INDIRECT($H$3 &amp; "!A98"), 14, 0), "")</f>
        <v>온톨로지</v>
      </c>
      <c r="H45" s="44">
        <f t="shared" ca="1" si="7"/>
        <v>3200</v>
      </c>
      <c r="I45" s="78">
        <f t="shared" ca="1" si="8"/>
        <v>-2.2900763399999999E-2</v>
      </c>
      <c r="J45" s="90">
        <f t="shared" ca="1" si="13"/>
        <v>50148257.096650928</v>
      </c>
      <c r="K45" s="58" t="str">
        <f ca="1">IFERROR(OFFSET(INDIRECT($H$3 &amp; "!A44"), 14, 0), "")</f>
        <v>무비블록</v>
      </c>
      <c r="L45" s="44">
        <f t="shared" ca="1" si="9"/>
        <v>18.3</v>
      </c>
      <c r="M45" s="78">
        <f t="shared" ca="1" si="10"/>
        <v>-5.4347826000000002E-3</v>
      </c>
      <c r="N45" s="90">
        <f t="shared" ca="1" si="14"/>
        <v>1098696580.3719797</v>
      </c>
      <c r="O45" s="58" t="str">
        <f ca="1">IFERROR(OFFSET(INDIRECT($H$3 &amp; "!A71"), 14, 0), "")</f>
        <v>아더</v>
      </c>
      <c r="P45" s="44">
        <f t="shared" ca="1" si="11"/>
        <v>522</v>
      </c>
      <c r="Q45" s="78">
        <f t="shared" ca="1" si="12"/>
        <v>5.03018109E-2</v>
      </c>
      <c r="R45" s="90">
        <f t="shared" ca="1" si="15"/>
        <v>45110251.533986762</v>
      </c>
    </row>
    <row r="46" spans="1:18">
      <c r="A46" s="40" t="s">
        <v>217</v>
      </c>
      <c r="B46" s="11" t="s">
        <v>218</v>
      </c>
      <c r="C46" s="95">
        <v>28.2</v>
      </c>
      <c r="D46" s="92">
        <v>1.0752688200000001E-2</v>
      </c>
      <c r="E46" s="93">
        <v>444632648.23089367</v>
      </c>
      <c r="F46" s="35"/>
      <c r="G46" s="56" t="str">
        <f ca="1">IFERROR(OFFSET(INDIRECT($H$3 &amp; "!A98"), 15, 0), "")</f>
        <v>파워렛저</v>
      </c>
      <c r="H46" s="39">
        <f t="shared" ca="1" si="7"/>
        <v>559</v>
      </c>
      <c r="I46" s="77">
        <f t="shared" ca="1" si="8"/>
        <v>5.6710774999999998E-2</v>
      </c>
      <c r="J46" s="99">
        <f t="shared" ca="1" si="13"/>
        <v>38172595.416037083</v>
      </c>
      <c r="K46" s="56" t="str">
        <f ca="1">IFERROR(OFFSET(INDIRECT($H$3 &amp; "!A44"), 15, 0), "")</f>
        <v>람다</v>
      </c>
      <c r="L46" s="39">
        <f t="shared" ca="1" si="9"/>
        <v>93.1</v>
      </c>
      <c r="M46" s="77">
        <f t="shared" ca="1" si="10"/>
        <v>-1.6895459299999999E-2</v>
      </c>
      <c r="N46" s="99">
        <f t="shared" ca="1" si="14"/>
        <v>109460538.15529662</v>
      </c>
      <c r="O46" s="56" t="str">
        <f ca="1">IFERROR(OFFSET(INDIRECT($H$3 &amp; "!A71"), 15, 0), "")</f>
        <v>앵커</v>
      </c>
      <c r="P46" s="39">
        <f t="shared" ca="1" si="11"/>
        <v>194</v>
      </c>
      <c r="Q46" s="77">
        <f t="shared" ca="1" si="12"/>
        <v>0</v>
      </c>
      <c r="R46" s="99">
        <f t="shared" ca="1" si="15"/>
        <v>109592029.17786264</v>
      </c>
    </row>
    <row r="47" spans="1:18">
      <c r="A47" s="40" t="s">
        <v>235</v>
      </c>
      <c r="B47" s="11" t="s">
        <v>236</v>
      </c>
      <c r="C47" s="95">
        <v>68.3</v>
      </c>
      <c r="D47" s="92">
        <v>8.8626291999999995E-3</v>
      </c>
      <c r="E47" s="93">
        <v>217441343.33502841</v>
      </c>
      <c r="F47" s="35"/>
      <c r="G47" s="56" t="str">
        <f ca="1">IFERROR(OFFSET(INDIRECT($H$3 &amp; "!A98"), 16, 0), "")</f>
        <v>비체인</v>
      </c>
      <c r="H47" s="39">
        <f t="shared" ca="1" si="7"/>
        <v>294</v>
      </c>
      <c r="I47" s="77">
        <f t="shared" ca="1" si="8"/>
        <v>0.1136363636</v>
      </c>
      <c r="J47" s="86">
        <f t="shared" ca="1" si="13"/>
        <v>2660052571.566287</v>
      </c>
      <c r="K47" s="56" t="str">
        <f ca="1">IFERROR(OFFSET(INDIRECT($H$3 &amp; "!A44"), 16, 0), "")</f>
        <v>퀴즈톡</v>
      </c>
      <c r="L47" s="39">
        <f t="shared" ca="1" si="9"/>
        <v>83</v>
      </c>
      <c r="M47" s="77">
        <f t="shared" ca="1" si="10"/>
        <v>-2.0070838300000001E-2</v>
      </c>
      <c r="N47" s="86">
        <f t="shared" ca="1" si="14"/>
        <v>77858444.622968361</v>
      </c>
      <c r="O47" s="56" t="str">
        <f ca="1">IFERROR(OFFSET(INDIRECT($H$3 &amp; "!A71"), 16, 0), "")</f>
        <v>룸네트워크</v>
      </c>
      <c r="P47" s="39">
        <f t="shared" ca="1" si="11"/>
        <v>183</v>
      </c>
      <c r="Q47" s="77">
        <f t="shared" ca="1" si="12"/>
        <v>1.1049723799999999E-2</v>
      </c>
      <c r="R47" s="86">
        <f t="shared" ca="1" si="15"/>
        <v>84002547.991991267</v>
      </c>
    </row>
    <row r="48" spans="1:18">
      <c r="A48" s="40" t="s">
        <v>125</v>
      </c>
      <c r="B48" s="11" t="s">
        <v>126</v>
      </c>
      <c r="C48" s="95">
        <v>61.8</v>
      </c>
      <c r="D48" s="92">
        <v>8.1566069000000001E-3</v>
      </c>
      <c r="E48" s="93">
        <v>233290761.88029864</v>
      </c>
      <c r="F48" s="35"/>
      <c r="G48" s="56" t="str">
        <f ca="1">IFERROR(OFFSET(INDIRECT($H$3 &amp; "!A98"), 17, 0), "")</f>
        <v>제로엑스</v>
      </c>
      <c r="H48" s="39">
        <f t="shared" ca="1" si="7"/>
        <v>2625</v>
      </c>
      <c r="I48" s="77">
        <f t="shared" ca="1" si="8"/>
        <v>0.05</v>
      </c>
      <c r="J48" s="86">
        <f t="shared" ca="1" si="13"/>
        <v>13988435.8052305</v>
      </c>
      <c r="K48" s="56" t="str">
        <f ca="1">IFERROR(OFFSET(INDIRECT($H$3 &amp; "!A44"), 17, 0), "")</f>
        <v>메인프레임</v>
      </c>
      <c r="L48" s="39">
        <f t="shared" ca="1" si="9"/>
        <v>20.399999999999999</v>
      </c>
      <c r="M48" s="77">
        <f t="shared" ca="1" si="10"/>
        <v>-2.3923445000000002E-2</v>
      </c>
      <c r="N48" s="86">
        <f t="shared" ca="1" si="14"/>
        <v>382752173.88753343</v>
      </c>
      <c r="O48" s="56" t="str">
        <f ca="1">IFERROR(OFFSET(INDIRECT($H$3 &amp; "!A71"), 17, 0), "")</f>
        <v>시빅</v>
      </c>
      <c r="P48" s="39">
        <f t="shared" ca="1" si="11"/>
        <v>734</v>
      </c>
      <c r="Q48" s="77">
        <f t="shared" ca="1" si="12"/>
        <v>3.3802816899999998E-2</v>
      </c>
      <c r="R48" s="86">
        <f t="shared" ca="1" si="15"/>
        <v>31305144.201130949</v>
      </c>
    </row>
    <row r="49" spans="1:18">
      <c r="A49" s="40" t="s">
        <v>135</v>
      </c>
      <c r="B49" s="11" t="s">
        <v>136</v>
      </c>
      <c r="C49" s="95">
        <v>287</v>
      </c>
      <c r="D49" s="92">
        <v>7.0175439000000001E-3</v>
      </c>
      <c r="E49" s="93">
        <v>69724585.990911216</v>
      </c>
      <c r="F49" s="35"/>
      <c r="G49" s="56" t="str">
        <f ca="1">IFERROR(OFFSET(INDIRECT($H$3 &amp; "!A98"), 18, 0), "")</f>
        <v>카바</v>
      </c>
      <c r="H49" s="39">
        <f t="shared" ca="1" si="7"/>
        <v>8105</v>
      </c>
      <c r="I49" s="77">
        <f t="shared" ca="1" si="8"/>
        <v>6.2254259499999999E-2</v>
      </c>
      <c r="J49" s="86">
        <f t="shared" ca="1" si="13"/>
        <v>2905158.8994291099</v>
      </c>
      <c r="K49" s="56" t="str">
        <f ca="1">IFERROR(OFFSET(INDIRECT($H$3 &amp; "!A44"), 18, 0), "")</f>
        <v>에스티피</v>
      </c>
      <c r="L49" s="39">
        <f t="shared" ca="1" si="9"/>
        <v>94.3</v>
      </c>
      <c r="M49" s="77">
        <f t="shared" ca="1" si="10"/>
        <v>-2.1784232399999999E-2</v>
      </c>
      <c r="N49" s="86">
        <f t="shared" ca="1" si="14"/>
        <v>171084508.65534073</v>
      </c>
      <c r="O49" s="56" t="str">
        <f ca="1">IFERROR(OFFSET(INDIRECT($H$3 &amp; "!A71"), 18, 0), "")</f>
        <v>메디블록</v>
      </c>
      <c r="P49" s="39">
        <f t="shared" ca="1" si="11"/>
        <v>146</v>
      </c>
      <c r="Q49" s="77">
        <f t="shared" ca="1" si="12"/>
        <v>-3.9473684199999998E-2</v>
      </c>
      <c r="R49" s="86">
        <f t="shared" ca="1" si="15"/>
        <v>680191821.63629186</v>
      </c>
    </row>
    <row r="50" spans="1:18" ht="17.25" thickBot="1">
      <c r="A50" s="40" t="s">
        <v>81</v>
      </c>
      <c r="B50" s="11" t="s">
        <v>82</v>
      </c>
      <c r="C50" s="95">
        <v>1595</v>
      </c>
      <c r="D50" s="92">
        <v>6.3091483000000002E-3</v>
      </c>
      <c r="E50" s="93">
        <v>2158620.61795865</v>
      </c>
      <c r="F50" s="35"/>
      <c r="G50" s="57" t="str">
        <f ca="1">IFERROR(OFFSET(INDIRECT($H$3 &amp; "!A98"), 19, 0), "")</f>
        <v>시아코인</v>
      </c>
      <c r="H50" s="37">
        <f t="shared" ca="1" si="7"/>
        <v>51.8</v>
      </c>
      <c r="I50" s="79">
        <f t="shared" ca="1" si="8"/>
        <v>2.5742574300000001E-2</v>
      </c>
      <c r="J50" s="87">
        <f t="shared" ca="1" si="13"/>
        <v>1457309245.1440432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헤데라해시그래프</v>
      </c>
      <c r="P50" s="37">
        <f t="shared" ca="1" si="11"/>
        <v>377</v>
      </c>
      <c r="Q50" s="79">
        <f t="shared" ca="1" si="12"/>
        <v>0</v>
      </c>
      <c r="R50" s="87">
        <f t="shared" ca="1" si="15"/>
        <v>34865520.321322881</v>
      </c>
    </row>
    <row r="51" spans="1:18">
      <c r="A51" s="40" t="s">
        <v>62</v>
      </c>
      <c r="B51" s="11" t="s">
        <v>63</v>
      </c>
      <c r="C51" s="95">
        <v>150700</v>
      </c>
      <c r="D51" s="92">
        <v>4.3318894000000004E-3</v>
      </c>
      <c r="E51" s="93">
        <v>4789310.7866792604</v>
      </c>
      <c r="F51" s="35"/>
    </row>
    <row r="52" spans="1:18" ht="17.25" thickBot="1">
      <c r="A52" s="40" t="s">
        <v>111</v>
      </c>
      <c r="B52" s="11" t="s">
        <v>112</v>
      </c>
      <c r="C52" s="95">
        <v>251</v>
      </c>
      <c r="D52" s="92">
        <v>4.0000000000000001E-3</v>
      </c>
      <c r="E52" s="93">
        <v>81159124.033119515</v>
      </c>
      <c r="F52" s="35"/>
    </row>
    <row r="53" spans="1:18" ht="17.25" thickBot="1">
      <c r="A53" s="40" t="s">
        <v>87</v>
      </c>
      <c r="B53" s="11" t="s">
        <v>88</v>
      </c>
      <c r="C53" s="95">
        <v>617</v>
      </c>
      <c r="D53" s="92">
        <v>3.2520324999999999E-3</v>
      </c>
      <c r="E53" s="93">
        <v>119736462.49195841</v>
      </c>
      <c r="F53" s="35"/>
      <c r="G53" s="193" t="s">
        <v>285</v>
      </c>
      <c r="H53" s="194"/>
      <c r="I53" s="194"/>
      <c r="J53" s="195"/>
      <c r="K53" s="193" t="s">
        <v>288</v>
      </c>
      <c r="L53" s="194"/>
      <c r="M53" s="194"/>
      <c r="N53" s="195"/>
      <c r="O53" s="193" t="s">
        <v>289</v>
      </c>
      <c r="P53" s="194"/>
      <c r="Q53" s="194"/>
      <c r="R53" s="195"/>
    </row>
    <row r="54" spans="1:18" ht="17.25" thickBot="1">
      <c r="A54" s="40" t="s">
        <v>203</v>
      </c>
      <c r="B54" s="11" t="s">
        <v>204</v>
      </c>
      <c r="C54" s="95">
        <v>8400</v>
      </c>
      <c r="D54" s="92">
        <v>2.9850746000000001E-3</v>
      </c>
      <c r="E54" s="93">
        <v>35285737.654139191</v>
      </c>
      <c r="F54" s="35"/>
      <c r="G54" s="230" t="s">
        <v>55</v>
      </c>
      <c r="H54" s="246">
        <f ca="1">NOW()</f>
        <v>44323.913974884257</v>
      </c>
      <c r="I54" s="247"/>
      <c r="J54" s="248"/>
      <c r="K54" s="245" t="s">
        <v>55</v>
      </c>
      <c r="L54" s="246">
        <f ca="1">NOW()</f>
        <v>44323.913974884257</v>
      </c>
      <c r="M54" s="247"/>
      <c r="N54" s="248"/>
      <c r="O54" s="245" t="s">
        <v>55</v>
      </c>
      <c r="P54" s="246">
        <f ca="1">NOW()</f>
        <v>44323.913974884257</v>
      </c>
      <c r="Q54" s="247"/>
      <c r="R54" s="248"/>
    </row>
    <row r="55" spans="1:18" ht="17.25" thickBot="1">
      <c r="A55" s="40" t="s">
        <v>147</v>
      </c>
      <c r="B55" s="11" t="s">
        <v>148</v>
      </c>
      <c r="C55" s="95">
        <v>194</v>
      </c>
      <c r="D55" s="92">
        <v>0</v>
      </c>
      <c r="E55" s="93">
        <v>109592029.17786264</v>
      </c>
      <c r="F55" s="35"/>
      <c r="G55" s="238"/>
      <c r="H55" s="36" t="s">
        <v>58</v>
      </c>
      <c r="I55" s="73" t="s">
        <v>59</v>
      </c>
      <c r="J55" s="69" t="s">
        <v>294</v>
      </c>
      <c r="K55" s="238"/>
      <c r="L55" s="36" t="s">
        <v>58</v>
      </c>
      <c r="M55" s="73" t="s">
        <v>59</v>
      </c>
      <c r="N55" s="69" t="s">
        <v>294</v>
      </c>
      <c r="O55" s="238"/>
      <c r="P55" s="36" t="s">
        <v>58</v>
      </c>
      <c r="Q55" s="73" t="s">
        <v>59</v>
      </c>
      <c r="R55" s="69" t="s">
        <v>294</v>
      </c>
    </row>
    <row r="56" spans="1:18">
      <c r="A56" s="40" t="s">
        <v>153</v>
      </c>
      <c r="B56" s="11" t="s">
        <v>154</v>
      </c>
      <c r="C56" s="95">
        <v>20.7</v>
      </c>
      <c r="D56" s="92">
        <v>0</v>
      </c>
      <c r="E56" s="93">
        <v>791473775.92339337</v>
      </c>
      <c r="F56" s="35"/>
      <c r="G56" s="55" t="str">
        <f ca="1">IFERROR(OFFSET(INDIRECT($H$3 &amp; "!A179"), 0, 0), "")</f>
        <v>옵저버</v>
      </c>
      <c r="H56" s="38">
        <f t="shared" ref="H56:H65" ca="1" si="16">_xlfn.IFNA(VLOOKUP(G56, $B$2:$D$200, 2, FALSE), "")</f>
        <v>28.2</v>
      </c>
      <c r="I56" s="76">
        <f t="shared" ref="I56:I65" ca="1" si="17">_xlfn.IFNA(VLOOKUP(G56, $B$2:$D$200, 3, FALSE), "")</f>
        <v>1.0752688200000001E-2</v>
      </c>
      <c r="J56" s="85">
        <f ca="1">_xlfn.IFNA(VLOOKUP(G56, $B$2:$E$200, 4, FALSE), "")</f>
        <v>444632648.23089367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10.1</v>
      </c>
      <c r="M56" s="76">
        <f t="shared" ref="M56:M75" ca="1" si="19">_xlfn.IFNA(VLOOKUP(K56, $B$2:$D$200, 3, FALSE), "")</f>
        <v>4.3388429800000003E-2</v>
      </c>
      <c r="N56" s="85">
        <f ca="1">_xlfn.IFNA(VLOOKUP(K56, $B$2:$E$200, 4, FALSE), "")</f>
        <v>121498093002.5717</v>
      </c>
      <c r="O56" s="55" t="str">
        <f ca="1">IFERROR(OFFSET(INDIRECT($H$3 &amp; "!A152"), 0, 0), "")</f>
        <v>픽셀</v>
      </c>
      <c r="P56" s="38">
        <f t="shared" ref="P56:P75" ca="1" si="20">_xlfn.IFNA(VLOOKUP(O56, $B$2:$D$200, 2, FALSE), "")</f>
        <v>114</v>
      </c>
      <c r="Q56" s="76">
        <f t="shared" ref="Q56:Q75" ca="1" si="21">_xlfn.IFNA(VLOOKUP(O56, $B$2:$D$200, 3, FALSE), "")</f>
        <v>-8.6956522000000008E-3</v>
      </c>
      <c r="R56" s="85">
        <f ca="1">_xlfn.IFNA(VLOOKUP(O56, $B$2:$E$200, 4, FALSE), "")</f>
        <v>99557512.558454975</v>
      </c>
    </row>
    <row r="57" spans="1:18">
      <c r="A57" s="40" t="s">
        <v>53</v>
      </c>
      <c r="B57" s="11" t="s">
        <v>54</v>
      </c>
      <c r="C57" s="95">
        <v>377</v>
      </c>
      <c r="D57" s="92">
        <v>0</v>
      </c>
      <c r="E57" s="93">
        <v>34865520.321322881</v>
      </c>
      <c r="F57" s="35"/>
      <c r="G57" s="56" t="str">
        <f ca="1">IFERROR(OFFSET(INDIRECT($H$3 &amp; "!A179"), 1, 0), "")</f>
        <v>캐리프로토콜</v>
      </c>
      <c r="H57" s="39">
        <f t="shared" ca="1" si="16"/>
        <v>20.7</v>
      </c>
      <c r="I57" s="77">
        <f t="shared" ca="1" si="17"/>
        <v>0</v>
      </c>
      <c r="J57" s="86">
        <f t="shared" ref="J57:J75" ca="1" si="22">_xlfn.IFNA(VLOOKUP(G57, $B$2:$E$200, 4, FALSE), "")</f>
        <v>791473775.92339337</v>
      </c>
      <c r="K57" s="56" t="str">
        <f ca="1">IFERROR(OFFSET(INDIRECT($H$3 &amp; "!A125"), 1, 0), "")</f>
        <v>쿼크체인</v>
      </c>
      <c r="L57" s="39">
        <f t="shared" ca="1" si="18"/>
        <v>38.1</v>
      </c>
      <c r="M57" s="77">
        <f t="shared" ca="1" si="19"/>
        <v>-3.2994923900000001E-2</v>
      </c>
      <c r="N57" s="86">
        <f t="shared" ref="N57:N75" ca="1" si="23">_xlfn.IFNA(VLOOKUP(K57, $B$2:$E$200, 4, FALSE), "")</f>
        <v>271986966.22693163</v>
      </c>
      <c r="O57" s="56" t="str">
        <f ca="1">IFERROR(OFFSET(INDIRECT($H$3 &amp; "!A152"), 1, 0), "")</f>
        <v>이그니스</v>
      </c>
      <c r="P57" s="39">
        <f t="shared" ca="1" si="20"/>
        <v>176</v>
      </c>
      <c r="Q57" s="77">
        <f t="shared" ca="1" si="21"/>
        <v>1.14942529E-2</v>
      </c>
      <c r="R57" s="86">
        <f t="shared" ref="R57:R75" ca="1" si="24">_xlfn.IFNA(VLOOKUP(O57, $B$2:$E$200, 4, FALSE), "")</f>
        <v>67665378.809349015</v>
      </c>
    </row>
    <row r="58" spans="1:18">
      <c r="A58" s="40" t="s">
        <v>173</v>
      </c>
      <c r="B58" s="11" t="s">
        <v>174</v>
      </c>
      <c r="C58" s="95">
        <v>268</v>
      </c>
      <c r="D58" s="92">
        <v>0</v>
      </c>
      <c r="E58" s="93">
        <v>54514030.969367653</v>
      </c>
      <c r="F58" s="35"/>
      <c r="G58" s="56" t="str">
        <f ca="1">IFERROR(OFFSET(INDIRECT($H$3 &amp; "!A179"), 2, 0), "")</f>
        <v>모스코인</v>
      </c>
      <c r="H58" s="39">
        <f t="shared" ca="1" si="16"/>
        <v>180</v>
      </c>
      <c r="I58" s="77">
        <f t="shared" ca="1" si="17"/>
        <v>-5.5248618999999997E-3</v>
      </c>
      <c r="J58" s="86">
        <f t="shared" ca="1" si="22"/>
        <v>34611411.633057669</v>
      </c>
      <c r="K58" s="56" t="str">
        <f ca="1">IFERROR(OFFSET(INDIRECT($H$3 &amp; "!A125"), 2, 0), "")</f>
        <v>시아코인</v>
      </c>
      <c r="L58" s="39">
        <f t="shared" ca="1" si="18"/>
        <v>51.8</v>
      </c>
      <c r="M58" s="77">
        <f t="shared" ca="1" si="19"/>
        <v>2.5742574300000001E-2</v>
      </c>
      <c r="N58" s="86">
        <f t="shared" ca="1" si="23"/>
        <v>1457309245.1440432</v>
      </c>
      <c r="O58" s="56" t="str">
        <f ca="1">IFERROR(OFFSET(INDIRECT($H$3 &amp; "!A152"), 2, 0), "")</f>
        <v>아인스타이늄</v>
      </c>
      <c r="P58" s="39">
        <f t="shared" ca="1" si="20"/>
        <v>551</v>
      </c>
      <c r="Q58" s="77">
        <f t="shared" ca="1" si="21"/>
        <v>-1.60714286E-2</v>
      </c>
      <c r="R58" s="86">
        <f t="shared" ca="1" si="24"/>
        <v>21979772.078458268</v>
      </c>
    </row>
    <row r="59" spans="1:18">
      <c r="A59" s="40" t="s">
        <v>129</v>
      </c>
      <c r="B59" s="11" t="s">
        <v>130</v>
      </c>
      <c r="C59" s="95">
        <v>433450</v>
      </c>
      <c r="D59" s="92">
        <v>-2.1869245E-3</v>
      </c>
      <c r="E59" s="93">
        <v>581425.25531299005</v>
      </c>
      <c r="F59" s="35"/>
      <c r="G59" s="56" t="str">
        <f ca="1">IFERROR(OFFSET(INDIRECT($H$3 &amp; "!A179"), 3, 0), "")</f>
        <v>무비블록</v>
      </c>
      <c r="H59" s="39">
        <f t="shared" ca="1" si="16"/>
        <v>18.3</v>
      </c>
      <c r="I59" s="77">
        <f t="shared" ca="1" si="17"/>
        <v>-5.4347826000000002E-3</v>
      </c>
      <c r="J59" s="86">
        <f t="shared" ca="1" si="22"/>
        <v>1098696580.3719797</v>
      </c>
      <c r="K59" s="56" t="str">
        <f ca="1">IFERROR(OFFSET(INDIRECT($H$3 &amp; "!A125"), 3, 0), "")</f>
        <v>아이오에스티</v>
      </c>
      <c r="L59" s="39">
        <f t="shared" ca="1" si="18"/>
        <v>83.6</v>
      </c>
      <c r="M59" s="77">
        <f t="shared" ca="1" si="19"/>
        <v>6.36132316E-2</v>
      </c>
      <c r="N59" s="86">
        <f t="shared" ca="1" si="23"/>
        <v>767744242.15995705</v>
      </c>
      <c r="O59" s="56" t="str">
        <f ca="1">IFERROR(OFFSET(INDIRECT($H$3 &amp; "!A152"), 3, 0), "")</f>
        <v>플레이댑</v>
      </c>
      <c r="P59" s="39">
        <f t="shared" ca="1" si="20"/>
        <v>487</v>
      </c>
      <c r="Q59" s="77">
        <f t="shared" ca="1" si="21"/>
        <v>-1.41700405E-2</v>
      </c>
      <c r="R59" s="86">
        <f t="shared" ca="1" si="24"/>
        <v>9854306.2623196691</v>
      </c>
    </row>
    <row r="60" spans="1:18">
      <c r="A60" s="40" t="s">
        <v>48</v>
      </c>
      <c r="B60" s="11" t="s">
        <v>49</v>
      </c>
      <c r="C60" s="95">
        <v>68581000</v>
      </c>
      <c r="D60" s="92">
        <v>-2.7047857000000002E-3</v>
      </c>
      <c r="E60" s="93">
        <v>7131.7005367800002</v>
      </c>
      <c r="F60" s="35"/>
      <c r="G60" s="56" t="str">
        <f ca="1">IFERROR(OFFSET(INDIRECT($H$3 &amp; "!A179"), 4, 0), "")</f>
        <v>하이브</v>
      </c>
      <c r="H60" s="39">
        <f t="shared" ca="1" si="16"/>
        <v>692</v>
      </c>
      <c r="I60" s="77">
        <f t="shared" ca="1" si="17"/>
        <v>-1.2838801699999999E-2</v>
      </c>
      <c r="J60" s="90">
        <f t="shared" ca="1" si="22"/>
        <v>11836631.82633383</v>
      </c>
      <c r="K60" s="58" t="str">
        <f ca="1">IFERROR(OFFSET(INDIRECT($H$3 &amp; "!A125"), 4, 0), "")</f>
        <v>아하토큰</v>
      </c>
      <c r="L60" s="44">
        <f t="shared" ca="1" si="18"/>
        <v>18.600000000000001</v>
      </c>
      <c r="M60" s="78">
        <f t="shared" ca="1" si="19"/>
        <v>1.08695652E-2</v>
      </c>
      <c r="N60" s="90">
        <f t="shared" ca="1" si="23"/>
        <v>320589817.22010851</v>
      </c>
      <c r="O60" s="58" t="str">
        <f ca="1">IFERROR(OFFSET(INDIRECT($H$3 &amp; "!A152"), 4, 0), "")</f>
        <v>마로</v>
      </c>
      <c r="P60" s="44">
        <f t="shared" ca="1" si="20"/>
        <v>479</v>
      </c>
      <c r="Q60" s="78">
        <f t="shared" ca="1" si="21"/>
        <v>-1.03305785E-2</v>
      </c>
      <c r="R60" s="90">
        <f t="shared" ca="1" si="24"/>
        <v>59624556.863812417</v>
      </c>
    </row>
    <row r="61" spans="1:18">
      <c r="A61" s="40" t="s">
        <v>197</v>
      </c>
      <c r="B61" s="11" t="s">
        <v>198</v>
      </c>
      <c r="C61" s="95">
        <v>27.8</v>
      </c>
      <c r="D61" s="92">
        <v>-3.5842294000000001E-3</v>
      </c>
      <c r="E61" s="93">
        <v>909395191.00111961</v>
      </c>
      <c r="F61" s="35"/>
      <c r="G61" s="60" t="str">
        <f ca="1">IFERROR(OFFSET(INDIRECT($H$3 &amp; "!A179"), 5, 0), "")</f>
        <v>솔브케어</v>
      </c>
      <c r="H61" s="45">
        <f t="shared" ca="1" si="16"/>
        <v>287</v>
      </c>
      <c r="I61" s="80">
        <f t="shared" ca="1" si="17"/>
        <v>-6.9204152000000001E-3</v>
      </c>
      <c r="J61" s="99">
        <f t="shared" ca="1" si="22"/>
        <v>15002093.722322879</v>
      </c>
      <c r="K61" s="56" t="str">
        <f ca="1">IFERROR(OFFSET(INDIRECT($H$3 &amp; "!A125"), 5, 0), "")</f>
        <v>스톰엑스</v>
      </c>
      <c r="L61" s="39">
        <f t="shared" ca="1" si="18"/>
        <v>61.8</v>
      </c>
      <c r="M61" s="77">
        <f t="shared" ca="1" si="19"/>
        <v>8.1566069000000001E-3</v>
      </c>
      <c r="N61" s="99">
        <f t="shared" ca="1" si="23"/>
        <v>233290761.88029864</v>
      </c>
      <c r="O61" s="56" t="str">
        <f ca="1">IFERROR(OFFSET(INDIRECT($H$3 &amp; "!A152"), 5, 0), "")</f>
        <v>센티넬프로토콜</v>
      </c>
      <c r="P61" s="39">
        <f t="shared" ca="1" si="20"/>
        <v>175</v>
      </c>
      <c r="Q61" s="77">
        <f t="shared" ca="1" si="21"/>
        <v>3.5502958600000002E-2</v>
      </c>
      <c r="R61" s="99">
        <f t="shared" ca="1" si="24"/>
        <v>45915677.791405492</v>
      </c>
    </row>
    <row r="62" spans="1:18">
      <c r="A62" s="40" t="s">
        <v>175</v>
      </c>
      <c r="B62" s="11" t="s">
        <v>176</v>
      </c>
      <c r="C62" s="95">
        <v>2460</v>
      </c>
      <c r="D62" s="92">
        <v>-4.0485829999999997E-3</v>
      </c>
      <c r="E62" s="93">
        <v>8169447.6992615899</v>
      </c>
      <c r="F62" s="35"/>
      <c r="G62" s="56" t="str">
        <f ca="1">IFERROR(OFFSET(INDIRECT($H$3 &amp; "!A179"), 6, 0), "")</f>
        <v>헌트</v>
      </c>
      <c r="H62" s="39">
        <f t="shared" ca="1" si="16"/>
        <v>387</v>
      </c>
      <c r="I62" s="77">
        <f t="shared" ca="1" si="17"/>
        <v>-7.6923076999999996E-3</v>
      </c>
      <c r="J62" s="86">
        <f t="shared" ca="1" si="22"/>
        <v>15772460.921061561</v>
      </c>
      <c r="K62" s="56" t="str">
        <f ca="1">IFERROR(OFFSET(INDIRECT($H$3 &amp; "!A125"), 6, 0), "")</f>
        <v>썬더토큰</v>
      </c>
      <c r="L62" s="39">
        <f t="shared" ca="1" si="18"/>
        <v>20.5</v>
      </c>
      <c r="M62" s="77">
        <f t="shared" ca="1" si="19"/>
        <v>1.4851485100000001E-2</v>
      </c>
      <c r="N62" s="86">
        <f t="shared" ca="1" si="23"/>
        <v>506028501.55439883</v>
      </c>
      <c r="O62" s="56" t="str">
        <f ca="1">IFERROR(OFFSET(INDIRECT($H$3 &amp; "!A152"), 6, 0), "")</f>
        <v>디카르고</v>
      </c>
      <c r="P62" s="39">
        <f t="shared" ca="1" si="20"/>
        <v>251</v>
      </c>
      <c r="Q62" s="77">
        <f t="shared" ca="1" si="21"/>
        <v>4.0000000000000001E-3</v>
      </c>
      <c r="R62" s="86">
        <f t="shared" ca="1" si="24"/>
        <v>81159124.033119515</v>
      </c>
    </row>
    <row r="63" spans="1:18">
      <c r="A63" s="40" t="s">
        <v>179</v>
      </c>
      <c r="B63" s="11" t="s">
        <v>180</v>
      </c>
      <c r="C63" s="95">
        <v>4685</v>
      </c>
      <c r="D63" s="92">
        <v>-4.2507969999999997E-3</v>
      </c>
      <c r="E63" s="93">
        <v>7046559.5349542098</v>
      </c>
      <c r="F63" s="35"/>
      <c r="G63" s="56" t="str">
        <f ca="1">IFERROR(OFFSET(INDIRECT($H$3 &amp; "!A179"), 7, 0), "")</f>
        <v>람다</v>
      </c>
      <c r="H63" s="39">
        <f t="shared" ca="1" si="16"/>
        <v>93.1</v>
      </c>
      <c r="I63" s="77">
        <f t="shared" ca="1" si="17"/>
        <v>-1.6895459299999999E-2</v>
      </c>
      <c r="J63" s="86">
        <f t="shared" ca="1" si="22"/>
        <v>109460538.15529662</v>
      </c>
      <c r="K63" s="56" t="str">
        <f ca="1">IFERROR(OFFSET(INDIRECT($H$3 &amp; "!A125"), 7, 0), "")</f>
        <v>에브리피디아</v>
      </c>
      <c r="L63" s="39">
        <f t="shared" ca="1" si="18"/>
        <v>25.4</v>
      </c>
      <c r="M63" s="77">
        <f t="shared" ca="1" si="19"/>
        <v>1.19521912E-2</v>
      </c>
      <c r="N63" s="86">
        <f t="shared" ca="1" si="23"/>
        <v>361601384.8253594</v>
      </c>
      <c r="O63" s="56" t="str">
        <f ca="1">IFERROR(OFFSET(INDIRECT($H$3 &amp; "!A152"), 7, 0), "")</f>
        <v>아르고</v>
      </c>
      <c r="P63" s="39">
        <f t="shared" ca="1" si="20"/>
        <v>359</v>
      </c>
      <c r="Q63" s="77">
        <f t="shared" ca="1" si="21"/>
        <v>-2.4456521700000001E-2</v>
      </c>
      <c r="R63" s="86">
        <f t="shared" ca="1" si="24"/>
        <v>38300933.801096059</v>
      </c>
    </row>
    <row r="64" spans="1:18">
      <c r="A64" s="40" t="s">
        <v>227</v>
      </c>
      <c r="B64" s="11" t="s">
        <v>228</v>
      </c>
      <c r="C64" s="95">
        <v>18.3</v>
      </c>
      <c r="D64" s="92">
        <v>-5.4347826000000002E-3</v>
      </c>
      <c r="E64" s="93">
        <v>1098696580.3719797</v>
      </c>
      <c r="F64" s="35"/>
      <c r="G64" s="56" t="str">
        <f ca="1">IFERROR(OFFSET(INDIRECT($H$3 &amp; "!A179"), 8, 0), "")</f>
        <v>퀴즈톡</v>
      </c>
      <c r="H64" s="39">
        <f t="shared" ca="1" si="16"/>
        <v>83</v>
      </c>
      <c r="I64" s="77">
        <f t="shared" ca="1" si="17"/>
        <v>-2.0070838300000001E-2</v>
      </c>
      <c r="J64" s="86">
        <f t="shared" ca="1" si="22"/>
        <v>77858444.622968361</v>
      </c>
      <c r="K64" s="56" t="str">
        <f ca="1">IFERROR(OFFSET(INDIRECT($H$3 &amp; "!A125"), 8, 0), "")</f>
        <v>엔도르</v>
      </c>
      <c r="L64" s="39">
        <f t="shared" ca="1" si="18"/>
        <v>68.3</v>
      </c>
      <c r="M64" s="77">
        <f t="shared" ca="1" si="19"/>
        <v>8.8626291999999995E-3</v>
      </c>
      <c r="N64" s="86">
        <f t="shared" ca="1" si="23"/>
        <v>217441343.33502841</v>
      </c>
      <c r="O64" s="56" t="str">
        <f ca="1">IFERROR(OFFSET(INDIRECT($H$3 &amp; "!A152"), 8, 0), "")</f>
        <v>보라</v>
      </c>
      <c r="P64" s="39">
        <f t="shared" ca="1" si="20"/>
        <v>268</v>
      </c>
      <c r="Q64" s="77">
        <f t="shared" ca="1" si="21"/>
        <v>0</v>
      </c>
      <c r="R64" s="86">
        <f t="shared" ca="1" si="24"/>
        <v>54514030.969367653</v>
      </c>
    </row>
    <row r="65" spans="1:18" ht="17.25" thickBot="1">
      <c r="A65" s="40" t="s">
        <v>239</v>
      </c>
      <c r="B65" s="11" t="s">
        <v>240</v>
      </c>
      <c r="C65" s="95">
        <v>180</v>
      </c>
      <c r="D65" s="92">
        <v>-5.5248618999999997E-3</v>
      </c>
      <c r="E65" s="93">
        <v>34611411.633057669</v>
      </c>
      <c r="F65" s="35"/>
      <c r="G65" s="57" t="str">
        <f ca="1">IFERROR(OFFSET(INDIRECT($H$3 &amp; "!A179"), 9, 0), "")</f>
        <v>스트라이크</v>
      </c>
      <c r="H65" s="37">
        <f t="shared" ca="1" si="16"/>
        <v>70370</v>
      </c>
      <c r="I65" s="79">
        <f t="shared" ca="1" si="17"/>
        <v>-2.9379310299999999E-2</v>
      </c>
      <c r="J65" s="87">
        <f t="shared" ca="1" si="22"/>
        <v>299862.55252128001</v>
      </c>
      <c r="K65" s="57" t="str">
        <f ca="1">IFERROR(OFFSET(INDIRECT($H$3 &amp; "!A125"), 9, 0), "")</f>
        <v>엠블</v>
      </c>
      <c r="L65" s="37">
        <f t="shared" ca="1" si="18"/>
        <v>27.8</v>
      </c>
      <c r="M65" s="79">
        <f t="shared" ca="1" si="19"/>
        <v>-3.5842294000000001E-3</v>
      </c>
      <c r="N65" s="87">
        <f t="shared" ca="1" si="23"/>
        <v>909395191.00111961</v>
      </c>
      <c r="O65" s="57" t="str">
        <f ca="1">IFERROR(OFFSET(INDIRECT($H$3 &amp; "!A152"), 9, 0), "")</f>
        <v>왁스</v>
      </c>
      <c r="P65" s="37">
        <f t="shared" ca="1" si="20"/>
        <v>257</v>
      </c>
      <c r="Q65" s="79">
        <f t="shared" ca="1" si="21"/>
        <v>-2.2813688200000001E-2</v>
      </c>
      <c r="R65" s="87">
        <f t="shared" ca="1" si="24"/>
        <v>16695610.41694078</v>
      </c>
    </row>
    <row r="66" spans="1:18">
      <c r="A66" s="40" t="s">
        <v>68</v>
      </c>
      <c r="B66" s="11" t="s">
        <v>69</v>
      </c>
      <c r="C66" s="95">
        <v>12580</v>
      </c>
      <c r="D66" s="92">
        <v>-6.3191152999999998E-3</v>
      </c>
      <c r="E66" s="93">
        <v>2276205.1904507</v>
      </c>
      <c r="F66" s="35"/>
      <c r="G66" s="56" t="str">
        <f ca="1">IFERROR(OFFSET(INDIRECT($H$3 &amp; "!A179"), 10, 0), "")</f>
        <v>메인프레임</v>
      </c>
      <c r="H66" s="38">
        <f t="shared" ref="H66:H75" ca="1" si="25">_xlfn.IFNA(VLOOKUP(G66, $B$2:$D$200, 2, FALSE), "")</f>
        <v>20.399999999999999</v>
      </c>
      <c r="I66" s="76">
        <f t="shared" ref="I66:I75" ca="1" si="26">_xlfn.IFNA(VLOOKUP(G66, $B$2:$D$200, 3, FALSE), "")</f>
        <v>-2.3923445000000002E-2</v>
      </c>
      <c r="J66" s="85">
        <f t="shared" ca="1" si="22"/>
        <v>382752173.88753343</v>
      </c>
      <c r="K66" s="55" t="str">
        <f ca="1">IFERROR(OFFSET(INDIRECT($H$3 &amp; "!A125"), 10, 0), "")</f>
        <v>트웰브쉽스</v>
      </c>
      <c r="L66" s="38">
        <f t="shared" ca="1" si="18"/>
        <v>24.3</v>
      </c>
      <c r="M66" s="76">
        <f t="shared" ca="1" si="19"/>
        <v>-1.2195121999999999E-2</v>
      </c>
      <c r="N66" s="85">
        <f t="shared" ca="1" si="23"/>
        <v>259017068.01787764</v>
      </c>
      <c r="O66" s="55" t="str">
        <f ca="1">IFERROR(OFFSET(INDIRECT($H$3 &amp; "!A152"), 10, 0), "")</f>
        <v>피르마체인</v>
      </c>
      <c r="P66" s="38">
        <f t="shared" ca="1" si="20"/>
        <v>186</v>
      </c>
      <c r="Q66" s="76">
        <f t="shared" ca="1" si="21"/>
        <v>-1.5873015899999999E-2</v>
      </c>
      <c r="R66" s="85">
        <f t="shared" ca="1" si="24"/>
        <v>36404384.689264372</v>
      </c>
    </row>
    <row r="67" spans="1:18">
      <c r="A67" s="40" t="s">
        <v>237</v>
      </c>
      <c r="B67" s="11" t="s">
        <v>238</v>
      </c>
      <c r="C67" s="95">
        <v>287</v>
      </c>
      <c r="D67" s="92">
        <v>-6.9204152000000001E-3</v>
      </c>
      <c r="E67" s="93">
        <v>15002093.722322879</v>
      </c>
      <c r="F67" s="35"/>
      <c r="G67" s="56" t="str">
        <f ca="1">IFERROR(OFFSET(INDIRECT($H$3 &amp; "!A179"), 11, 0), "")</f>
        <v>휴먼스케이프</v>
      </c>
      <c r="H67" s="39">
        <f t="shared" ca="1" si="25"/>
        <v>170</v>
      </c>
      <c r="I67" s="77">
        <f t="shared" ca="1" si="26"/>
        <v>-1.1627907E-2</v>
      </c>
      <c r="J67" s="86">
        <f t="shared" ca="1" si="22"/>
        <v>64792718.970347747</v>
      </c>
      <c r="K67" s="56" t="str">
        <f ca="1">IFERROR(OFFSET(INDIRECT($H$3 &amp; "!A125"), 11, 0), "")</f>
        <v>리퍼리움</v>
      </c>
      <c r="L67" s="39">
        <f t="shared" ca="1" si="18"/>
        <v>21.7</v>
      </c>
      <c r="M67" s="77">
        <f t="shared" ca="1" si="19"/>
        <v>-9.1324201000000001E-3</v>
      </c>
      <c r="N67" s="86">
        <f t="shared" ca="1" si="23"/>
        <v>444343690.90506679</v>
      </c>
      <c r="O67" s="56" t="str">
        <f ca="1">IFERROR(OFFSET(INDIRECT($H$3 &amp; "!A152"), 11, 0), "")</f>
        <v>메타디움</v>
      </c>
      <c r="P67" s="39">
        <f t="shared" ca="1" si="20"/>
        <v>204</v>
      </c>
      <c r="Q67" s="77">
        <f t="shared" ca="1" si="21"/>
        <v>-2.85714286E-2</v>
      </c>
      <c r="R67" s="86">
        <f t="shared" ca="1" si="24"/>
        <v>155443541.3199158</v>
      </c>
    </row>
    <row r="68" spans="1:18">
      <c r="A68" s="40" t="s">
        <v>66</v>
      </c>
      <c r="B68" s="11" t="s">
        <v>67</v>
      </c>
      <c r="C68" s="95">
        <v>8425</v>
      </c>
      <c r="D68" s="92">
        <v>-7.6560660000000004E-3</v>
      </c>
      <c r="E68" s="93">
        <v>4999585.02500547</v>
      </c>
      <c r="F68" s="35"/>
      <c r="G68" s="56" t="str">
        <f ca="1">IFERROR(OFFSET(INDIRECT($H$3 &amp; "!A179"), 12, 0), "")</f>
        <v>디마켓</v>
      </c>
      <c r="H68" s="39">
        <f t="shared" ca="1" si="25"/>
        <v>1325</v>
      </c>
      <c r="I68" s="77">
        <f t="shared" ca="1" si="26"/>
        <v>-3.2846715300000003E-2</v>
      </c>
      <c r="J68" s="86">
        <f t="shared" ca="1" si="22"/>
        <v>5359093.09861858</v>
      </c>
      <c r="K68" s="56" t="str">
        <f ca="1">IFERROR(OFFSET(INDIRECT($H$3 &amp; "!A125"), 12, 0), "")</f>
        <v>옵저버</v>
      </c>
      <c r="L68" s="39">
        <f t="shared" ca="1" si="18"/>
        <v>28.2</v>
      </c>
      <c r="M68" s="77">
        <f t="shared" ca="1" si="19"/>
        <v>1.0752688200000001E-2</v>
      </c>
      <c r="N68" s="86">
        <f t="shared" ca="1" si="23"/>
        <v>444632648.23089367</v>
      </c>
      <c r="O68" s="56" t="str">
        <f ca="1">IFERROR(OFFSET(INDIRECT($H$3 &amp; "!A152"), 12, 0), "")</f>
        <v>샌드박스</v>
      </c>
      <c r="P68" s="39">
        <f t="shared" ca="1" si="20"/>
        <v>675</v>
      </c>
      <c r="Q68" s="77">
        <f t="shared" ca="1" si="21"/>
        <v>-1.7467248899999999E-2</v>
      </c>
      <c r="R68" s="86">
        <f t="shared" ca="1" si="24"/>
        <v>18740142.365741421</v>
      </c>
    </row>
    <row r="69" spans="1:18">
      <c r="A69" s="40" t="s">
        <v>245</v>
      </c>
      <c r="B69" s="11" t="s">
        <v>246</v>
      </c>
      <c r="C69" s="95">
        <v>387</v>
      </c>
      <c r="D69" s="92">
        <v>-7.6923076999999996E-3</v>
      </c>
      <c r="E69" s="93">
        <v>15772460.921061561</v>
      </c>
      <c r="F69" s="35"/>
      <c r="G69" s="56" t="str">
        <f ca="1">IFERROR(OFFSET(INDIRECT($H$3 &amp; "!A179"), 13, 0), "")</f>
        <v>톤</v>
      </c>
      <c r="H69" s="39">
        <f t="shared" ca="1" si="25"/>
        <v>13930</v>
      </c>
      <c r="I69" s="77">
        <f t="shared" ca="1" si="26"/>
        <v>-1.6242937900000001E-2</v>
      </c>
      <c r="J69" s="86">
        <f t="shared" ca="1" si="22"/>
        <v>1622036.2269830001</v>
      </c>
      <c r="K69" s="56" t="str">
        <f ca="1">IFERROR(OFFSET(INDIRECT($H$3 &amp; "!A125"), 13, 0), "")</f>
        <v>캐리프로토콜</v>
      </c>
      <c r="L69" s="39">
        <f t="shared" ca="1" si="18"/>
        <v>20.7</v>
      </c>
      <c r="M69" s="77">
        <f t="shared" ca="1" si="19"/>
        <v>0</v>
      </c>
      <c r="N69" s="86">
        <f t="shared" ca="1" si="23"/>
        <v>791473775.92339337</v>
      </c>
      <c r="O69" s="56" t="str">
        <f ca="1">IFERROR(OFFSET(INDIRECT($H$3 &amp; "!A152"), 13, 0), "")</f>
        <v>엘비알와이크레딧</v>
      </c>
      <c r="P69" s="39">
        <f t="shared" ca="1" si="20"/>
        <v>209</v>
      </c>
      <c r="Q69" s="77">
        <f t="shared" ca="1" si="21"/>
        <v>-2.3364486E-2</v>
      </c>
      <c r="R69" s="86">
        <f t="shared" ca="1" si="24"/>
        <v>25093323.462620419</v>
      </c>
    </row>
    <row r="70" spans="1:18">
      <c r="A70" s="40" t="s">
        <v>121</v>
      </c>
      <c r="B70" s="11" t="s">
        <v>122</v>
      </c>
      <c r="C70" s="95">
        <v>114</v>
      </c>
      <c r="D70" s="92">
        <v>-8.6956522000000008E-3</v>
      </c>
      <c r="E70" s="93">
        <v>99557512.558454975</v>
      </c>
      <c r="F70" s="35"/>
      <c r="G70" s="56" t="str">
        <f ca="1">IFERROR(OFFSET(INDIRECT($H$3 &amp; "!A179"), 14, 0), "")</f>
        <v>코박토큰</v>
      </c>
      <c r="H70" s="39">
        <f t="shared" ca="1" si="25"/>
        <v>8425</v>
      </c>
      <c r="I70" s="77">
        <f t="shared" ca="1" si="26"/>
        <v>-7.6560660000000004E-3</v>
      </c>
      <c r="J70" s="90">
        <f t="shared" ca="1" si="22"/>
        <v>4999585.02500547</v>
      </c>
      <c r="K70" s="58" t="str">
        <f ca="1">IFERROR(OFFSET(INDIRECT($H$3 &amp; "!A125"), 14, 0), "")</f>
        <v>무비블록</v>
      </c>
      <c r="L70" s="44">
        <f t="shared" ca="1" si="18"/>
        <v>18.3</v>
      </c>
      <c r="M70" s="78">
        <f t="shared" ca="1" si="19"/>
        <v>-5.4347826000000002E-3</v>
      </c>
      <c r="N70" s="90">
        <f t="shared" ca="1" si="23"/>
        <v>1098696580.3719797</v>
      </c>
      <c r="O70" s="58" t="str">
        <f ca="1">IFERROR(OFFSET(INDIRECT($H$3 &amp; "!A152"), 14, 0), "")</f>
        <v>모스코인</v>
      </c>
      <c r="P70" s="44">
        <f t="shared" ca="1" si="20"/>
        <v>180</v>
      </c>
      <c r="Q70" s="78">
        <f t="shared" ca="1" si="21"/>
        <v>-5.5248618999999997E-3</v>
      </c>
      <c r="R70" s="90">
        <f t="shared" ca="1" si="24"/>
        <v>34611411.633057669</v>
      </c>
    </row>
    <row r="71" spans="1:18">
      <c r="A71" s="40" t="s">
        <v>213</v>
      </c>
      <c r="B71" s="11" t="s">
        <v>214</v>
      </c>
      <c r="C71" s="95">
        <v>21.7</v>
      </c>
      <c r="D71" s="92">
        <v>-9.1324201000000001E-3</v>
      </c>
      <c r="E71" s="93">
        <v>444343690.90506679</v>
      </c>
      <c r="F71" s="35"/>
      <c r="G71" s="60" t="str">
        <f ca="1">IFERROR(OFFSET(INDIRECT($H$3 &amp; "!A179"), 15, 0), "")</f>
        <v>에스티피</v>
      </c>
      <c r="H71" s="45">
        <f t="shared" ca="1" si="25"/>
        <v>94.3</v>
      </c>
      <c r="I71" s="80">
        <f t="shared" ca="1" si="26"/>
        <v>-2.1784232399999999E-2</v>
      </c>
      <c r="J71" s="99">
        <f t="shared" ca="1" si="22"/>
        <v>171084508.65534073</v>
      </c>
      <c r="K71" s="56" t="str">
        <f ca="1">IFERROR(OFFSET(INDIRECT($H$3 &amp; "!A125"), 15, 0), "")</f>
        <v>람다</v>
      </c>
      <c r="L71" s="39">
        <f t="shared" ca="1" si="18"/>
        <v>93.1</v>
      </c>
      <c r="M71" s="77">
        <f t="shared" ca="1" si="19"/>
        <v>-1.6895459299999999E-2</v>
      </c>
      <c r="N71" s="99">
        <f t="shared" ca="1" si="23"/>
        <v>109460538.15529662</v>
      </c>
      <c r="O71" s="56" t="str">
        <f ca="1">IFERROR(OFFSET(INDIRECT($H$3 &amp; "!A152"), 15, 0), "")</f>
        <v>하이브</v>
      </c>
      <c r="P71" s="39">
        <f t="shared" ca="1" si="20"/>
        <v>692</v>
      </c>
      <c r="Q71" s="77">
        <f t="shared" ca="1" si="21"/>
        <v>-1.2838801699999999E-2</v>
      </c>
      <c r="R71" s="99">
        <f t="shared" ca="1" si="24"/>
        <v>11836631.82633383</v>
      </c>
    </row>
    <row r="72" spans="1:18">
      <c r="A72" s="40" t="s">
        <v>73</v>
      </c>
      <c r="B72" s="11" t="s">
        <v>74</v>
      </c>
      <c r="C72" s="95">
        <v>30920</v>
      </c>
      <c r="D72" s="92">
        <v>-9.2918936000000001E-3</v>
      </c>
      <c r="E72" s="93">
        <v>838422.34432717005</v>
      </c>
      <c r="F72" s="35"/>
      <c r="G72" s="56" t="str">
        <f ca="1">IFERROR(OFFSET(INDIRECT($H$3 &amp; "!A179"), 16, 0), "")</f>
        <v>도지코인</v>
      </c>
      <c r="H72" s="39">
        <f t="shared" ca="1" si="25"/>
        <v>722</v>
      </c>
      <c r="I72" s="77">
        <f t="shared" ca="1" si="26"/>
        <v>1.9774011300000002E-2</v>
      </c>
      <c r="J72" s="86">
        <f t="shared" ca="1" si="22"/>
        <v>6164168658.0053062</v>
      </c>
      <c r="K72" s="56" t="str">
        <f ca="1">IFERROR(OFFSET(INDIRECT($H$3 &amp; "!A125"), 16, 0), "")</f>
        <v>퀴즈톡</v>
      </c>
      <c r="L72" s="39">
        <f t="shared" ca="1" si="18"/>
        <v>83</v>
      </c>
      <c r="M72" s="77">
        <f t="shared" ca="1" si="19"/>
        <v>-2.0070838300000001E-2</v>
      </c>
      <c r="N72" s="86">
        <f t="shared" ca="1" si="23"/>
        <v>77858444.622968361</v>
      </c>
      <c r="O72" s="56" t="str">
        <f ca="1">IFERROR(OFFSET(INDIRECT($H$3 &amp; "!A152"), 16, 0), "")</f>
        <v>솔브케어</v>
      </c>
      <c r="P72" s="39">
        <f t="shared" ca="1" si="20"/>
        <v>287</v>
      </c>
      <c r="Q72" s="77">
        <f t="shared" ca="1" si="21"/>
        <v>-6.9204152000000001E-3</v>
      </c>
      <c r="R72" s="86">
        <f t="shared" ca="1" si="24"/>
        <v>15002093.722322879</v>
      </c>
    </row>
    <row r="73" spans="1:18">
      <c r="A73" s="40" t="s">
        <v>75</v>
      </c>
      <c r="B73" s="11" t="s">
        <v>76</v>
      </c>
      <c r="C73" s="95">
        <v>57220</v>
      </c>
      <c r="D73" s="92">
        <v>-1.00346021E-2</v>
      </c>
      <c r="E73" s="93">
        <v>2396473.26725954</v>
      </c>
      <c r="F73" s="35"/>
      <c r="G73" s="56" t="str">
        <f ca="1">IFERROR(OFFSET(INDIRECT($H$3 &amp; "!A179"), 17, 0), "")</f>
        <v>플로우</v>
      </c>
      <c r="H73" s="39">
        <f t="shared" ca="1" si="25"/>
        <v>36330</v>
      </c>
      <c r="I73" s="77">
        <f t="shared" ca="1" si="26"/>
        <v>-2.7569593100000001E-2</v>
      </c>
      <c r="J73" s="86">
        <f t="shared" ca="1" si="22"/>
        <v>963937.61261800001</v>
      </c>
      <c r="K73" s="56" t="str">
        <f ca="1">IFERROR(OFFSET(INDIRECT($H$3 &amp; "!A125"), 17, 0), "")</f>
        <v>메인프레임</v>
      </c>
      <c r="L73" s="39">
        <f t="shared" ca="1" si="18"/>
        <v>20.399999999999999</v>
      </c>
      <c r="M73" s="77">
        <f t="shared" ca="1" si="19"/>
        <v>-2.3923445000000002E-2</v>
      </c>
      <c r="N73" s="86">
        <f t="shared" ca="1" si="23"/>
        <v>382752173.88753343</v>
      </c>
      <c r="O73" s="56" t="str">
        <f ca="1">IFERROR(OFFSET(INDIRECT($H$3 &amp; "!A152"), 17, 0), "")</f>
        <v>헌트</v>
      </c>
      <c r="P73" s="39">
        <f t="shared" ca="1" si="20"/>
        <v>387</v>
      </c>
      <c r="Q73" s="77">
        <f t="shared" ca="1" si="21"/>
        <v>-7.6923076999999996E-3</v>
      </c>
      <c r="R73" s="86">
        <f t="shared" ca="1" si="24"/>
        <v>15772460.921061561</v>
      </c>
    </row>
    <row r="74" spans="1:18">
      <c r="A74" s="40" t="s">
        <v>207</v>
      </c>
      <c r="B74" s="11" t="s">
        <v>208</v>
      </c>
      <c r="C74" s="95">
        <v>479</v>
      </c>
      <c r="D74" s="92">
        <v>-1.03305785E-2</v>
      </c>
      <c r="E74" s="93">
        <v>59624556.863812417</v>
      </c>
      <c r="F74" s="35"/>
      <c r="G74" s="56" t="str">
        <f ca="1">IFERROR(OFFSET(INDIRECT($H$3 &amp; "!A179"), 18, 0), "")</f>
        <v>비트코인캐시</v>
      </c>
      <c r="H74" s="39">
        <f t="shared" ca="1" si="25"/>
        <v>1739500</v>
      </c>
      <c r="I74" s="77">
        <f t="shared" ca="1" si="26"/>
        <v>-6.0491493399999999E-2</v>
      </c>
      <c r="J74" s="86">
        <f t="shared" ca="1" si="22"/>
        <v>384784.90131506999</v>
      </c>
      <c r="K74" s="56" t="str">
        <f ca="1">IFERROR(OFFSET(INDIRECT($H$3 &amp; "!A125"), 18, 0), "")</f>
        <v>에스티피</v>
      </c>
      <c r="L74" s="39">
        <f t="shared" ca="1" si="18"/>
        <v>94.3</v>
      </c>
      <c r="M74" s="77">
        <f t="shared" ca="1" si="19"/>
        <v>-2.1784232399999999E-2</v>
      </c>
      <c r="N74" s="86">
        <f t="shared" ca="1" si="23"/>
        <v>171084508.65534073</v>
      </c>
      <c r="O74" s="56" t="str">
        <f ca="1">IFERROR(OFFSET(INDIRECT($H$3 &amp; "!A152"), 18, 0), "")</f>
        <v>휴먼스케이프</v>
      </c>
      <c r="P74" s="39">
        <f t="shared" ca="1" si="20"/>
        <v>170</v>
      </c>
      <c r="Q74" s="77">
        <f t="shared" ca="1" si="21"/>
        <v>-1.1627907E-2</v>
      </c>
      <c r="R74" s="86">
        <f t="shared" ca="1" si="24"/>
        <v>64792718.970347747</v>
      </c>
    </row>
    <row r="75" spans="1:18" ht="17.25" thickBot="1">
      <c r="A75" s="40" t="s">
        <v>229</v>
      </c>
      <c r="B75" s="11" t="s">
        <v>230</v>
      </c>
      <c r="C75" s="95">
        <v>170</v>
      </c>
      <c r="D75" s="92">
        <v>-1.1627907E-2</v>
      </c>
      <c r="E75" s="93">
        <v>64792718.970347747</v>
      </c>
      <c r="F75" s="35"/>
      <c r="G75" s="57" t="str">
        <f ca="1">IFERROR(OFFSET(INDIRECT($H$3 &amp; "!A179"), 19, 0), "")</f>
        <v>던프로토콜</v>
      </c>
      <c r="H75" s="37">
        <f t="shared" ca="1" si="25"/>
        <v>8400</v>
      </c>
      <c r="I75" s="79">
        <f t="shared" ca="1" si="26"/>
        <v>2.9850746000000001E-3</v>
      </c>
      <c r="J75" s="87">
        <f t="shared" ca="1" si="22"/>
        <v>35285737.654139191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도지코인</v>
      </c>
      <c r="P75" s="37">
        <f t="shared" ca="1" si="20"/>
        <v>722</v>
      </c>
      <c r="Q75" s="79">
        <f t="shared" ca="1" si="21"/>
        <v>1.9774011300000002E-2</v>
      </c>
      <c r="R75" s="87">
        <f t="shared" ca="1" si="24"/>
        <v>6164168658.0053062</v>
      </c>
    </row>
    <row r="76" spans="1:18">
      <c r="A76" s="40" t="s">
        <v>171</v>
      </c>
      <c r="B76" s="11" t="s">
        <v>172</v>
      </c>
      <c r="C76" s="95">
        <v>24.3</v>
      </c>
      <c r="D76" s="92">
        <v>-1.2195121999999999E-2</v>
      </c>
      <c r="E76" s="93">
        <v>259017068.01787764</v>
      </c>
      <c r="F76" s="35"/>
      <c r="G76" s="35"/>
      <c r="H76" s="35"/>
      <c r="I76" s="35"/>
    </row>
    <row r="77" spans="1:18">
      <c r="A77" s="40" t="s">
        <v>257</v>
      </c>
      <c r="B77" s="11" t="s">
        <v>258</v>
      </c>
      <c r="C77" s="95">
        <v>692</v>
      </c>
      <c r="D77" s="92">
        <v>-1.2838801699999999E-2</v>
      </c>
      <c r="E77" s="93">
        <v>11836631.82633383</v>
      </c>
      <c r="F77" s="35"/>
      <c r="G77" s="35"/>
      <c r="H77" s="35"/>
      <c r="I77" s="35"/>
    </row>
    <row r="78" spans="1:18">
      <c r="A78" s="40" t="s">
        <v>89</v>
      </c>
      <c r="B78" s="11" t="s">
        <v>90</v>
      </c>
      <c r="C78" s="95">
        <v>506300</v>
      </c>
      <c r="D78" s="92">
        <v>-1.3060428799999999E-2</v>
      </c>
      <c r="E78" s="93">
        <v>71886.902358050007</v>
      </c>
      <c r="F78" s="35"/>
      <c r="G78" s="35"/>
      <c r="H78" s="35"/>
      <c r="I78" s="35"/>
    </row>
    <row r="79" spans="1:18">
      <c r="A79" s="40" t="s">
        <v>279</v>
      </c>
      <c r="B79" s="11" t="s">
        <v>280</v>
      </c>
      <c r="C79" s="95">
        <v>1750</v>
      </c>
      <c r="D79" s="92">
        <v>-1.4084507E-2</v>
      </c>
      <c r="E79" s="93">
        <v>11048944.372329669</v>
      </c>
      <c r="F79" s="35"/>
      <c r="G79" s="35"/>
      <c r="H79" s="35"/>
      <c r="I79" s="35"/>
    </row>
    <row r="80" spans="1:18">
      <c r="A80" s="40" t="s">
        <v>225</v>
      </c>
      <c r="B80" s="11" t="s">
        <v>226</v>
      </c>
      <c r="C80" s="95">
        <v>487</v>
      </c>
      <c r="D80" s="92">
        <v>-1.41700405E-2</v>
      </c>
      <c r="E80" s="93">
        <v>9854306.2623196691</v>
      </c>
      <c r="F80" s="35"/>
      <c r="G80" s="35"/>
      <c r="H80" s="35"/>
      <c r="I80" s="35"/>
    </row>
    <row r="81" spans="1:9">
      <c r="A81" s="40" t="s">
        <v>149</v>
      </c>
      <c r="B81" s="11" t="s">
        <v>150</v>
      </c>
      <c r="C81" s="95">
        <v>5895</v>
      </c>
      <c r="D81" s="92">
        <v>-1.42140468E-2</v>
      </c>
      <c r="E81" s="93">
        <v>5633255.2627274599</v>
      </c>
      <c r="F81" s="35"/>
      <c r="G81" s="35"/>
      <c r="H81" s="35"/>
      <c r="I81" s="35"/>
    </row>
    <row r="82" spans="1:9">
      <c r="A82" s="40" t="s">
        <v>191</v>
      </c>
      <c r="B82" s="11" t="s">
        <v>192</v>
      </c>
      <c r="C82" s="95">
        <v>1320</v>
      </c>
      <c r="D82" s="92">
        <v>-1.49253731E-2</v>
      </c>
      <c r="E82" s="93">
        <v>19867506.46694554</v>
      </c>
      <c r="F82" s="35"/>
      <c r="G82" s="35"/>
      <c r="H82" s="35"/>
      <c r="I82" s="35"/>
    </row>
    <row r="83" spans="1:9">
      <c r="A83" s="40" t="s">
        <v>85</v>
      </c>
      <c r="B83" s="11" t="s">
        <v>86</v>
      </c>
      <c r="C83" s="95">
        <v>13830</v>
      </c>
      <c r="D83" s="92">
        <v>-1.5658363000000002E-2</v>
      </c>
      <c r="E83" s="93">
        <v>98196491.532424316</v>
      </c>
      <c r="F83" s="35"/>
      <c r="G83" s="35"/>
      <c r="H83" s="35"/>
      <c r="I83" s="35"/>
    </row>
    <row r="84" spans="1:9">
      <c r="A84" s="40" t="s">
        <v>209</v>
      </c>
      <c r="B84" s="11" t="s">
        <v>210</v>
      </c>
      <c r="C84" s="95">
        <v>186</v>
      </c>
      <c r="D84" s="92">
        <v>-1.5873015899999999E-2</v>
      </c>
      <c r="E84" s="93">
        <v>36404384.689264372</v>
      </c>
      <c r="F84" s="35"/>
      <c r="G84" s="35"/>
      <c r="H84" s="35"/>
      <c r="I84" s="35"/>
    </row>
    <row r="85" spans="1:9">
      <c r="A85" s="40" t="s">
        <v>251</v>
      </c>
      <c r="B85" s="11" t="s">
        <v>252</v>
      </c>
      <c r="C85" s="95">
        <v>551</v>
      </c>
      <c r="D85" s="92">
        <v>-1.60714286E-2</v>
      </c>
      <c r="E85" s="93">
        <v>21979772.078458268</v>
      </c>
      <c r="F85" s="35"/>
      <c r="G85" s="35"/>
      <c r="H85" s="35"/>
      <c r="I85" s="35"/>
    </row>
    <row r="86" spans="1:9">
      <c r="A86" s="40" t="s">
        <v>193</v>
      </c>
      <c r="B86" s="11" t="s">
        <v>194</v>
      </c>
      <c r="C86" s="95">
        <v>13930</v>
      </c>
      <c r="D86" s="92">
        <v>-1.6242937900000001E-2</v>
      </c>
      <c r="E86" s="93">
        <v>1622036.2269830001</v>
      </c>
      <c r="F86" s="35"/>
      <c r="G86" s="35"/>
      <c r="H86" s="35"/>
      <c r="I86" s="35"/>
    </row>
    <row r="87" spans="1:9">
      <c r="A87" s="40" t="s">
        <v>259</v>
      </c>
      <c r="B87" s="11" t="s">
        <v>260</v>
      </c>
      <c r="C87" s="95">
        <v>118</v>
      </c>
      <c r="D87" s="92">
        <v>-1.6666666699999999E-2</v>
      </c>
      <c r="E87" s="93">
        <v>197108626.10505113</v>
      </c>
      <c r="F87" s="35"/>
      <c r="G87" s="35"/>
      <c r="H87" s="35"/>
      <c r="I87" s="35"/>
    </row>
    <row r="88" spans="1:9">
      <c r="A88" s="40" t="s">
        <v>267</v>
      </c>
      <c r="B88" s="11" t="s">
        <v>268</v>
      </c>
      <c r="C88" s="95">
        <v>93.1</v>
      </c>
      <c r="D88" s="92">
        <v>-1.6895459299999999E-2</v>
      </c>
      <c r="E88" s="93">
        <v>109460538.15529662</v>
      </c>
      <c r="F88" s="35"/>
      <c r="G88" s="35"/>
      <c r="H88" s="35"/>
      <c r="I88" s="35"/>
    </row>
    <row r="89" spans="1:9">
      <c r="A89" s="40" t="s">
        <v>115</v>
      </c>
      <c r="B89" s="11" t="s">
        <v>116</v>
      </c>
      <c r="C89" s="95">
        <v>675</v>
      </c>
      <c r="D89" s="92">
        <v>-1.7467248899999999E-2</v>
      </c>
      <c r="E89" s="93">
        <v>18740142.365741421</v>
      </c>
      <c r="F89" s="35"/>
      <c r="G89" s="35"/>
      <c r="H89" s="35"/>
      <c r="I89" s="35"/>
    </row>
    <row r="90" spans="1:9">
      <c r="A90" s="40" t="s">
        <v>95</v>
      </c>
      <c r="B90" s="11" t="s">
        <v>96</v>
      </c>
      <c r="C90" s="95">
        <v>4175000</v>
      </c>
      <c r="D90" s="92">
        <v>-1.8801410099999999E-2</v>
      </c>
      <c r="E90" s="93">
        <v>71364.900373409997</v>
      </c>
      <c r="F90" s="35"/>
      <c r="G90" s="35"/>
      <c r="H90" s="35"/>
      <c r="I90" s="35"/>
    </row>
    <row r="91" spans="1:9">
      <c r="A91" s="40" t="s">
        <v>243</v>
      </c>
      <c r="B91" s="11" t="s">
        <v>244</v>
      </c>
      <c r="C91" s="95">
        <v>3590</v>
      </c>
      <c r="D91" s="92">
        <v>-1.9125683099999999E-2</v>
      </c>
      <c r="E91" s="93">
        <v>7996124.2868378302</v>
      </c>
      <c r="F91" s="35"/>
      <c r="G91" s="35"/>
      <c r="H91" s="35"/>
      <c r="I91" s="35"/>
    </row>
    <row r="92" spans="1:9">
      <c r="A92" s="40" t="s">
        <v>137</v>
      </c>
      <c r="B92" s="11" t="s">
        <v>138</v>
      </c>
      <c r="C92" s="95">
        <v>49870</v>
      </c>
      <c r="D92" s="92">
        <v>-1.92723697E-2</v>
      </c>
      <c r="E92" s="93">
        <v>1643794.3505623499</v>
      </c>
      <c r="F92" s="35"/>
      <c r="G92" s="35"/>
      <c r="H92" s="35"/>
      <c r="I92" s="35"/>
    </row>
    <row r="93" spans="1:9">
      <c r="A93" s="40" t="s">
        <v>253</v>
      </c>
      <c r="B93" s="11" t="s">
        <v>254</v>
      </c>
      <c r="C93" s="95">
        <v>83</v>
      </c>
      <c r="D93" s="92">
        <v>-2.0070838300000001E-2</v>
      </c>
      <c r="E93" s="93">
        <v>77858444.622968361</v>
      </c>
      <c r="F93" s="35"/>
      <c r="G93" s="35"/>
      <c r="H93" s="35"/>
      <c r="I93" s="35"/>
    </row>
    <row r="94" spans="1:9">
      <c r="A94" s="40" t="s">
        <v>145</v>
      </c>
      <c r="B94" s="11" t="s">
        <v>146</v>
      </c>
      <c r="C94" s="95">
        <v>20010</v>
      </c>
      <c r="D94" s="92">
        <v>-2.1037182000000001E-2</v>
      </c>
      <c r="E94" s="93">
        <v>3444888.3424379802</v>
      </c>
      <c r="F94" s="35"/>
      <c r="G94" s="35"/>
      <c r="H94" s="35"/>
      <c r="I94" s="35"/>
    </row>
    <row r="95" spans="1:9">
      <c r="A95" s="40" t="s">
        <v>119</v>
      </c>
      <c r="B95" s="11" t="s">
        <v>120</v>
      </c>
      <c r="C95" s="95">
        <v>228</v>
      </c>
      <c r="D95" s="92">
        <v>-2.1459227500000001E-2</v>
      </c>
      <c r="E95" s="93">
        <v>117852886.79524437</v>
      </c>
      <c r="F95" s="35"/>
      <c r="G95" s="35"/>
      <c r="H95" s="35"/>
      <c r="I95" s="35"/>
    </row>
    <row r="96" spans="1:9">
      <c r="A96" s="40" t="s">
        <v>265</v>
      </c>
      <c r="B96" s="11" t="s">
        <v>266</v>
      </c>
      <c r="C96" s="95">
        <v>94.3</v>
      </c>
      <c r="D96" s="92">
        <v>-2.1784232399999999E-2</v>
      </c>
      <c r="E96" s="93">
        <v>171084508.65534073</v>
      </c>
      <c r="F96" s="35"/>
      <c r="G96" s="35"/>
      <c r="H96" s="35"/>
      <c r="I96" s="35"/>
    </row>
    <row r="97" spans="1:9">
      <c r="A97" s="40" t="s">
        <v>255</v>
      </c>
      <c r="B97" s="11" t="s">
        <v>256</v>
      </c>
      <c r="C97" s="95">
        <v>257</v>
      </c>
      <c r="D97" s="92">
        <v>-2.2813688200000001E-2</v>
      </c>
      <c r="E97" s="93">
        <v>16695610.41694078</v>
      </c>
      <c r="F97" s="35"/>
      <c r="G97" s="35"/>
      <c r="H97" s="35"/>
      <c r="I97" s="35"/>
    </row>
    <row r="98" spans="1:9">
      <c r="A98" s="40" t="s">
        <v>103</v>
      </c>
      <c r="B98" s="11" t="s">
        <v>104</v>
      </c>
      <c r="C98" s="95">
        <v>3200</v>
      </c>
      <c r="D98" s="92">
        <v>-2.2900763399999999E-2</v>
      </c>
      <c r="E98" s="93">
        <v>50148257.096650928</v>
      </c>
      <c r="F98" s="35"/>
      <c r="G98" s="35"/>
      <c r="H98" s="35"/>
      <c r="I98" s="35"/>
    </row>
    <row r="99" spans="1:9">
      <c r="A99" s="40" t="s">
        <v>249</v>
      </c>
      <c r="B99" s="11" t="s">
        <v>250</v>
      </c>
      <c r="C99" s="95">
        <v>209</v>
      </c>
      <c r="D99" s="92">
        <v>-2.3364486E-2</v>
      </c>
      <c r="E99" s="93">
        <v>25093323.462620419</v>
      </c>
      <c r="F99" s="35"/>
      <c r="G99" s="35"/>
      <c r="H99" s="35"/>
      <c r="I99" s="35"/>
    </row>
    <row r="100" spans="1:9">
      <c r="A100" s="40" t="s">
        <v>219</v>
      </c>
      <c r="B100" s="11" t="s">
        <v>220</v>
      </c>
      <c r="C100" s="95">
        <v>20.399999999999999</v>
      </c>
      <c r="D100" s="92">
        <v>-2.3923445000000002E-2</v>
      </c>
      <c r="E100" s="93">
        <v>382752173.88753343</v>
      </c>
      <c r="F100" s="35"/>
      <c r="G100" s="35"/>
      <c r="H100" s="35"/>
      <c r="I100" s="35"/>
    </row>
    <row r="101" spans="1:9">
      <c r="A101" s="40" t="s">
        <v>199</v>
      </c>
      <c r="B101" s="11" t="s">
        <v>200</v>
      </c>
      <c r="C101" s="95">
        <v>359</v>
      </c>
      <c r="D101" s="92">
        <v>-2.4456521700000001E-2</v>
      </c>
      <c r="E101" s="93">
        <v>38300933.801096059</v>
      </c>
      <c r="F101" s="35"/>
      <c r="G101" s="35"/>
      <c r="H101" s="35"/>
      <c r="I101" s="35"/>
    </row>
    <row r="102" spans="1:9">
      <c r="A102" s="40" t="s">
        <v>161</v>
      </c>
      <c r="B102" s="11" t="s">
        <v>162</v>
      </c>
      <c r="C102" s="95">
        <v>1970</v>
      </c>
      <c r="D102" s="92">
        <v>-2.4752475199999999E-2</v>
      </c>
      <c r="E102" s="93">
        <v>11342118.58957966</v>
      </c>
      <c r="F102" s="35"/>
      <c r="G102" s="35"/>
      <c r="H102" s="35"/>
      <c r="I102" s="35"/>
    </row>
    <row r="103" spans="1:9">
      <c r="A103" s="40" t="s">
        <v>163</v>
      </c>
      <c r="B103" s="11" t="s">
        <v>164</v>
      </c>
      <c r="C103" s="95">
        <v>40790</v>
      </c>
      <c r="D103" s="92">
        <v>-2.62592504E-2</v>
      </c>
      <c r="E103" s="93">
        <v>1215470.6971849799</v>
      </c>
      <c r="F103" s="35"/>
      <c r="G103" s="35"/>
      <c r="H103" s="35"/>
      <c r="I103" s="35"/>
    </row>
    <row r="104" spans="1:9">
      <c r="A104" s="40" t="s">
        <v>177</v>
      </c>
      <c r="B104" s="11" t="s">
        <v>178</v>
      </c>
      <c r="C104" s="95">
        <v>61100</v>
      </c>
      <c r="D104" s="92">
        <v>-2.7070063700000001E-2</v>
      </c>
      <c r="E104" s="93">
        <v>327698.48374102003</v>
      </c>
      <c r="F104" s="35"/>
      <c r="G104" s="35"/>
      <c r="H104" s="35"/>
      <c r="I104" s="35"/>
    </row>
    <row r="105" spans="1:9">
      <c r="A105" s="40" t="s">
        <v>205</v>
      </c>
      <c r="B105" s="11" t="s">
        <v>206</v>
      </c>
      <c r="C105" s="95">
        <v>36330</v>
      </c>
      <c r="D105" s="92">
        <v>-2.7569593100000001E-2</v>
      </c>
      <c r="E105" s="93">
        <v>963937.61261800001</v>
      </c>
      <c r="F105" s="35"/>
      <c r="G105" s="35"/>
      <c r="H105" s="35"/>
      <c r="I105" s="35"/>
    </row>
    <row r="106" spans="1:9">
      <c r="A106" s="40" t="s">
        <v>60</v>
      </c>
      <c r="B106" s="11" t="s">
        <v>61</v>
      </c>
      <c r="C106" s="95">
        <v>1870</v>
      </c>
      <c r="D106" s="92">
        <v>-2.85714286E-2</v>
      </c>
      <c r="E106" s="93">
        <v>45905171.425651051</v>
      </c>
      <c r="F106" s="35"/>
      <c r="G106" s="35"/>
      <c r="H106" s="35"/>
      <c r="I106" s="35"/>
    </row>
    <row r="107" spans="1:9">
      <c r="A107" s="40" t="s">
        <v>201</v>
      </c>
      <c r="B107" s="11" t="s">
        <v>202</v>
      </c>
      <c r="C107" s="95">
        <v>204</v>
      </c>
      <c r="D107" s="92">
        <v>-2.85714286E-2</v>
      </c>
      <c r="E107" s="93">
        <v>155443541.3199158</v>
      </c>
      <c r="F107" s="35"/>
      <c r="G107" s="35"/>
      <c r="H107" s="35"/>
      <c r="I107" s="35"/>
    </row>
    <row r="108" spans="1:9">
      <c r="A108" s="40" t="s">
        <v>123</v>
      </c>
      <c r="B108" s="11" t="s">
        <v>124</v>
      </c>
      <c r="C108" s="95">
        <v>6785</v>
      </c>
      <c r="D108" s="92">
        <v>-2.8632784500000001E-2</v>
      </c>
      <c r="E108" s="93">
        <v>1453439.8691589499</v>
      </c>
      <c r="F108" s="35"/>
      <c r="G108" s="35"/>
      <c r="H108" s="35"/>
      <c r="I108" s="35"/>
    </row>
    <row r="109" spans="1:9">
      <c r="A109" s="40" t="s">
        <v>97</v>
      </c>
      <c r="B109" s="11" t="s">
        <v>98</v>
      </c>
      <c r="C109" s="95">
        <v>8970</v>
      </c>
      <c r="D109" s="92">
        <v>-2.8695181399999999E-2</v>
      </c>
      <c r="E109" s="41">
        <v>13550935.93980059</v>
      </c>
    </row>
    <row r="110" spans="1:9">
      <c r="A110" s="40" t="s">
        <v>189</v>
      </c>
      <c r="B110" s="11" t="s">
        <v>190</v>
      </c>
      <c r="C110" s="95">
        <v>70370</v>
      </c>
      <c r="D110" s="92">
        <v>-2.9379310299999999E-2</v>
      </c>
      <c r="E110" s="41">
        <v>299862.55252128001</v>
      </c>
    </row>
    <row r="111" spans="1:9">
      <c r="A111" s="40" t="s">
        <v>223</v>
      </c>
      <c r="B111" s="11" t="s">
        <v>224</v>
      </c>
      <c r="C111" s="95">
        <v>2080</v>
      </c>
      <c r="D111" s="92">
        <v>-3.0303030299999999E-2</v>
      </c>
      <c r="E111" s="41">
        <v>14792155.96060475</v>
      </c>
    </row>
    <row r="112" spans="1:9">
      <c r="A112" s="40" t="s">
        <v>233</v>
      </c>
      <c r="B112" s="11" t="s">
        <v>234</v>
      </c>
      <c r="C112" s="95">
        <v>1325</v>
      </c>
      <c r="D112" s="92">
        <v>-3.2846715300000003E-2</v>
      </c>
      <c r="E112" s="41">
        <v>5359093.09861858</v>
      </c>
    </row>
    <row r="113" spans="1:5">
      <c r="A113" s="40" t="s">
        <v>71</v>
      </c>
      <c r="B113" s="11" t="s">
        <v>72</v>
      </c>
      <c r="C113" s="95">
        <v>38.1</v>
      </c>
      <c r="D113" s="92">
        <v>-3.2994923900000001E-2</v>
      </c>
      <c r="E113" s="41">
        <v>271986966.22693163</v>
      </c>
    </row>
    <row r="114" spans="1:5">
      <c r="A114" s="40" t="s">
        <v>273</v>
      </c>
      <c r="B114" s="11" t="s">
        <v>274</v>
      </c>
      <c r="C114" s="95">
        <v>9575</v>
      </c>
      <c r="D114" s="92">
        <v>-3.6235531000000001E-2</v>
      </c>
      <c r="E114" s="41">
        <v>1380007.87550571</v>
      </c>
    </row>
    <row r="115" spans="1:5">
      <c r="A115" s="40" t="s">
        <v>211</v>
      </c>
      <c r="B115" s="11" t="s">
        <v>212</v>
      </c>
      <c r="C115" s="95">
        <v>146</v>
      </c>
      <c r="D115" s="92">
        <v>-3.9473684199999998E-2</v>
      </c>
      <c r="E115" s="41">
        <v>680191821.63629186</v>
      </c>
    </row>
    <row r="116" spans="1:5">
      <c r="A116" s="40" t="s">
        <v>107</v>
      </c>
      <c r="B116" s="11" t="s">
        <v>108</v>
      </c>
      <c r="C116" s="95">
        <v>68170</v>
      </c>
      <c r="D116" s="92">
        <v>-4.6973297900000002E-2</v>
      </c>
      <c r="E116" s="41">
        <v>1505577.3317368701</v>
      </c>
    </row>
    <row r="117" spans="1:5">
      <c r="A117" s="40" t="s">
        <v>93</v>
      </c>
      <c r="B117" s="11" t="s">
        <v>94</v>
      </c>
      <c r="C117" s="95">
        <v>165450</v>
      </c>
      <c r="D117" s="92">
        <v>-4.9684089600000002E-2</v>
      </c>
      <c r="E117" s="41">
        <v>2244952.3997135698</v>
      </c>
    </row>
    <row r="118" spans="1:5">
      <c r="A118" s="40" t="s">
        <v>77</v>
      </c>
      <c r="B118" s="11" t="s">
        <v>78</v>
      </c>
      <c r="C118" s="95">
        <v>1739500</v>
      </c>
      <c r="D118" s="92">
        <v>-6.0491493399999999E-2</v>
      </c>
      <c r="E118" s="41">
        <v>384784.90131506999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241</v>
      </c>
      <c r="B2" s="11" t="s">
        <v>242</v>
      </c>
      <c r="C2" s="95">
        <v>11800</v>
      </c>
      <c r="D2" s="92">
        <v>0.39562389120000002</v>
      </c>
      <c r="E2" s="93">
        <v>54266092.858796358</v>
      </c>
      <c r="F2" s="35"/>
      <c r="G2" s="54"/>
      <c r="H2" s="35"/>
      <c r="I2" s="35"/>
    </row>
    <row r="3" spans="1:18" ht="17.25" thickBot="1">
      <c r="A3" s="40" t="s">
        <v>187</v>
      </c>
      <c r="B3" s="11" t="s">
        <v>188</v>
      </c>
      <c r="C3" s="95">
        <v>37610</v>
      </c>
      <c r="D3" s="92">
        <v>0.24371693119999999</v>
      </c>
      <c r="E3" s="93">
        <v>74798230.856582671</v>
      </c>
      <c r="F3" s="35"/>
      <c r="G3" s="237" t="s">
        <v>290</v>
      </c>
      <c r="H3" s="249" t="s">
        <v>355</v>
      </c>
      <c r="I3" s="249"/>
      <c r="K3" s="193" t="s">
        <v>34</v>
      </c>
      <c r="L3" s="194"/>
      <c r="M3" s="194"/>
      <c r="N3" s="195"/>
      <c r="O3" s="193" t="s">
        <v>291</v>
      </c>
      <c r="P3" s="194"/>
      <c r="Q3" s="194"/>
      <c r="R3" s="195"/>
    </row>
    <row r="4" spans="1:18" ht="17.25" thickBot="1">
      <c r="A4" s="40" t="s">
        <v>215</v>
      </c>
      <c r="B4" s="11" t="s">
        <v>216</v>
      </c>
      <c r="C4" s="95">
        <v>544</v>
      </c>
      <c r="D4" s="92">
        <v>0.18777292579999999</v>
      </c>
      <c r="E4" s="93">
        <v>246907425.95225847</v>
      </c>
      <c r="F4" s="35"/>
      <c r="G4" s="238"/>
      <c r="H4" s="250"/>
      <c r="I4" s="250"/>
      <c r="K4" s="230" t="s">
        <v>55</v>
      </c>
      <c r="L4" s="246">
        <f ca="1">NOW()</f>
        <v>44323.913974884257</v>
      </c>
      <c r="M4" s="247"/>
      <c r="N4" s="248"/>
      <c r="O4" s="245" t="s">
        <v>55</v>
      </c>
      <c r="P4" s="246">
        <f ca="1">NOW()</f>
        <v>44323.913974884257</v>
      </c>
      <c r="Q4" s="247"/>
      <c r="R4" s="248"/>
    </row>
    <row r="5" spans="1:18" ht="17.25" thickBot="1">
      <c r="A5" s="40" t="s">
        <v>113</v>
      </c>
      <c r="B5" s="11" t="s">
        <v>114</v>
      </c>
      <c r="C5" s="95">
        <v>14880</v>
      </c>
      <c r="D5" s="92">
        <v>0.12217194570000001</v>
      </c>
      <c r="E5" s="93">
        <v>5235487.1629036302</v>
      </c>
      <c r="F5" s="35"/>
      <c r="K5" s="238"/>
      <c r="L5" s="51" t="s">
        <v>58</v>
      </c>
      <c r="M5" s="73" t="s">
        <v>59</v>
      </c>
      <c r="N5" s="69" t="s">
        <v>294</v>
      </c>
      <c r="O5" s="216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131</v>
      </c>
      <c r="B6" s="11" t="s">
        <v>132</v>
      </c>
      <c r="C6" s="95">
        <v>294</v>
      </c>
      <c r="D6" s="92">
        <v>0.1136363636</v>
      </c>
      <c r="E6" s="93">
        <v>2660052571.566287</v>
      </c>
      <c r="F6" s="35"/>
      <c r="G6" s="193" t="s">
        <v>52</v>
      </c>
      <c r="H6" s="194"/>
      <c r="I6" s="195"/>
      <c r="K6" s="55" t="str">
        <f ca="1">IFERROR(OFFSET(INDIRECT($H$3 &amp; "!A17"), 0, 0), "")</f>
        <v>퀀텀</v>
      </c>
      <c r="L6" s="38">
        <f t="shared" ref="L6:L25" ca="1" si="0">_xlfn.IFNA(VLOOKUP(K6, $B$2:$D$200, 2, FALSE), "")</f>
        <v>37610</v>
      </c>
      <c r="M6" s="76">
        <f t="shared" ref="M6:M25" ca="1" si="1">_xlfn.IFNA(VLOOKUP(K6, $B$2:$D$200, 3, FALSE), "")</f>
        <v>0.24371693119999999</v>
      </c>
      <c r="N6" s="85">
        <f ca="1">_xlfn.IFNA(VLOOKUP(K6, $B$2:$E$200, 4, FALSE), "")</f>
        <v>74798230.856582671</v>
      </c>
      <c r="O6" s="72" t="s">
        <v>242</v>
      </c>
      <c r="P6" s="38">
        <f t="shared" ref="P6:P25" si="2">_xlfn.IFNA(VLOOKUP(O6, $B$2:$D$200, 2, FALSE), "")</f>
        <v>11800</v>
      </c>
      <c r="Q6" s="76">
        <f t="shared" ref="Q6:Q25" si="3">_xlfn.IFNA(VLOOKUP(O6, $B$2:$D$200, 3, FALSE), "")</f>
        <v>0.39562389120000002</v>
      </c>
      <c r="R6" s="85">
        <f>_xlfn.IFNA(VLOOKUP(O6, $B$2:$E$200, 4, FALSE), "")</f>
        <v>54266092.858796358</v>
      </c>
    </row>
    <row r="7" spans="1:18">
      <c r="A7" s="40" t="s">
        <v>271</v>
      </c>
      <c r="B7" s="11" t="s">
        <v>272</v>
      </c>
      <c r="C7" s="95">
        <v>2910</v>
      </c>
      <c r="D7" s="92">
        <v>0.1106870229</v>
      </c>
      <c r="E7" s="93">
        <v>21560183.7873221</v>
      </c>
      <c r="F7" s="35"/>
      <c r="G7" s="221" t="s">
        <v>36</v>
      </c>
      <c r="H7" s="222"/>
      <c r="I7" s="223"/>
      <c r="K7" s="56" t="str">
        <f ca="1">IFERROR(OFFSET(INDIRECT($H$3 &amp; "!A17"), 1, 0), "")</f>
        <v>이더리움클래식</v>
      </c>
      <c r="L7" s="39">
        <f t="shared" ca="1" si="0"/>
        <v>164950</v>
      </c>
      <c r="M7" s="77">
        <f t="shared" ca="1" si="1"/>
        <v>3.7421383599999997E-2</v>
      </c>
      <c r="N7" s="86">
        <f t="shared" ref="N7:N25" ca="1" si="4">_xlfn.IFNA(VLOOKUP(K7, $B$2:$E$200, 4, FALSE), "")</f>
        <v>27092191.089047901</v>
      </c>
      <c r="O7" s="88" t="s">
        <v>188</v>
      </c>
      <c r="P7" s="39">
        <f t="shared" si="2"/>
        <v>37610</v>
      </c>
      <c r="Q7" s="77">
        <f t="shared" si="3"/>
        <v>0.24371693119999999</v>
      </c>
      <c r="R7" s="86">
        <f t="shared" ref="R7:R25" si="5">_xlfn.IFNA(VLOOKUP(O7, $B$2:$E$200, 4, FALSE), "")</f>
        <v>74798230.856582671</v>
      </c>
    </row>
    <row r="8" spans="1:18" ht="17.25" thickBot="1">
      <c r="A8" s="40" t="s">
        <v>109</v>
      </c>
      <c r="B8" s="11" t="s">
        <v>110</v>
      </c>
      <c r="C8" s="95">
        <v>3315</v>
      </c>
      <c r="D8" s="92">
        <v>9.4059405900000004E-2</v>
      </c>
      <c r="E8" s="93">
        <v>9246197.6008660104</v>
      </c>
      <c r="F8" s="35"/>
      <c r="G8" s="214"/>
      <c r="H8" s="215"/>
      <c r="I8" s="216"/>
      <c r="K8" s="56" t="str">
        <f ca="1">IFERROR(OFFSET(INDIRECT($H$3 &amp; "!A17"), 2, 0), "")</f>
        <v>코모도</v>
      </c>
      <c r="L8" s="39">
        <f t="shared" ca="1" si="0"/>
        <v>4180</v>
      </c>
      <c r="M8" s="77">
        <f t="shared" ca="1" si="1"/>
        <v>8.5714285700000004E-2</v>
      </c>
      <c r="N8" s="86">
        <f t="shared" ca="1" si="4"/>
        <v>19954548.981527749</v>
      </c>
      <c r="O8" s="88" t="s">
        <v>216</v>
      </c>
      <c r="P8" s="39">
        <f t="shared" si="2"/>
        <v>544</v>
      </c>
      <c r="Q8" s="77">
        <f t="shared" si="3"/>
        <v>0.18777292579999999</v>
      </c>
      <c r="R8" s="86">
        <f t="shared" si="5"/>
        <v>246907425.95225847</v>
      </c>
    </row>
    <row r="9" spans="1:18" ht="17.25" thickBot="1">
      <c r="A9" s="40" t="s">
        <v>169</v>
      </c>
      <c r="B9" s="11" t="s">
        <v>170</v>
      </c>
      <c r="C9" s="95">
        <v>586</v>
      </c>
      <c r="D9" s="92">
        <v>9.1247672299999999E-2</v>
      </c>
      <c r="E9" s="93">
        <v>85810980.401596844</v>
      </c>
      <c r="F9" s="35"/>
      <c r="G9" s="50" t="s">
        <v>38</v>
      </c>
      <c r="H9" s="194" t="s">
        <v>37</v>
      </c>
      <c r="I9" s="195"/>
      <c r="K9" s="56" t="str">
        <f ca="1">IFERROR(OFFSET(INDIRECT($H$3 &amp; "!A17"), 3, 0), "")</f>
        <v>스팀</v>
      </c>
      <c r="L9" s="39">
        <f t="shared" ca="1" si="0"/>
        <v>1505</v>
      </c>
      <c r="M9" s="77">
        <f t="shared" ca="1" si="1"/>
        <v>1.3468013500000001E-2</v>
      </c>
      <c r="N9" s="86">
        <f t="shared" ca="1" si="4"/>
        <v>58091352.780126572</v>
      </c>
      <c r="O9" s="88" t="s">
        <v>114</v>
      </c>
      <c r="P9" s="39">
        <f t="shared" si="2"/>
        <v>14880</v>
      </c>
      <c r="Q9" s="77">
        <f t="shared" si="3"/>
        <v>0.12217194570000001</v>
      </c>
      <c r="R9" s="86">
        <f t="shared" si="5"/>
        <v>5235487.1629036302</v>
      </c>
    </row>
    <row r="10" spans="1:18">
      <c r="A10" s="40" t="s">
        <v>247</v>
      </c>
      <c r="B10" s="11" t="s">
        <v>248</v>
      </c>
      <c r="C10" s="95">
        <v>4180</v>
      </c>
      <c r="D10" s="92">
        <v>8.5714285700000004E-2</v>
      </c>
      <c r="E10" s="93">
        <v>19954548.981527749</v>
      </c>
      <c r="F10" s="35"/>
      <c r="G10" s="239">
        <f>_xlfn.IFNA(VLOOKUP(G7, $B$2:$D$200, 3, FALSE), "-")</f>
        <v>-2.7047857000000002E-3</v>
      </c>
      <c r="H10" s="241">
        <f>_xlfn.IFNA(VLOOKUP(G7, $B$2:$D$200, 2, FALSE), "-")</f>
        <v>68581000</v>
      </c>
      <c r="I10" s="242"/>
      <c r="K10" s="58" t="str">
        <f ca="1">IFERROR(OFFSET(INDIRECT($H$3 &amp; "!A17"), 4, 0), "")</f>
        <v>질리카</v>
      </c>
      <c r="L10" s="44">
        <f t="shared" ca="1" si="0"/>
        <v>287</v>
      </c>
      <c r="M10" s="78">
        <f t="shared" ca="1" si="1"/>
        <v>7.0175439000000001E-3</v>
      </c>
      <c r="N10" s="90">
        <f t="shared" ca="1" si="4"/>
        <v>69724585.990911216</v>
      </c>
      <c r="O10" s="88" t="s">
        <v>132</v>
      </c>
      <c r="P10" s="39">
        <f t="shared" si="2"/>
        <v>294</v>
      </c>
      <c r="Q10" s="77">
        <f t="shared" si="3"/>
        <v>0.1136363636</v>
      </c>
      <c r="R10" s="90">
        <f t="shared" si="5"/>
        <v>2660052571.566287</v>
      </c>
    </row>
    <row r="11" spans="1:18" ht="17.25" thickBot="1">
      <c r="A11" s="40" t="s">
        <v>79</v>
      </c>
      <c r="B11" s="11" t="s">
        <v>80</v>
      </c>
      <c r="C11" s="95">
        <v>1835</v>
      </c>
      <c r="D11" s="92">
        <v>6.9970845500000003E-2</v>
      </c>
      <c r="E11" s="93">
        <v>25461998.67584708</v>
      </c>
      <c r="F11" s="35"/>
      <c r="G11" s="240"/>
      <c r="H11" s="243"/>
      <c r="I11" s="244"/>
      <c r="K11" s="56" t="str">
        <f ca="1">IFERROR(OFFSET(INDIRECT($H$3 &amp; "!A17"), 5, 0), "")</f>
        <v>스테이터스네트워크토큰</v>
      </c>
      <c r="L11" s="39">
        <f t="shared" ca="1" si="0"/>
        <v>270</v>
      </c>
      <c r="M11" s="77">
        <f t="shared" ca="1" si="1"/>
        <v>2.6615969600000001E-2</v>
      </c>
      <c r="N11" s="99">
        <f t="shared" ca="1" si="4"/>
        <v>570542708.44723666</v>
      </c>
      <c r="O11" s="89" t="s">
        <v>272</v>
      </c>
      <c r="P11" s="45">
        <f t="shared" si="2"/>
        <v>2910</v>
      </c>
      <c r="Q11" s="80">
        <f t="shared" si="3"/>
        <v>0.1106870229</v>
      </c>
      <c r="R11" s="99">
        <f t="shared" si="5"/>
        <v>21560183.7873221</v>
      </c>
    </row>
    <row r="12" spans="1:18" ht="17.25" thickBot="1">
      <c r="A12" s="40" t="s">
        <v>143</v>
      </c>
      <c r="B12" s="11" t="s">
        <v>144</v>
      </c>
      <c r="C12" s="95">
        <v>17180</v>
      </c>
      <c r="D12" s="92">
        <v>6.4436183399999999E-2</v>
      </c>
      <c r="E12" s="93">
        <v>18604714.758380439</v>
      </c>
      <c r="F12" s="35"/>
      <c r="K12" s="56" t="str">
        <f ca="1">IFERROR(OFFSET(INDIRECT($H$3 &amp; "!A17"), 6, 0), "")</f>
        <v>비트코인골드</v>
      </c>
      <c r="L12" s="39">
        <f t="shared" ca="1" si="0"/>
        <v>165450</v>
      </c>
      <c r="M12" s="77">
        <f t="shared" ca="1" si="1"/>
        <v>-4.9684089600000002E-2</v>
      </c>
      <c r="N12" s="86">
        <f t="shared" ca="1" si="4"/>
        <v>2244952.3997135698</v>
      </c>
      <c r="O12" s="88" t="s">
        <v>110</v>
      </c>
      <c r="P12" s="39">
        <f t="shared" si="2"/>
        <v>3315</v>
      </c>
      <c r="Q12" s="77">
        <f t="shared" si="3"/>
        <v>9.4059405900000004E-2</v>
      </c>
      <c r="R12" s="86">
        <f t="shared" si="5"/>
        <v>9246197.6008660104</v>
      </c>
    </row>
    <row r="13" spans="1:18" ht="17.25" thickBot="1">
      <c r="A13" s="40" t="s">
        <v>64</v>
      </c>
      <c r="B13" s="11" t="s">
        <v>65</v>
      </c>
      <c r="C13" s="95">
        <v>83.6</v>
      </c>
      <c r="D13" s="92">
        <v>6.36132316E-2</v>
      </c>
      <c r="E13" s="93">
        <v>767744242.15995705</v>
      </c>
      <c r="F13" s="35"/>
      <c r="G13" s="193" t="s">
        <v>70</v>
      </c>
      <c r="H13" s="194"/>
      <c r="I13" s="195"/>
      <c r="K13" s="56" t="str">
        <f ca="1">IFERROR(OFFSET(INDIRECT($H$3 &amp; "!A17"), 7, 0), "")</f>
        <v>테조스</v>
      </c>
      <c r="L13" s="39">
        <f t="shared" ca="1" si="0"/>
        <v>8970</v>
      </c>
      <c r="M13" s="77">
        <f t="shared" ca="1" si="1"/>
        <v>-2.8695181399999999E-2</v>
      </c>
      <c r="N13" s="86">
        <f t="shared" ca="1" si="4"/>
        <v>13550935.93980059</v>
      </c>
      <c r="O13" s="88" t="s">
        <v>170</v>
      </c>
      <c r="P13" s="39">
        <f t="shared" si="2"/>
        <v>586</v>
      </c>
      <c r="Q13" s="77">
        <f t="shared" si="3"/>
        <v>9.1247672299999999E-2</v>
      </c>
      <c r="R13" s="86">
        <f t="shared" si="5"/>
        <v>85810980.401596844</v>
      </c>
    </row>
    <row r="14" spans="1:18">
      <c r="A14" s="40" t="s">
        <v>117</v>
      </c>
      <c r="B14" s="11" t="s">
        <v>118</v>
      </c>
      <c r="C14" s="95">
        <v>8105</v>
      </c>
      <c r="D14" s="92">
        <v>6.2254259499999999E-2</v>
      </c>
      <c r="E14" s="93">
        <v>2905158.8994291099</v>
      </c>
      <c r="F14" s="35"/>
      <c r="G14" s="221" t="s">
        <v>36</v>
      </c>
      <c r="H14" s="222"/>
      <c r="I14" s="223"/>
      <c r="K14" s="56" t="str">
        <f ca="1">IFERROR(OFFSET(INDIRECT($H$3 &amp; "!A17"), 8, 0), "")</f>
        <v>에이다</v>
      </c>
      <c r="L14" s="39">
        <f t="shared" ca="1" si="0"/>
        <v>2055</v>
      </c>
      <c r="M14" s="77">
        <f t="shared" ca="1" si="1"/>
        <v>1.23152709E-2</v>
      </c>
      <c r="N14" s="86">
        <f t="shared" ca="1" si="4"/>
        <v>156134565.54649723</v>
      </c>
      <c r="O14" s="88" t="s">
        <v>248</v>
      </c>
      <c r="P14" s="39">
        <f t="shared" si="2"/>
        <v>4180</v>
      </c>
      <c r="Q14" s="77">
        <f t="shared" si="3"/>
        <v>8.5714285700000004E-2</v>
      </c>
      <c r="R14" s="86">
        <f t="shared" si="5"/>
        <v>19954548.981527749</v>
      </c>
    </row>
    <row r="15" spans="1:18" ht="17.25" thickBot="1">
      <c r="A15" s="40" t="s">
        <v>133</v>
      </c>
      <c r="B15" s="11" t="s">
        <v>134</v>
      </c>
      <c r="C15" s="95">
        <v>161</v>
      </c>
      <c r="D15" s="92">
        <v>5.9210526300000003E-2</v>
      </c>
      <c r="E15" s="93">
        <v>130249978.7222244</v>
      </c>
      <c r="F15" s="35"/>
      <c r="G15" s="214"/>
      <c r="H15" s="215"/>
      <c r="I15" s="216"/>
      <c r="K15" s="57" t="str">
        <f ca="1">IFERROR(OFFSET(INDIRECT($H$3 &amp; "!A17"), 9, 0), "")</f>
        <v>아이오타</v>
      </c>
      <c r="L15" s="37">
        <f t="shared" ca="1" si="0"/>
        <v>2955</v>
      </c>
      <c r="M15" s="79">
        <f t="shared" ca="1" si="1"/>
        <v>2.7826086999999999E-2</v>
      </c>
      <c r="N15" s="87">
        <f t="shared" ca="1" si="4"/>
        <v>6960384.7160304496</v>
      </c>
      <c r="O15" s="74" t="s">
        <v>80</v>
      </c>
      <c r="P15" s="37">
        <f t="shared" si="2"/>
        <v>1835</v>
      </c>
      <c r="Q15" s="79">
        <f t="shared" si="3"/>
        <v>6.9970845500000003E-2</v>
      </c>
      <c r="R15" s="87">
        <f t="shared" si="5"/>
        <v>25461998.67584708</v>
      </c>
    </row>
    <row r="16" spans="1:18" ht="17.25" thickBot="1">
      <c r="A16" s="40" t="s">
        <v>139</v>
      </c>
      <c r="B16" s="11" t="s">
        <v>140</v>
      </c>
      <c r="C16" s="95">
        <v>4580</v>
      </c>
      <c r="D16" s="92">
        <v>5.7736720599999999E-2</v>
      </c>
      <c r="E16" s="93">
        <v>4689120.6962882997</v>
      </c>
      <c r="F16" s="35"/>
      <c r="G16" s="50" t="s">
        <v>38</v>
      </c>
      <c r="H16" s="194" t="s">
        <v>37</v>
      </c>
      <c r="I16" s="195"/>
      <c r="K16" s="55" t="str">
        <f ca="1">IFERROR(OFFSET(INDIRECT($H$3 &amp; "!A17"), 10, 0), "")</f>
        <v>비트토렌트</v>
      </c>
      <c r="L16" s="38">
        <f t="shared" ca="1" si="0"/>
        <v>10.1</v>
      </c>
      <c r="M16" s="76">
        <f t="shared" ca="1" si="1"/>
        <v>4.3388429800000003E-2</v>
      </c>
      <c r="N16" s="85">
        <f t="shared" ca="1" si="4"/>
        <v>121498093002.5717</v>
      </c>
      <c r="O16" s="72" t="s">
        <v>144</v>
      </c>
      <c r="P16" s="38">
        <f t="shared" si="2"/>
        <v>17180</v>
      </c>
      <c r="Q16" s="76">
        <f t="shared" si="3"/>
        <v>6.4436183399999999E-2</v>
      </c>
      <c r="R16" s="85">
        <f t="shared" si="5"/>
        <v>18604714.758380439</v>
      </c>
    </row>
    <row r="17" spans="1:18">
      <c r="A17" s="40" t="s">
        <v>181</v>
      </c>
      <c r="B17" s="11" t="s">
        <v>182</v>
      </c>
      <c r="C17" s="95">
        <v>559</v>
      </c>
      <c r="D17" s="92">
        <v>5.6710774999999998E-2</v>
      </c>
      <c r="E17" s="93">
        <v>38172595.416037083</v>
      </c>
      <c r="F17" s="35"/>
      <c r="G17" s="239">
        <f>_xlfn.IFNA(VLOOKUP(G14, $B$2:$D$200, 3, FALSE), "-")</f>
        <v>-2.7047857000000002E-3</v>
      </c>
      <c r="H17" s="241">
        <f>_xlfn.IFNA(VLOOKUP(G14, $B$2:$D$200, 2, FALSE), "-")</f>
        <v>68581000</v>
      </c>
      <c r="I17" s="242"/>
      <c r="K17" s="56" t="str">
        <f ca="1">IFERROR(OFFSET(INDIRECT($H$3 &amp; "!A17"), 11, 0), "")</f>
        <v>이오스</v>
      </c>
      <c r="L17" s="39">
        <f t="shared" ca="1" si="0"/>
        <v>13830</v>
      </c>
      <c r="M17" s="77">
        <f t="shared" ca="1" si="1"/>
        <v>-1.5658363000000002E-2</v>
      </c>
      <c r="N17" s="86">
        <f t="shared" ca="1" si="4"/>
        <v>98196491.532424316</v>
      </c>
      <c r="O17" s="88" t="s">
        <v>65</v>
      </c>
      <c r="P17" s="39">
        <f t="shared" si="2"/>
        <v>83.6</v>
      </c>
      <c r="Q17" s="77">
        <f t="shared" si="3"/>
        <v>6.36132316E-2</v>
      </c>
      <c r="R17" s="86">
        <f t="shared" si="5"/>
        <v>767744242.15995705</v>
      </c>
    </row>
    <row r="18" spans="1:18" ht="17.25" thickBot="1">
      <c r="A18" s="40" t="s">
        <v>56</v>
      </c>
      <c r="B18" s="11" t="s">
        <v>57</v>
      </c>
      <c r="C18" s="95">
        <v>498</v>
      </c>
      <c r="D18" s="92">
        <v>5.0632911400000001E-2</v>
      </c>
      <c r="E18" s="93">
        <v>271824327.2634753</v>
      </c>
      <c r="F18" s="35"/>
      <c r="G18" s="240"/>
      <c r="H18" s="243"/>
      <c r="I18" s="244"/>
      <c r="K18" s="56" t="str">
        <f ca="1">IFERROR(OFFSET(INDIRECT($H$3 &amp; "!A17"), 12, 0), "")</f>
        <v>리스크</v>
      </c>
      <c r="L18" s="39">
        <f t="shared" ca="1" si="0"/>
        <v>11800</v>
      </c>
      <c r="M18" s="77">
        <f t="shared" ca="1" si="1"/>
        <v>0.39562389120000002</v>
      </c>
      <c r="N18" s="86">
        <f t="shared" ca="1" si="4"/>
        <v>54266092.858796358</v>
      </c>
      <c r="O18" s="88" t="s">
        <v>118</v>
      </c>
      <c r="P18" s="39">
        <f t="shared" si="2"/>
        <v>8105</v>
      </c>
      <c r="Q18" s="77">
        <f t="shared" si="3"/>
        <v>6.2254259499999999E-2</v>
      </c>
      <c r="R18" s="86">
        <f t="shared" si="5"/>
        <v>2905158.8994291099</v>
      </c>
    </row>
    <row r="19" spans="1:18" ht="17.25" thickBot="1">
      <c r="A19" s="40" t="s">
        <v>283</v>
      </c>
      <c r="B19" s="11" t="s">
        <v>284</v>
      </c>
      <c r="C19" s="95">
        <v>522</v>
      </c>
      <c r="D19" s="92">
        <v>5.03018109E-2</v>
      </c>
      <c r="E19" s="93">
        <v>45110251.533986762</v>
      </c>
      <c r="F19" s="35"/>
      <c r="K19" s="56" t="str">
        <f ca="1">IFERROR(OFFSET(INDIRECT($H$3 &amp; "!A17"), 13, 0), "")</f>
        <v>쿼크체인</v>
      </c>
      <c r="L19" s="39">
        <f t="shared" ca="1" si="0"/>
        <v>38.1</v>
      </c>
      <c r="M19" s="77">
        <f t="shared" ca="1" si="1"/>
        <v>-3.2994923900000001E-2</v>
      </c>
      <c r="N19" s="86">
        <f t="shared" ca="1" si="4"/>
        <v>271986966.22693163</v>
      </c>
      <c r="O19" s="88" t="s">
        <v>134</v>
      </c>
      <c r="P19" s="39">
        <f t="shared" si="2"/>
        <v>161</v>
      </c>
      <c r="Q19" s="77">
        <f t="shared" si="3"/>
        <v>5.9210526300000003E-2</v>
      </c>
      <c r="R19" s="86">
        <f t="shared" si="5"/>
        <v>130249978.7222244</v>
      </c>
    </row>
    <row r="20" spans="1:18" ht="17.25" thickBot="1">
      <c r="A20" s="40" t="s">
        <v>105</v>
      </c>
      <c r="B20" s="11" t="s">
        <v>106</v>
      </c>
      <c r="C20" s="95">
        <v>2625</v>
      </c>
      <c r="D20" s="92">
        <v>0.05</v>
      </c>
      <c r="E20" s="93">
        <v>13988435.8052305</v>
      </c>
      <c r="F20" s="35"/>
      <c r="G20" s="193" t="s">
        <v>286</v>
      </c>
      <c r="H20" s="194"/>
      <c r="I20" s="195"/>
      <c r="K20" s="58" t="str">
        <f ca="1">IFERROR(OFFSET(INDIRECT($H$3 &amp; "!A17"), 14, 0), "")</f>
        <v>온톨로지</v>
      </c>
      <c r="L20" s="44">
        <f t="shared" ca="1" si="0"/>
        <v>3200</v>
      </c>
      <c r="M20" s="78">
        <f t="shared" ca="1" si="1"/>
        <v>-2.2900763399999999E-2</v>
      </c>
      <c r="N20" s="90">
        <f t="shared" ca="1" si="4"/>
        <v>50148257.096650928</v>
      </c>
      <c r="O20" s="88" t="s">
        <v>140</v>
      </c>
      <c r="P20" s="39">
        <f t="shared" si="2"/>
        <v>4580</v>
      </c>
      <c r="Q20" s="77">
        <f t="shared" si="3"/>
        <v>5.7736720599999999E-2</v>
      </c>
      <c r="R20" s="90">
        <f t="shared" si="5"/>
        <v>4689120.6962882997</v>
      </c>
    </row>
    <row r="21" spans="1:18">
      <c r="A21" s="40" t="s">
        <v>269</v>
      </c>
      <c r="B21" s="11" t="s">
        <v>270</v>
      </c>
      <c r="C21" s="95">
        <v>633</v>
      </c>
      <c r="D21" s="92">
        <v>4.4554455399999998E-2</v>
      </c>
      <c r="E21" s="93">
        <v>33001322.05483361</v>
      </c>
      <c r="F21" s="35"/>
      <c r="G21" s="221" t="s">
        <v>36</v>
      </c>
      <c r="H21" s="222"/>
      <c r="I21" s="223"/>
      <c r="K21" s="56" t="str">
        <f ca="1">IFERROR(OFFSET(INDIRECT($H$3 &amp; "!A17"), 15, 0), "")</f>
        <v>파워렛저</v>
      </c>
      <c r="L21" s="39">
        <f t="shared" ca="1" si="0"/>
        <v>559</v>
      </c>
      <c r="M21" s="77">
        <f t="shared" ca="1" si="1"/>
        <v>5.6710774999999998E-2</v>
      </c>
      <c r="N21" s="99">
        <f t="shared" ca="1" si="4"/>
        <v>38172595.416037083</v>
      </c>
      <c r="O21" s="89" t="s">
        <v>182</v>
      </c>
      <c r="P21" s="45">
        <f t="shared" si="2"/>
        <v>559</v>
      </c>
      <c r="Q21" s="80">
        <f t="shared" si="3"/>
        <v>5.6710774999999998E-2</v>
      </c>
      <c r="R21" s="99">
        <f t="shared" si="5"/>
        <v>38172595.416037083</v>
      </c>
    </row>
    <row r="22" spans="1:18" ht="17.25" thickBot="1">
      <c r="A22" s="40" t="s">
        <v>157</v>
      </c>
      <c r="B22" s="11" t="s">
        <v>158</v>
      </c>
      <c r="C22" s="95">
        <v>10060</v>
      </c>
      <c r="D22" s="92">
        <v>4.3568464699999997E-2</v>
      </c>
      <c r="E22" s="93">
        <v>2305663.8422136498</v>
      </c>
      <c r="F22" s="35"/>
      <c r="G22" s="214"/>
      <c r="H22" s="215"/>
      <c r="I22" s="216"/>
      <c r="K22" s="56" t="str">
        <f ca="1">IFERROR(OFFSET(INDIRECT($H$3 &amp; "!A17"), 16, 0), "")</f>
        <v>비체인</v>
      </c>
      <c r="L22" s="39">
        <f t="shared" ca="1" si="0"/>
        <v>294</v>
      </c>
      <c r="M22" s="77">
        <f t="shared" ca="1" si="1"/>
        <v>0.1136363636</v>
      </c>
      <c r="N22" s="86">
        <f t="shared" ca="1" si="4"/>
        <v>2660052571.566287</v>
      </c>
      <c r="O22" s="88" t="s">
        <v>57</v>
      </c>
      <c r="P22" s="39">
        <f t="shared" si="2"/>
        <v>498</v>
      </c>
      <c r="Q22" s="77">
        <f t="shared" si="3"/>
        <v>5.0632911400000001E-2</v>
      </c>
      <c r="R22" s="86">
        <f t="shared" si="5"/>
        <v>271824327.2634753</v>
      </c>
    </row>
    <row r="23" spans="1:18" ht="17.25" thickBot="1">
      <c r="A23" s="40" t="s">
        <v>99</v>
      </c>
      <c r="B23" s="11" t="s">
        <v>100</v>
      </c>
      <c r="C23" s="95">
        <v>10.1</v>
      </c>
      <c r="D23" s="92">
        <v>4.3388429800000003E-2</v>
      </c>
      <c r="E23" s="93">
        <v>121498093002.5717</v>
      </c>
      <c r="F23" s="35"/>
      <c r="G23" s="50" t="s">
        <v>38</v>
      </c>
      <c r="H23" s="194" t="s">
        <v>37</v>
      </c>
      <c r="I23" s="195"/>
      <c r="K23" s="56" t="str">
        <f ca="1">IFERROR(OFFSET(INDIRECT($H$3 &amp; "!A17"), 17, 0), "")</f>
        <v>제로엑스</v>
      </c>
      <c r="L23" s="39">
        <f t="shared" ca="1" si="0"/>
        <v>2625</v>
      </c>
      <c r="M23" s="77">
        <f t="shared" ca="1" si="1"/>
        <v>0.05</v>
      </c>
      <c r="N23" s="86">
        <f t="shared" ca="1" si="4"/>
        <v>13988435.8052305</v>
      </c>
      <c r="O23" s="88" t="s">
        <v>284</v>
      </c>
      <c r="P23" s="39">
        <f t="shared" si="2"/>
        <v>522</v>
      </c>
      <c r="Q23" s="77">
        <f t="shared" si="3"/>
        <v>5.03018109E-2</v>
      </c>
      <c r="R23" s="86">
        <f t="shared" si="5"/>
        <v>45110251.533986762</v>
      </c>
    </row>
    <row r="24" spans="1:18">
      <c r="A24" s="40" t="s">
        <v>165</v>
      </c>
      <c r="B24" s="11" t="s">
        <v>166</v>
      </c>
      <c r="C24" s="95">
        <v>2425</v>
      </c>
      <c r="D24" s="92">
        <v>4.0772532200000003E-2</v>
      </c>
      <c r="E24" s="93">
        <v>5706882.1296965098</v>
      </c>
      <c r="F24" s="35"/>
      <c r="G24" s="239">
        <f>_xlfn.IFNA(VLOOKUP(G21, $B$2:$D$200, 3, FALSE), "-")</f>
        <v>-2.7047857000000002E-3</v>
      </c>
      <c r="H24" s="241">
        <f>_xlfn.IFNA(VLOOKUP(G21, $B$2:$D$200, 2, FALSE), "-")</f>
        <v>68581000</v>
      </c>
      <c r="I24" s="242"/>
      <c r="K24" s="56" t="str">
        <f ca="1">IFERROR(OFFSET(INDIRECT($H$3 &amp; "!A17"), 18, 0), "")</f>
        <v>카바</v>
      </c>
      <c r="L24" s="39">
        <f t="shared" ca="1" si="0"/>
        <v>8105</v>
      </c>
      <c r="M24" s="77">
        <f t="shared" ca="1" si="1"/>
        <v>6.2254259499999999E-2</v>
      </c>
      <c r="N24" s="86">
        <f t="shared" ca="1" si="4"/>
        <v>2905158.8994291099</v>
      </c>
      <c r="O24" s="88" t="s">
        <v>106</v>
      </c>
      <c r="P24" s="39">
        <f t="shared" si="2"/>
        <v>2625</v>
      </c>
      <c r="Q24" s="77">
        <f t="shared" si="3"/>
        <v>0.05</v>
      </c>
      <c r="R24" s="86">
        <f t="shared" si="5"/>
        <v>13988435.8052305</v>
      </c>
    </row>
    <row r="25" spans="1:18" ht="17.25" thickBot="1">
      <c r="A25" s="40" t="s">
        <v>277</v>
      </c>
      <c r="B25" s="11" t="s">
        <v>278</v>
      </c>
      <c r="C25" s="95">
        <v>183</v>
      </c>
      <c r="D25" s="92">
        <v>3.9772727299999998E-2</v>
      </c>
      <c r="E25" s="93">
        <v>244329921.48523042</v>
      </c>
      <c r="F25" s="35"/>
      <c r="G25" s="240"/>
      <c r="H25" s="243"/>
      <c r="I25" s="244"/>
      <c r="K25" s="57" t="str">
        <f ca="1">IFERROR(OFFSET(INDIRECT($H$3 &amp; "!A17"), 19, 0), "")</f>
        <v>시아코인</v>
      </c>
      <c r="L25" s="37">
        <f t="shared" ca="1" si="0"/>
        <v>51.8</v>
      </c>
      <c r="M25" s="79">
        <f t="shared" ca="1" si="1"/>
        <v>2.5742574300000001E-2</v>
      </c>
      <c r="N25" s="87">
        <f t="shared" ca="1" si="4"/>
        <v>1457309245.1440432</v>
      </c>
      <c r="O25" s="74" t="s">
        <v>270</v>
      </c>
      <c r="P25" s="37">
        <f t="shared" si="2"/>
        <v>633</v>
      </c>
      <c r="Q25" s="79">
        <f t="shared" si="3"/>
        <v>4.4554455399999998E-2</v>
      </c>
      <c r="R25" s="87">
        <f t="shared" si="5"/>
        <v>33001322.05483361</v>
      </c>
    </row>
    <row r="26" spans="1:18">
      <c r="A26" s="40" t="s">
        <v>141</v>
      </c>
      <c r="B26" s="11" t="s">
        <v>142</v>
      </c>
      <c r="C26" s="95">
        <v>487</v>
      </c>
      <c r="D26" s="92">
        <v>3.83795309E-2</v>
      </c>
      <c r="E26" s="93">
        <v>77886696.125810415</v>
      </c>
      <c r="F26" s="35"/>
    </row>
    <row r="27" spans="1:18" ht="17.25" thickBot="1">
      <c r="A27" s="40" t="s">
        <v>101</v>
      </c>
      <c r="B27" s="11" t="s">
        <v>102</v>
      </c>
      <c r="C27" s="95">
        <v>164950</v>
      </c>
      <c r="D27" s="92">
        <v>3.7421383599999997E-2</v>
      </c>
      <c r="E27" s="93">
        <v>27092191.089047901</v>
      </c>
      <c r="F27" s="35"/>
    </row>
    <row r="28" spans="1:18" ht="17.25" thickBot="1">
      <c r="A28" s="40" t="s">
        <v>231</v>
      </c>
      <c r="B28" s="11" t="s">
        <v>232</v>
      </c>
      <c r="C28" s="95">
        <v>175</v>
      </c>
      <c r="D28" s="92">
        <v>3.5502958600000002E-2</v>
      </c>
      <c r="E28" s="93">
        <v>45915677.791405492</v>
      </c>
      <c r="F28" s="35"/>
      <c r="G28" s="193" t="s">
        <v>46</v>
      </c>
      <c r="H28" s="194"/>
      <c r="I28" s="194"/>
      <c r="J28" s="195"/>
      <c r="K28" s="193" t="s">
        <v>44</v>
      </c>
      <c r="L28" s="194"/>
      <c r="M28" s="194"/>
      <c r="N28" s="195"/>
      <c r="O28" s="193" t="s">
        <v>45</v>
      </c>
      <c r="P28" s="194"/>
      <c r="Q28" s="194"/>
      <c r="R28" s="195"/>
    </row>
    <row r="29" spans="1:18" ht="17.25" thickBot="1">
      <c r="A29" s="40" t="s">
        <v>275</v>
      </c>
      <c r="B29" s="11" t="s">
        <v>276</v>
      </c>
      <c r="C29" s="95">
        <v>4800</v>
      </c>
      <c r="D29" s="92">
        <v>3.4482758600000003E-2</v>
      </c>
      <c r="E29" s="93">
        <v>4978367.8819809398</v>
      </c>
      <c r="F29" s="35"/>
      <c r="G29" s="230" t="s">
        <v>55</v>
      </c>
      <c r="H29" s="246">
        <f ca="1">NOW()</f>
        <v>44323.913974884257</v>
      </c>
      <c r="I29" s="247"/>
      <c r="J29" s="248"/>
      <c r="K29" s="245" t="s">
        <v>55</v>
      </c>
      <c r="L29" s="246">
        <f ca="1">NOW()</f>
        <v>44323.913974884257</v>
      </c>
      <c r="M29" s="247"/>
      <c r="N29" s="248"/>
      <c r="O29" s="245" t="s">
        <v>55</v>
      </c>
      <c r="P29" s="246">
        <f ca="1">NOW()</f>
        <v>44323.913974884257</v>
      </c>
      <c r="Q29" s="247"/>
      <c r="R29" s="248"/>
    </row>
    <row r="30" spans="1:18" ht="17.25" thickBot="1">
      <c r="A30" s="40" t="s">
        <v>127</v>
      </c>
      <c r="B30" s="11" t="s">
        <v>128</v>
      </c>
      <c r="C30" s="95">
        <v>734</v>
      </c>
      <c r="D30" s="92">
        <v>3.3802816899999998E-2</v>
      </c>
      <c r="E30" s="93">
        <v>31305144.201130949</v>
      </c>
      <c r="F30" s="35"/>
      <c r="G30" s="238"/>
      <c r="H30" s="51" t="s">
        <v>58</v>
      </c>
      <c r="I30" s="73" t="s">
        <v>59</v>
      </c>
      <c r="J30" s="69" t="s">
        <v>294</v>
      </c>
      <c r="K30" s="216"/>
      <c r="L30" s="51" t="s">
        <v>58</v>
      </c>
      <c r="M30" s="73" t="s">
        <v>59</v>
      </c>
      <c r="N30" s="91" t="s">
        <v>294</v>
      </c>
      <c r="O30" s="216"/>
      <c r="P30" s="51" t="s">
        <v>58</v>
      </c>
      <c r="Q30" s="73" t="s">
        <v>59</v>
      </c>
      <c r="R30" s="91" t="s">
        <v>294</v>
      </c>
    </row>
    <row r="31" spans="1:18">
      <c r="A31" s="40" t="s">
        <v>155</v>
      </c>
      <c r="B31" s="11" t="s">
        <v>156</v>
      </c>
      <c r="C31" s="95">
        <v>192</v>
      </c>
      <c r="D31" s="92">
        <v>3.2258064500000003E-2</v>
      </c>
      <c r="E31" s="93">
        <v>1829342227.6283355</v>
      </c>
      <c r="F31" s="35"/>
      <c r="G31" s="52" t="s">
        <v>242</v>
      </c>
      <c r="H31" s="38">
        <f t="shared" ref="H31:H50" si="6">_xlfn.IFNA(VLOOKUP(G31, $B$2:$D$200, 2, FALSE), "")</f>
        <v>11800</v>
      </c>
      <c r="I31" s="76">
        <f t="shared" ref="I31:I50" si="7">_xlfn.IFNA(VLOOKUP(G31, $B$2:$D$200, 3, FALSE), "")</f>
        <v>0.39562389120000002</v>
      </c>
      <c r="J31" s="85">
        <f>_xlfn.IFNA(VLOOKUP(G31, $B$2:$E$200, 4, FALSE), "")</f>
        <v>54266092.858796358</v>
      </c>
      <c r="K31" s="81" t="s">
        <v>65</v>
      </c>
      <c r="L31" s="38">
        <f t="shared" ref="L31:L50" si="8">_xlfn.IFNA(VLOOKUP(K31, $B$2:$D$200, 2, FALSE), "")</f>
        <v>83.6</v>
      </c>
      <c r="M31" s="76">
        <f t="shared" ref="M31:M50" si="9">_xlfn.IFNA(VLOOKUP(K31, $B$2:$D$200, 3, FALSE), "")</f>
        <v>6.36132316E-2</v>
      </c>
      <c r="N31" s="85">
        <f>_xlfn.IFNA(VLOOKUP(K31, $B$2:$E$200, 4, FALSE), "")</f>
        <v>767744242.15995705</v>
      </c>
      <c r="O31" s="81" t="s">
        <v>216</v>
      </c>
      <c r="P31" s="38">
        <f t="shared" ref="P31:P50" si="10">_xlfn.IFNA(VLOOKUP(O31, $B$2:$D$200, 2, FALSE), "")</f>
        <v>544</v>
      </c>
      <c r="Q31" s="76">
        <f t="shared" ref="Q31:Q50" si="11">_xlfn.IFNA(VLOOKUP(O31, $B$2:$D$200, 3, FALSE), "")</f>
        <v>0.18777292579999999</v>
      </c>
      <c r="R31" s="85">
        <f>_xlfn.IFNA(VLOOKUP(O31, $B$2:$E$200, 4, FALSE), "")</f>
        <v>246907425.95225847</v>
      </c>
    </row>
    <row r="32" spans="1:18">
      <c r="A32" s="40" t="s">
        <v>159</v>
      </c>
      <c r="B32" s="11" t="s">
        <v>160</v>
      </c>
      <c r="C32" s="95">
        <v>3115</v>
      </c>
      <c r="D32" s="92">
        <v>2.9752066099999998E-2</v>
      </c>
      <c r="E32" s="93">
        <v>5784486.2808066197</v>
      </c>
      <c r="F32" s="35"/>
      <c r="G32" s="47" t="s">
        <v>188</v>
      </c>
      <c r="H32" s="39">
        <f t="shared" si="6"/>
        <v>37610</v>
      </c>
      <c r="I32" s="77">
        <f t="shared" si="7"/>
        <v>0.24371693119999999</v>
      </c>
      <c r="J32" s="86">
        <f t="shared" ref="J32:J50" si="12">_xlfn.IFNA(VLOOKUP(G32, $B$2:$E$200, 4, FALSE), "")</f>
        <v>74798230.856582671</v>
      </c>
      <c r="K32" s="82" t="s">
        <v>100</v>
      </c>
      <c r="L32" s="39">
        <f t="shared" si="8"/>
        <v>10.1</v>
      </c>
      <c r="M32" s="77">
        <f t="shared" si="9"/>
        <v>4.3388429800000003E-2</v>
      </c>
      <c r="N32" s="86">
        <f t="shared" ref="N32:N50" si="13">_xlfn.IFNA(VLOOKUP(K32, $B$2:$E$200, 4, FALSE), "")</f>
        <v>121498093002.5717</v>
      </c>
      <c r="O32" s="82" t="s">
        <v>132</v>
      </c>
      <c r="P32" s="39">
        <f t="shared" si="10"/>
        <v>294</v>
      </c>
      <c r="Q32" s="77">
        <f t="shared" si="11"/>
        <v>0.1136363636</v>
      </c>
      <c r="R32" s="86">
        <f t="shared" ref="R32:R50" si="14">_xlfn.IFNA(VLOOKUP(O32, $B$2:$E$200, 4, FALSE), "")</f>
        <v>2660052571.566287</v>
      </c>
    </row>
    <row r="33" spans="1:18">
      <c r="A33" s="40" t="s">
        <v>183</v>
      </c>
      <c r="B33" s="11" t="s">
        <v>184</v>
      </c>
      <c r="C33" s="95">
        <v>2955</v>
      </c>
      <c r="D33" s="92">
        <v>2.7826086999999999E-2</v>
      </c>
      <c r="E33" s="93">
        <v>6960384.7160304496</v>
      </c>
      <c r="F33" s="35"/>
      <c r="G33" s="47" t="s">
        <v>216</v>
      </c>
      <c r="H33" s="39">
        <f t="shared" si="6"/>
        <v>544</v>
      </c>
      <c r="I33" s="77">
        <f t="shared" si="7"/>
        <v>0.18777292579999999</v>
      </c>
      <c r="J33" s="86">
        <f t="shared" si="12"/>
        <v>246907425.95225847</v>
      </c>
      <c r="K33" s="82" t="s">
        <v>152</v>
      </c>
      <c r="L33" s="39">
        <f t="shared" si="8"/>
        <v>51.8</v>
      </c>
      <c r="M33" s="77">
        <f t="shared" si="9"/>
        <v>2.5742574300000001E-2</v>
      </c>
      <c r="N33" s="86">
        <f t="shared" si="13"/>
        <v>1457309245.1440432</v>
      </c>
      <c r="O33" s="82" t="s">
        <v>170</v>
      </c>
      <c r="P33" s="39">
        <f t="shared" si="10"/>
        <v>586</v>
      </c>
      <c r="Q33" s="77">
        <f t="shared" si="11"/>
        <v>9.1247672299999999E-2</v>
      </c>
      <c r="R33" s="86">
        <f t="shared" si="14"/>
        <v>85810980.401596844</v>
      </c>
    </row>
    <row r="34" spans="1:18">
      <c r="A34" s="40" t="s">
        <v>167</v>
      </c>
      <c r="B34" s="11" t="s">
        <v>168</v>
      </c>
      <c r="C34" s="95">
        <v>270</v>
      </c>
      <c r="D34" s="92">
        <v>2.6615969600000001E-2</v>
      </c>
      <c r="E34" s="93">
        <v>570542708.44723666</v>
      </c>
      <c r="F34" s="35"/>
      <c r="G34" s="47" t="s">
        <v>114</v>
      </c>
      <c r="H34" s="39">
        <f t="shared" si="6"/>
        <v>14880</v>
      </c>
      <c r="I34" s="77">
        <f t="shared" si="7"/>
        <v>0.12217194570000001</v>
      </c>
      <c r="J34" s="86">
        <f t="shared" si="12"/>
        <v>5235487.1629036302</v>
      </c>
      <c r="K34" s="82" t="s">
        <v>196</v>
      </c>
      <c r="L34" s="39">
        <f t="shared" si="8"/>
        <v>20.5</v>
      </c>
      <c r="M34" s="77">
        <f t="shared" si="9"/>
        <v>1.4851485100000001E-2</v>
      </c>
      <c r="N34" s="86">
        <f t="shared" si="13"/>
        <v>506028501.55439883</v>
      </c>
      <c r="O34" s="82" t="s">
        <v>134</v>
      </c>
      <c r="P34" s="39">
        <f t="shared" si="10"/>
        <v>161</v>
      </c>
      <c r="Q34" s="77">
        <f t="shared" si="11"/>
        <v>5.9210526300000003E-2</v>
      </c>
      <c r="R34" s="86">
        <f t="shared" si="14"/>
        <v>130249978.7222244</v>
      </c>
    </row>
    <row r="35" spans="1:18">
      <c r="A35" s="40" t="s">
        <v>151</v>
      </c>
      <c r="B35" s="11" t="s">
        <v>152</v>
      </c>
      <c r="C35" s="95">
        <v>51.8</v>
      </c>
      <c r="D35" s="92">
        <v>2.5742574300000001E-2</v>
      </c>
      <c r="E35" s="93">
        <v>1457309245.1440432</v>
      </c>
      <c r="F35" s="35"/>
      <c r="G35" s="47" t="s">
        <v>132</v>
      </c>
      <c r="H35" s="44">
        <f t="shared" si="6"/>
        <v>294</v>
      </c>
      <c r="I35" s="78">
        <f t="shared" si="7"/>
        <v>0.1136363636</v>
      </c>
      <c r="J35" s="90">
        <f t="shared" si="12"/>
        <v>2660052571.566287</v>
      </c>
      <c r="K35" s="83" t="s">
        <v>186</v>
      </c>
      <c r="L35" s="44">
        <f t="shared" si="8"/>
        <v>25.4</v>
      </c>
      <c r="M35" s="78">
        <f t="shared" si="9"/>
        <v>1.19521912E-2</v>
      </c>
      <c r="N35" s="90">
        <f t="shared" si="13"/>
        <v>361601384.8253594</v>
      </c>
      <c r="O35" s="83" t="s">
        <v>182</v>
      </c>
      <c r="P35" s="44">
        <f t="shared" si="10"/>
        <v>559</v>
      </c>
      <c r="Q35" s="78">
        <f t="shared" si="11"/>
        <v>5.6710774999999998E-2</v>
      </c>
      <c r="R35" s="90">
        <f t="shared" si="14"/>
        <v>38172595.416037083</v>
      </c>
    </row>
    <row r="36" spans="1:18">
      <c r="A36" s="40" t="s">
        <v>91</v>
      </c>
      <c r="B36" s="11" t="s">
        <v>92</v>
      </c>
      <c r="C36" s="95">
        <v>2000</v>
      </c>
      <c r="D36" s="92">
        <v>2.30179028E-2</v>
      </c>
      <c r="E36" s="93">
        <v>598650468.23279297</v>
      </c>
      <c r="F36" s="35"/>
      <c r="G36" s="49" t="s">
        <v>272</v>
      </c>
      <c r="H36" s="39">
        <f t="shared" si="6"/>
        <v>2910</v>
      </c>
      <c r="I36" s="77">
        <f t="shared" si="7"/>
        <v>0.1106870229</v>
      </c>
      <c r="J36" s="99">
        <f t="shared" si="12"/>
        <v>21560183.7873221</v>
      </c>
      <c r="K36" s="82" t="s">
        <v>222</v>
      </c>
      <c r="L36" s="39">
        <f t="shared" si="8"/>
        <v>18.600000000000001</v>
      </c>
      <c r="M36" s="77">
        <f t="shared" si="9"/>
        <v>1.08695652E-2</v>
      </c>
      <c r="N36" s="99">
        <f t="shared" si="13"/>
        <v>320589817.22010851</v>
      </c>
      <c r="O36" s="82" t="s">
        <v>57</v>
      </c>
      <c r="P36" s="39">
        <f t="shared" si="10"/>
        <v>498</v>
      </c>
      <c r="Q36" s="77">
        <f t="shared" si="11"/>
        <v>5.0632911400000001E-2</v>
      </c>
      <c r="R36" s="99">
        <f t="shared" si="14"/>
        <v>271824327.2634753</v>
      </c>
    </row>
    <row r="37" spans="1:18">
      <c r="A37" s="40" t="s">
        <v>50</v>
      </c>
      <c r="B37" s="11" t="s">
        <v>51</v>
      </c>
      <c r="C37" s="95">
        <v>812</v>
      </c>
      <c r="D37" s="92">
        <v>2.1383647799999999E-2</v>
      </c>
      <c r="E37" s="93">
        <v>177714537.2080861</v>
      </c>
      <c r="F37" s="35"/>
      <c r="G37" s="47" t="s">
        <v>110</v>
      </c>
      <c r="H37" s="39">
        <f t="shared" si="6"/>
        <v>3315</v>
      </c>
      <c r="I37" s="77">
        <f t="shared" si="7"/>
        <v>9.4059405900000004E-2</v>
      </c>
      <c r="J37" s="86">
        <f t="shared" si="12"/>
        <v>9246197.6008660104</v>
      </c>
      <c r="K37" s="82" t="s">
        <v>218</v>
      </c>
      <c r="L37" s="39">
        <f t="shared" si="8"/>
        <v>28.2</v>
      </c>
      <c r="M37" s="77">
        <f t="shared" si="9"/>
        <v>1.0752688200000001E-2</v>
      </c>
      <c r="N37" s="86">
        <f t="shared" si="13"/>
        <v>444632648.23089367</v>
      </c>
      <c r="O37" s="82" t="s">
        <v>284</v>
      </c>
      <c r="P37" s="39">
        <f t="shared" si="10"/>
        <v>522</v>
      </c>
      <c r="Q37" s="77">
        <f t="shared" si="11"/>
        <v>5.03018109E-2</v>
      </c>
      <c r="R37" s="86">
        <f t="shared" si="14"/>
        <v>45110251.533986762</v>
      </c>
    </row>
    <row r="38" spans="1:18">
      <c r="A38" s="40" t="s">
        <v>295</v>
      </c>
      <c r="B38" s="11" t="s">
        <v>296</v>
      </c>
      <c r="C38" s="95">
        <v>722</v>
      </c>
      <c r="D38" s="92">
        <v>1.9774011300000002E-2</v>
      </c>
      <c r="E38" s="93">
        <v>6164168658.0053062</v>
      </c>
      <c r="F38" s="35"/>
      <c r="G38" s="47" t="s">
        <v>170</v>
      </c>
      <c r="H38" s="39">
        <f t="shared" si="6"/>
        <v>586</v>
      </c>
      <c r="I38" s="77">
        <f t="shared" si="7"/>
        <v>9.1247672299999999E-2</v>
      </c>
      <c r="J38" s="86">
        <f t="shared" si="12"/>
        <v>85810980.401596844</v>
      </c>
      <c r="K38" s="82" t="s">
        <v>236</v>
      </c>
      <c r="L38" s="39">
        <f t="shared" si="8"/>
        <v>68.3</v>
      </c>
      <c r="M38" s="77">
        <f t="shared" si="9"/>
        <v>8.8626291999999995E-3</v>
      </c>
      <c r="N38" s="86">
        <f t="shared" si="13"/>
        <v>217441343.33502841</v>
      </c>
      <c r="O38" s="82" t="s">
        <v>270</v>
      </c>
      <c r="P38" s="39">
        <f t="shared" si="10"/>
        <v>633</v>
      </c>
      <c r="Q38" s="77">
        <f t="shared" si="11"/>
        <v>4.4554455399999998E-2</v>
      </c>
      <c r="R38" s="86">
        <f t="shared" si="14"/>
        <v>33001322.05483361</v>
      </c>
    </row>
    <row r="39" spans="1:18">
      <c r="A39" s="40" t="s">
        <v>195</v>
      </c>
      <c r="B39" s="11" t="s">
        <v>196</v>
      </c>
      <c r="C39" s="95">
        <v>20.5</v>
      </c>
      <c r="D39" s="92">
        <v>1.4851485100000001E-2</v>
      </c>
      <c r="E39" s="93">
        <v>506028501.55439883</v>
      </c>
      <c r="F39" s="35"/>
      <c r="G39" s="47" t="s">
        <v>248</v>
      </c>
      <c r="H39" s="39">
        <f t="shared" si="6"/>
        <v>4180</v>
      </c>
      <c r="I39" s="77">
        <f t="shared" si="7"/>
        <v>8.5714285700000004E-2</v>
      </c>
      <c r="J39" s="86">
        <f t="shared" si="12"/>
        <v>19954548.981527749</v>
      </c>
      <c r="K39" s="82" t="s">
        <v>126</v>
      </c>
      <c r="L39" s="39">
        <f t="shared" si="8"/>
        <v>61.8</v>
      </c>
      <c r="M39" s="77">
        <f t="shared" si="9"/>
        <v>8.1566069000000001E-3</v>
      </c>
      <c r="N39" s="86">
        <f t="shared" si="13"/>
        <v>233290761.88029864</v>
      </c>
      <c r="O39" s="82" t="s">
        <v>278</v>
      </c>
      <c r="P39" s="39">
        <f t="shared" si="10"/>
        <v>183</v>
      </c>
      <c r="Q39" s="77">
        <f t="shared" si="11"/>
        <v>3.9772727299999998E-2</v>
      </c>
      <c r="R39" s="86">
        <f t="shared" si="14"/>
        <v>244329921.48523042</v>
      </c>
    </row>
    <row r="40" spans="1:18" ht="17.25" thickBot="1">
      <c r="A40" s="40" t="s">
        <v>261</v>
      </c>
      <c r="B40" s="11" t="s">
        <v>262</v>
      </c>
      <c r="C40" s="95">
        <v>1505</v>
      </c>
      <c r="D40" s="92">
        <v>1.3468013500000001E-2</v>
      </c>
      <c r="E40" s="93">
        <v>58091352.780126572</v>
      </c>
      <c r="F40" s="35"/>
      <c r="G40" s="53" t="s">
        <v>80</v>
      </c>
      <c r="H40" s="37">
        <f t="shared" si="6"/>
        <v>1835</v>
      </c>
      <c r="I40" s="79">
        <f t="shared" si="7"/>
        <v>6.9970845500000003E-2</v>
      </c>
      <c r="J40" s="87">
        <f t="shared" si="12"/>
        <v>25461998.67584708</v>
      </c>
      <c r="K40" s="84" t="s">
        <v>154</v>
      </c>
      <c r="L40" s="37">
        <f t="shared" si="8"/>
        <v>20.7</v>
      </c>
      <c r="M40" s="79">
        <f t="shared" si="9"/>
        <v>0</v>
      </c>
      <c r="N40" s="87">
        <f t="shared" si="13"/>
        <v>791473775.92339337</v>
      </c>
      <c r="O40" s="84" t="s">
        <v>142</v>
      </c>
      <c r="P40" s="37">
        <f t="shared" si="10"/>
        <v>487</v>
      </c>
      <c r="Q40" s="79">
        <f t="shared" si="11"/>
        <v>3.83795309E-2</v>
      </c>
      <c r="R40" s="87">
        <f t="shared" si="14"/>
        <v>77886696.125810415</v>
      </c>
    </row>
    <row r="41" spans="1:18">
      <c r="A41" s="40" t="s">
        <v>83</v>
      </c>
      <c r="B41" s="11" t="s">
        <v>84</v>
      </c>
      <c r="C41" s="95">
        <v>2055</v>
      </c>
      <c r="D41" s="92">
        <v>1.23152709E-2</v>
      </c>
      <c r="E41" s="93">
        <v>156134565.54649723</v>
      </c>
      <c r="F41" s="35"/>
      <c r="G41" s="52" t="s">
        <v>144</v>
      </c>
      <c r="H41" s="38">
        <f t="shared" si="6"/>
        <v>17180</v>
      </c>
      <c r="I41" s="76">
        <f t="shared" si="7"/>
        <v>6.4436183399999999E-2</v>
      </c>
      <c r="J41" s="85">
        <f t="shared" si="12"/>
        <v>18604714.758380439</v>
      </c>
      <c r="K41" s="81" t="s">
        <v>198</v>
      </c>
      <c r="L41" s="38">
        <f t="shared" si="8"/>
        <v>27.8</v>
      </c>
      <c r="M41" s="76">
        <f t="shared" si="9"/>
        <v>-3.5842294000000001E-3</v>
      </c>
      <c r="N41" s="85">
        <f t="shared" si="13"/>
        <v>909395191.00111961</v>
      </c>
      <c r="O41" s="81" t="s">
        <v>232</v>
      </c>
      <c r="P41" s="38">
        <f t="shared" si="10"/>
        <v>175</v>
      </c>
      <c r="Q41" s="76">
        <f t="shared" si="11"/>
        <v>3.5502958600000002E-2</v>
      </c>
      <c r="R41" s="85">
        <f t="shared" si="14"/>
        <v>45915677.791405492</v>
      </c>
    </row>
    <row r="42" spans="1:18">
      <c r="A42" s="40" t="s">
        <v>185</v>
      </c>
      <c r="B42" s="11" t="s">
        <v>186</v>
      </c>
      <c r="C42" s="95">
        <v>25.4</v>
      </c>
      <c r="D42" s="92">
        <v>1.19521912E-2</v>
      </c>
      <c r="E42" s="93">
        <v>361601384.8253594</v>
      </c>
      <c r="F42" s="35"/>
      <c r="G42" s="47" t="s">
        <v>65</v>
      </c>
      <c r="H42" s="39">
        <f t="shared" si="6"/>
        <v>83.6</v>
      </c>
      <c r="I42" s="77">
        <f t="shared" si="7"/>
        <v>6.36132316E-2</v>
      </c>
      <c r="J42" s="86">
        <f t="shared" si="12"/>
        <v>767744242.15995705</v>
      </c>
      <c r="K42" s="82" t="s">
        <v>228</v>
      </c>
      <c r="L42" s="39">
        <f t="shared" si="8"/>
        <v>18.3</v>
      </c>
      <c r="M42" s="77">
        <f t="shared" si="9"/>
        <v>-5.4347826000000002E-3</v>
      </c>
      <c r="N42" s="86">
        <f t="shared" si="13"/>
        <v>1098696580.3719797</v>
      </c>
      <c r="O42" s="82" t="s">
        <v>128</v>
      </c>
      <c r="P42" s="39">
        <f t="shared" si="10"/>
        <v>734</v>
      </c>
      <c r="Q42" s="77">
        <f t="shared" si="11"/>
        <v>3.3802816899999998E-2</v>
      </c>
      <c r="R42" s="86">
        <f t="shared" si="14"/>
        <v>31305144.201130949</v>
      </c>
    </row>
    <row r="43" spans="1:18">
      <c r="A43" s="40" t="s">
        <v>281</v>
      </c>
      <c r="B43" s="11" t="s">
        <v>282</v>
      </c>
      <c r="C43" s="95">
        <v>176</v>
      </c>
      <c r="D43" s="92">
        <v>1.14942529E-2</v>
      </c>
      <c r="E43" s="93">
        <v>67665378.809349015</v>
      </c>
      <c r="F43" s="35"/>
      <c r="G43" s="47" t="s">
        <v>118</v>
      </c>
      <c r="H43" s="39">
        <f t="shared" si="6"/>
        <v>8105</v>
      </c>
      <c r="I43" s="77">
        <f t="shared" si="7"/>
        <v>6.2254259499999999E-2</v>
      </c>
      <c r="J43" s="86">
        <f t="shared" si="12"/>
        <v>2905158.8994291099</v>
      </c>
      <c r="K43" s="82" t="s">
        <v>214</v>
      </c>
      <c r="L43" s="39">
        <f t="shared" si="8"/>
        <v>21.7</v>
      </c>
      <c r="M43" s="77">
        <f t="shared" si="9"/>
        <v>-9.1324201000000001E-3</v>
      </c>
      <c r="N43" s="86">
        <f t="shared" si="13"/>
        <v>444343690.90506679</v>
      </c>
      <c r="O43" s="82" t="s">
        <v>156</v>
      </c>
      <c r="P43" s="39">
        <f t="shared" si="10"/>
        <v>192</v>
      </c>
      <c r="Q43" s="77">
        <f t="shared" si="11"/>
        <v>3.2258064500000003E-2</v>
      </c>
      <c r="R43" s="86">
        <f t="shared" si="14"/>
        <v>1829342227.6283355</v>
      </c>
    </row>
    <row r="44" spans="1:18">
      <c r="A44" s="40" t="s">
        <v>263</v>
      </c>
      <c r="B44" s="11" t="s">
        <v>264</v>
      </c>
      <c r="C44" s="95">
        <v>183</v>
      </c>
      <c r="D44" s="92">
        <v>1.1049723799999999E-2</v>
      </c>
      <c r="E44" s="93">
        <v>84002547.991991267</v>
      </c>
      <c r="F44" s="35"/>
      <c r="G44" s="47" t="s">
        <v>134</v>
      </c>
      <c r="H44" s="39">
        <f t="shared" si="6"/>
        <v>161</v>
      </c>
      <c r="I44" s="77">
        <f t="shared" si="7"/>
        <v>5.9210526300000003E-2</v>
      </c>
      <c r="J44" s="86">
        <f t="shared" si="12"/>
        <v>130249978.7222244</v>
      </c>
      <c r="K44" s="82" t="s">
        <v>172</v>
      </c>
      <c r="L44" s="39">
        <f t="shared" si="8"/>
        <v>24.3</v>
      </c>
      <c r="M44" s="77">
        <f t="shared" si="9"/>
        <v>-1.2195121999999999E-2</v>
      </c>
      <c r="N44" s="86">
        <f t="shared" si="13"/>
        <v>259017068.01787764</v>
      </c>
      <c r="O44" s="82" t="s">
        <v>168</v>
      </c>
      <c r="P44" s="39">
        <f t="shared" si="10"/>
        <v>270</v>
      </c>
      <c r="Q44" s="77">
        <f t="shared" si="11"/>
        <v>2.6615969600000001E-2</v>
      </c>
      <c r="R44" s="86">
        <f t="shared" si="14"/>
        <v>570542708.44723666</v>
      </c>
    </row>
    <row r="45" spans="1:18">
      <c r="A45" s="40" t="s">
        <v>221</v>
      </c>
      <c r="B45" s="11" t="s">
        <v>222</v>
      </c>
      <c r="C45" s="95">
        <v>18.600000000000001</v>
      </c>
      <c r="D45" s="92">
        <v>1.08695652E-2</v>
      </c>
      <c r="E45" s="93">
        <v>320589817.22010851</v>
      </c>
      <c r="F45" s="35"/>
      <c r="G45" s="47" t="s">
        <v>140</v>
      </c>
      <c r="H45" s="44">
        <f t="shared" si="6"/>
        <v>4580</v>
      </c>
      <c r="I45" s="78">
        <f t="shared" si="7"/>
        <v>5.7736720599999999E-2</v>
      </c>
      <c r="J45" s="90">
        <f t="shared" si="12"/>
        <v>4689120.6962882997</v>
      </c>
      <c r="K45" s="83" t="s">
        <v>268</v>
      </c>
      <c r="L45" s="44">
        <f t="shared" si="8"/>
        <v>93.1</v>
      </c>
      <c r="M45" s="78">
        <f t="shared" si="9"/>
        <v>-1.6895459299999999E-2</v>
      </c>
      <c r="N45" s="90">
        <f t="shared" si="13"/>
        <v>109460538.15529662</v>
      </c>
      <c r="O45" s="83" t="s">
        <v>51</v>
      </c>
      <c r="P45" s="44">
        <f t="shared" si="10"/>
        <v>812</v>
      </c>
      <c r="Q45" s="78">
        <f t="shared" si="11"/>
        <v>2.1383647799999999E-2</v>
      </c>
      <c r="R45" s="90">
        <f t="shared" si="14"/>
        <v>177714537.2080861</v>
      </c>
    </row>
    <row r="46" spans="1:18">
      <c r="A46" s="40" t="s">
        <v>217</v>
      </c>
      <c r="B46" s="11" t="s">
        <v>218</v>
      </c>
      <c r="C46" s="95">
        <v>28.2</v>
      </c>
      <c r="D46" s="92">
        <v>1.0752688200000001E-2</v>
      </c>
      <c r="E46" s="93">
        <v>444632648.23089367</v>
      </c>
      <c r="F46" s="35"/>
      <c r="G46" s="49" t="s">
        <v>182</v>
      </c>
      <c r="H46" s="39">
        <f t="shared" si="6"/>
        <v>559</v>
      </c>
      <c r="I46" s="77">
        <f t="shared" si="7"/>
        <v>5.6710774999999998E-2</v>
      </c>
      <c r="J46" s="99">
        <f t="shared" si="12"/>
        <v>38172595.416037083</v>
      </c>
      <c r="K46" s="82" t="s">
        <v>254</v>
      </c>
      <c r="L46" s="39">
        <f t="shared" si="8"/>
        <v>83</v>
      </c>
      <c r="M46" s="77">
        <f t="shared" si="9"/>
        <v>-2.0070838300000001E-2</v>
      </c>
      <c r="N46" s="99">
        <f t="shared" si="13"/>
        <v>77858444.622968361</v>
      </c>
      <c r="O46" s="82" t="s">
        <v>296</v>
      </c>
      <c r="P46" s="39">
        <f t="shared" si="10"/>
        <v>722</v>
      </c>
      <c r="Q46" s="77">
        <f t="shared" si="11"/>
        <v>1.9774011300000002E-2</v>
      </c>
      <c r="R46" s="99">
        <f t="shared" si="14"/>
        <v>6164168658.0053062</v>
      </c>
    </row>
    <row r="47" spans="1:18">
      <c r="A47" s="40" t="s">
        <v>235</v>
      </c>
      <c r="B47" s="11" t="s">
        <v>236</v>
      </c>
      <c r="C47" s="95">
        <v>68.3</v>
      </c>
      <c r="D47" s="92">
        <v>8.8626291999999995E-3</v>
      </c>
      <c r="E47" s="93">
        <v>217441343.33502841</v>
      </c>
      <c r="F47" s="35"/>
      <c r="G47" s="47" t="s">
        <v>57</v>
      </c>
      <c r="H47" s="39">
        <f t="shared" si="6"/>
        <v>498</v>
      </c>
      <c r="I47" s="77">
        <f t="shared" si="7"/>
        <v>5.0632911400000001E-2</v>
      </c>
      <c r="J47" s="86">
        <f t="shared" si="12"/>
        <v>271824327.2634753</v>
      </c>
      <c r="K47" s="82" t="s">
        <v>266</v>
      </c>
      <c r="L47" s="39">
        <f t="shared" si="8"/>
        <v>94.3</v>
      </c>
      <c r="M47" s="77">
        <f t="shared" si="9"/>
        <v>-2.1784232399999999E-2</v>
      </c>
      <c r="N47" s="86">
        <f t="shared" si="13"/>
        <v>171084508.65534073</v>
      </c>
      <c r="O47" s="82" t="s">
        <v>282</v>
      </c>
      <c r="P47" s="39">
        <f t="shared" si="10"/>
        <v>176</v>
      </c>
      <c r="Q47" s="77">
        <f t="shared" si="11"/>
        <v>1.14942529E-2</v>
      </c>
      <c r="R47" s="86">
        <f t="shared" si="14"/>
        <v>67665378.809349015</v>
      </c>
    </row>
    <row r="48" spans="1:18">
      <c r="A48" s="40" t="s">
        <v>125</v>
      </c>
      <c r="B48" s="11" t="s">
        <v>126</v>
      </c>
      <c r="C48" s="95">
        <v>61.8</v>
      </c>
      <c r="D48" s="92">
        <v>8.1566069000000001E-3</v>
      </c>
      <c r="E48" s="93">
        <v>233290761.88029864</v>
      </c>
      <c r="F48" s="35"/>
      <c r="G48" s="47" t="s">
        <v>284</v>
      </c>
      <c r="H48" s="39">
        <f t="shared" si="6"/>
        <v>522</v>
      </c>
      <c r="I48" s="77">
        <f t="shared" si="7"/>
        <v>5.03018109E-2</v>
      </c>
      <c r="J48" s="86">
        <f t="shared" si="12"/>
        <v>45110251.533986762</v>
      </c>
      <c r="K48" s="82" t="s">
        <v>220</v>
      </c>
      <c r="L48" s="39">
        <f t="shared" si="8"/>
        <v>20.399999999999999</v>
      </c>
      <c r="M48" s="77">
        <f t="shared" si="9"/>
        <v>-2.3923445000000002E-2</v>
      </c>
      <c r="N48" s="86">
        <f t="shared" si="13"/>
        <v>382752173.88753343</v>
      </c>
      <c r="O48" s="82" t="s">
        <v>264</v>
      </c>
      <c r="P48" s="39">
        <f t="shared" si="10"/>
        <v>183</v>
      </c>
      <c r="Q48" s="77">
        <f t="shared" si="11"/>
        <v>1.1049723799999999E-2</v>
      </c>
      <c r="R48" s="86">
        <f t="shared" si="14"/>
        <v>84002547.991991267</v>
      </c>
    </row>
    <row r="49" spans="1:18">
      <c r="A49" s="40" t="s">
        <v>135</v>
      </c>
      <c r="B49" s="11" t="s">
        <v>136</v>
      </c>
      <c r="C49" s="95">
        <v>287</v>
      </c>
      <c r="D49" s="92">
        <v>7.0175439000000001E-3</v>
      </c>
      <c r="E49" s="93">
        <v>69724585.990911216</v>
      </c>
      <c r="F49" s="35"/>
      <c r="G49" s="47" t="s">
        <v>106</v>
      </c>
      <c r="H49" s="39">
        <f t="shared" si="6"/>
        <v>2625</v>
      </c>
      <c r="I49" s="77">
        <f t="shared" si="7"/>
        <v>0.05</v>
      </c>
      <c r="J49" s="86">
        <f t="shared" si="12"/>
        <v>13988435.8052305</v>
      </c>
      <c r="K49" s="82" t="s">
        <v>72</v>
      </c>
      <c r="L49" s="39">
        <f t="shared" si="8"/>
        <v>38.1</v>
      </c>
      <c r="M49" s="77">
        <f t="shared" si="9"/>
        <v>-3.2994923900000001E-2</v>
      </c>
      <c r="N49" s="86">
        <f t="shared" si="13"/>
        <v>271986966.22693163</v>
      </c>
      <c r="O49" s="82" t="s">
        <v>136</v>
      </c>
      <c r="P49" s="39">
        <f t="shared" si="10"/>
        <v>287</v>
      </c>
      <c r="Q49" s="77">
        <f t="shared" si="11"/>
        <v>7.0175439000000001E-3</v>
      </c>
      <c r="R49" s="86">
        <f t="shared" si="14"/>
        <v>69724585.990911216</v>
      </c>
    </row>
    <row r="50" spans="1:18" ht="17.25" thickBot="1">
      <c r="A50" s="40" t="s">
        <v>81</v>
      </c>
      <c r="B50" s="11" t="s">
        <v>82</v>
      </c>
      <c r="C50" s="95">
        <v>1595</v>
      </c>
      <c r="D50" s="92">
        <v>6.3091483000000002E-3</v>
      </c>
      <c r="E50" s="93">
        <v>2158620.61795865</v>
      </c>
      <c r="F50" s="35"/>
      <c r="G50" s="53" t="s">
        <v>270</v>
      </c>
      <c r="H50" s="37">
        <f t="shared" si="6"/>
        <v>633</v>
      </c>
      <c r="I50" s="79">
        <f t="shared" si="7"/>
        <v>4.4554455399999998E-2</v>
      </c>
      <c r="J50" s="87">
        <f t="shared" si="12"/>
        <v>33001322.05483361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112</v>
      </c>
      <c r="P50" s="37">
        <f t="shared" si="10"/>
        <v>251</v>
      </c>
      <c r="Q50" s="79">
        <f t="shared" si="11"/>
        <v>4.0000000000000001E-3</v>
      </c>
      <c r="R50" s="87">
        <f t="shared" si="14"/>
        <v>81159124.033119515</v>
      </c>
    </row>
    <row r="51" spans="1:18">
      <c r="A51" s="40" t="s">
        <v>62</v>
      </c>
      <c r="B51" s="11" t="s">
        <v>63</v>
      </c>
      <c r="C51" s="95">
        <v>150700</v>
      </c>
      <c r="D51" s="92">
        <v>4.3318894000000004E-3</v>
      </c>
      <c r="E51" s="93">
        <v>4789310.7866792604</v>
      </c>
      <c r="F51" s="35"/>
    </row>
    <row r="52" spans="1:18" ht="17.25" thickBot="1">
      <c r="A52" s="40" t="s">
        <v>111</v>
      </c>
      <c r="B52" s="11" t="s">
        <v>112</v>
      </c>
      <c r="C52" s="95">
        <v>251</v>
      </c>
      <c r="D52" s="92">
        <v>4.0000000000000001E-3</v>
      </c>
      <c r="E52" s="93">
        <v>81159124.033119515</v>
      </c>
      <c r="F52" s="35"/>
    </row>
    <row r="53" spans="1:18" ht="17.25" thickBot="1">
      <c r="A53" s="40" t="s">
        <v>87</v>
      </c>
      <c r="B53" s="11" t="s">
        <v>88</v>
      </c>
      <c r="C53" s="95">
        <v>617</v>
      </c>
      <c r="D53" s="92">
        <v>3.2520324999999999E-3</v>
      </c>
      <c r="E53" s="93">
        <v>119736462.49195841</v>
      </c>
      <c r="F53" s="35"/>
      <c r="G53" s="193" t="s">
        <v>285</v>
      </c>
      <c r="H53" s="194"/>
      <c r="I53" s="194"/>
      <c r="J53" s="195"/>
      <c r="K53" s="193" t="s">
        <v>288</v>
      </c>
      <c r="L53" s="194"/>
      <c r="M53" s="194"/>
      <c r="N53" s="195"/>
      <c r="O53" s="193" t="s">
        <v>289</v>
      </c>
      <c r="P53" s="194"/>
      <c r="Q53" s="194"/>
      <c r="R53" s="195"/>
    </row>
    <row r="54" spans="1:18" ht="17.25" thickBot="1">
      <c r="A54" s="40" t="s">
        <v>203</v>
      </c>
      <c r="B54" s="11" t="s">
        <v>204</v>
      </c>
      <c r="C54" s="95">
        <v>8400</v>
      </c>
      <c r="D54" s="92">
        <v>2.9850746000000001E-3</v>
      </c>
      <c r="E54" s="93">
        <v>35285737.654139191</v>
      </c>
      <c r="F54" s="35"/>
      <c r="G54" s="230" t="s">
        <v>55</v>
      </c>
      <c r="H54" s="246">
        <f ca="1">NOW()</f>
        <v>44323.913974884257</v>
      </c>
      <c r="I54" s="247"/>
      <c r="J54" s="248"/>
      <c r="K54" s="245" t="s">
        <v>55</v>
      </c>
      <c r="L54" s="246">
        <f ca="1">NOW()</f>
        <v>44323.913974884257</v>
      </c>
      <c r="M54" s="247"/>
      <c r="N54" s="248"/>
      <c r="O54" s="245" t="s">
        <v>55</v>
      </c>
      <c r="P54" s="246">
        <f ca="1">NOW()</f>
        <v>44323.913974884257</v>
      </c>
      <c r="Q54" s="247"/>
      <c r="R54" s="248"/>
    </row>
    <row r="55" spans="1:18" ht="17.25" thickBot="1">
      <c r="A55" s="40" t="s">
        <v>147</v>
      </c>
      <c r="B55" s="11" t="s">
        <v>148</v>
      </c>
      <c r="C55" s="95">
        <v>194</v>
      </c>
      <c r="D55" s="92">
        <v>0</v>
      </c>
      <c r="E55" s="93">
        <v>109592029.17786264</v>
      </c>
      <c r="F55" s="35"/>
      <c r="G55" s="238"/>
      <c r="H55" s="51" t="s">
        <v>58</v>
      </c>
      <c r="I55" s="73" t="s">
        <v>59</v>
      </c>
      <c r="J55" s="69" t="s">
        <v>294</v>
      </c>
      <c r="K55" s="216"/>
      <c r="L55" s="51" t="s">
        <v>58</v>
      </c>
      <c r="M55" s="73" t="s">
        <v>59</v>
      </c>
      <c r="N55" s="69" t="s">
        <v>294</v>
      </c>
      <c r="O55" s="216"/>
      <c r="P55" s="51" t="s">
        <v>58</v>
      </c>
      <c r="Q55" s="73" t="s">
        <v>59</v>
      </c>
      <c r="R55" s="69" t="s">
        <v>294</v>
      </c>
    </row>
    <row r="56" spans="1:18">
      <c r="A56" s="40" t="s">
        <v>153</v>
      </c>
      <c r="B56" s="11" t="s">
        <v>154</v>
      </c>
      <c r="C56" s="95">
        <v>20.7</v>
      </c>
      <c r="D56" s="92">
        <v>0</v>
      </c>
      <c r="E56" s="93">
        <v>791473775.92339337</v>
      </c>
      <c r="F56" s="35"/>
      <c r="G56" s="55" t="s">
        <v>250</v>
      </c>
      <c r="H56" s="38">
        <f t="shared" ref="H56:H75" si="15">_xlfn.IFNA(VLOOKUP(G56, $B$2:$D$200, 2, FALSE), "")</f>
        <v>209</v>
      </c>
      <c r="I56" s="76">
        <f t="shared" ref="I56:I65" si="16">_xlfn.IFNA(VLOOKUP(G56, $B$2:$D$200, 3, FALSE), "")</f>
        <v>-2.3364486E-2</v>
      </c>
      <c r="J56" s="85">
        <f>_xlfn.IFNA(VLOOKUP(G56, $B$2:$E$200, 4, FALSE), "")</f>
        <v>25093323.462620419</v>
      </c>
      <c r="K56" s="81" t="s">
        <v>65</v>
      </c>
      <c r="L56" s="38">
        <f t="shared" ref="L56:L75" si="17">_xlfn.IFNA(VLOOKUP(K56, $B$2:$D$200, 2, FALSE), "")</f>
        <v>83.6</v>
      </c>
      <c r="M56" s="76">
        <f t="shared" ref="M56:M75" si="18">_xlfn.IFNA(VLOOKUP(K56, $B$2:$D$200, 3, FALSE), "")</f>
        <v>6.36132316E-2</v>
      </c>
      <c r="N56" s="85">
        <f>_xlfn.IFNA(VLOOKUP(K56, $B$2:$E$200, 4, FALSE), "")</f>
        <v>767744242.15995705</v>
      </c>
      <c r="O56" s="81" t="s">
        <v>54</v>
      </c>
      <c r="P56" s="38">
        <f t="shared" ref="P56:P75" si="19">_xlfn.IFNA(VLOOKUP(O56, $B$2:$D$200, 2, FALSE), "")</f>
        <v>377</v>
      </c>
      <c r="Q56" s="76">
        <f t="shared" ref="Q56:Q75" si="20">_xlfn.IFNA(VLOOKUP(O56, $B$2:$D$200, 3, FALSE), "")</f>
        <v>0</v>
      </c>
      <c r="R56" s="85">
        <f>_xlfn.IFNA(VLOOKUP(O56, $B$2:$E$200, 4, FALSE), "")</f>
        <v>34865520.321322881</v>
      </c>
    </row>
    <row r="57" spans="1:18">
      <c r="A57" s="40" t="s">
        <v>53</v>
      </c>
      <c r="B57" s="11" t="s">
        <v>54</v>
      </c>
      <c r="C57" s="95">
        <v>377</v>
      </c>
      <c r="D57" s="92">
        <v>0</v>
      </c>
      <c r="E57" s="93">
        <v>34865520.321322881</v>
      </c>
      <c r="F57" s="35"/>
      <c r="G57" s="56" t="s">
        <v>220</v>
      </c>
      <c r="H57" s="39">
        <f t="shared" si="15"/>
        <v>20.399999999999999</v>
      </c>
      <c r="I57" s="77">
        <f t="shared" si="16"/>
        <v>-2.3923445000000002E-2</v>
      </c>
      <c r="J57" s="86">
        <f t="shared" ref="J57:J75" si="21">_xlfn.IFNA(VLOOKUP(G57, $B$2:$E$200, 4, FALSE), "")</f>
        <v>382752173.88753343</v>
      </c>
      <c r="K57" s="82" t="s">
        <v>100</v>
      </c>
      <c r="L57" s="39">
        <f t="shared" si="17"/>
        <v>10.1</v>
      </c>
      <c r="M57" s="77">
        <f t="shared" si="18"/>
        <v>4.3388429800000003E-2</v>
      </c>
      <c r="N57" s="86">
        <f t="shared" ref="N57:N75" si="22">_xlfn.IFNA(VLOOKUP(K57, $B$2:$E$200, 4, FALSE), "")</f>
        <v>121498093002.5717</v>
      </c>
      <c r="O57" s="82" t="s">
        <v>174</v>
      </c>
      <c r="P57" s="39">
        <f t="shared" si="19"/>
        <v>268</v>
      </c>
      <c r="Q57" s="77">
        <f t="shared" si="20"/>
        <v>0</v>
      </c>
      <c r="R57" s="86">
        <f t="shared" ref="R57:R75" si="23">_xlfn.IFNA(VLOOKUP(O57, $B$2:$E$200, 4, FALSE), "")</f>
        <v>54514030.969367653</v>
      </c>
    </row>
    <row r="58" spans="1:18">
      <c r="A58" s="40" t="s">
        <v>173</v>
      </c>
      <c r="B58" s="11" t="s">
        <v>174</v>
      </c>
      <c r="C58" s="95">
        <v>268</v>
      </c>
      <c r="D58" s="92">
        <v>0</v>
      </c>
      <c r="E58" s="93">
        <v>54514030.969367653</v>
      </c>
      <c r="F58" s="35"/>
      <c r="G58" s="56" t="s">
        <v>200</v>
      </c>
      <c r="H58" s="39">
        <f t="shared" si="15"/>
        <v>359</v>
      </c>
      <c r="I58" s="77">
        <f t="shared" si="16"/>
        <v>-2.4456521700000001E-2</v>
      </c>
      <c r="J58" s="86">
        <f t="shared" si="21"/>
        <v>38300933.801096059</v>
      </c>
      <c r="K58" s="82" t="s">
        <v>152</v>
      </c>
      <c r="L58" s="39">
        <f t="shared" si="17"/>
        <v>51.8</v>
      </c>
      <c r="M58" s="77">
        <f t="shared" si="18"/>
        <v>2.5742574300000001E-2</v>
      </c>
      <c r="N58" s="86">
        <f t="shared" si="22"/>
        <v>1457309245.1440432</v>
      </c>
      <c r="O58" s="82" t="s">
        <v>240</v>
      </c>
      <c r="P58" s="39">
        <f t="shared" si="19"/>
        <v>180</v>
      </c>
      <c r="Q58" s="77">
        <f t="shared" si="20"/>
        <v>-5.5248618999999997E-3</v>
      </c>
      <c r="R58" s="86">
        <f t="shared" si="23"/>
        <v>34611411.633057669</v>
      </c>
    </row>
    <row r="59" spans="1:18">
      <c r="A59" s="40" t="s">
        <v>129</v>
      </c>
      <c r="B59" s="11" t="s">
        <v>130</v>
      </c>
      <c r="C59" s="95">
        <v>433450</v>
      </c>
      <c r="D59" s="92">
        <v>-2.1869245E-3</v>
      </c>
      <c r="E59" s="93">
        <v>581425.25531299005</v>
      </c>
      <c r="F59" s="35"/>
      <c r="G59" s="56" t="s">
        <v>162</v>
      </c>
      <c r="H59" s="39">
        <f t="shared" si="15"/>
        <v>1970</v>
      </c>
      <c r="I59" s="77">
        <f t="shared" si="16"/>
        <v>-2.4752475199999999E-2</v>
      </c>
      <c r="J59" s="86">
        <f t="shared" si="21"/>
        <v>11342118.58957966</v>
      </c>
      <c r="K59" s="82" t="s">
        <v>196</v>
      </c>
      <c r="L59" s="39">
        <f t="shared" si="17"/>
        <v>20.5</v>
      </c>
      <c r="M59" s="77">
        <f t="shared" si="18"/>
        <v>1.4851485100000001E-2</v>
      </c>
      <c r="N59" s="86">
        <f t="shared" si="22"/>
        <v>506028501.55439883</v>
      </c>
      <c r="O59" s="82" t="s">
        <v>238</v>
      </c>
      <c r="P59" s="39">
        <f t="shared" si="19"/>
        <v>287</v>
      </c>
      <c r="Q59" s="77">
        <f t="shared" si="20"/>
        <v>-6.9204152000000001E-3</v>
      </c>
      <c r="R59" s="86">
        <f t="shared" si="23"/>
        <v>15002093.722322879</v>
      </c>
    </row>
    <row r="60" spans="1:18">
      <c r="A60" s="40" t="s">
        <v>48</v>
      </c>
      <c r="B60" s="11" t="s">
        <v>49</v>
      </c>
      <c r="C60" s="95">
        <v>68581000</v>
      </c>
      <c r="D60" s="92">
        <v>-2.7047857000000002E-3</v>
      </c>
      <c r="E60" s="93">
        <v>7131.7005367800002</v>
      </c>
      <c r="F60" s="35"/>
      <c r="G60" s="56" t="s">
        <v>164</v>
      </c>
      <c r="H60" s="39">
        <f t="shared" si="15"/>
        <v>40790</v>
      </c>
      <c r="I60" s="77">
        <f t="shared" si="16"/>
        <v>-2.62592504E-2</v>
      </c>
      <c r="J60" s="90">
        <f t="shared" si="21"/>
        <v>1215470.6971849799</v>
      </c>
      <c r="K60" s="83" t="s">
        <v>186</v>
      </c>
      <c r="L60" s="44">
        <f t="shared" si="17"/>
        <v>25.4</v>
      </c>
      <c r="M60" s="78">
        <f t="shared" si="18"/>
        <v>1.19521912E-2</v>
      </c>
      <c r="N60" s="90">
        <f t="shared" si="22"/>
        <v>361601384.8253594</v>
      </c>
      <c r="O60" s="83" t="s">
        <v>246</v>
      </c>
      <c r="P60" s="44">
        <f t="shared" si="19"/>
        <v>387</v>
      </c>
      <c r="Q60" s="78">
        <f t="shared" si="20"/>
        <v>-7.6923076999999996E-3</v>
      </c>
      <c r="R60" s="90">
        <f t="shared" si="23"/>
        <v>15772460.921061561</v>
      </c>
    </row>
    <row r="61" spans="1:18">
      <c r="A61" s="40" t="s">
        <v>197</v>
      </c>
      <c r="B61" s="11" t="s">
        <v>198</v>
      </c>
      <c r="C61" s="95">
        <v>27.8</v>
      </c>
      <c r="D61" s="92">
        <v>-3.5842294000000001E-3</v>
      </c>
      <c r="E61" s="93">
        <v>909395191.00111961</v>
      </c>
      <c r="F61" s="35"/>
      <c r="G61" s="60" t="s">
        <v>178</v>
      </c>
      <c r="H61" s="45">
        <f t="shared" si="15"/>
        <v>61100</v>
      </c>
      <c r="I61" s="80">
        <f t="shared" si="16"/>
        <v>-2.7070063700000001E-2</v>
      </c>
      <c r="J61" s="99">
        <f t="shared" si="21"/>
        <v>327698.48374102003</v>
      </c>
      <c r="K61" s="82" t="s">
        <v>222</v>
      </c>
      <c r="L61" s="39">
        <f t="shared" si="17"/>
        <v>18.600000000000001</v>
      </c>
      <c r="M61" s="77">
        <f t="shared" si="18"/>
        <v>1.08695652E-2</v>
      </c>
      <c r="N61" s="99">
        <f t="shared" si="22"/>
        <v>320589817.22010851</v>
      </c>
      <c r="O61" s="82" t="s">
        <v>122</v>
      </c>
      <c r="P61" s="39">
        <f t="shared" si="19"/>
        <v>114</v>
      </c>
      <c r="Q61" s="77">
        <f t="shared" si="20"/>
        <v>-8.6956522000000008E-3</v>
      </c>
      <c r="R61" s="99">
        <f t="shared" si="23"/>
        <v>99557512.558454975</v>
      </c>
    </row>
    <row r="62" spans="1:18">
      <c r="A62" s="40" t="s">
        <v>175</v>
      </c>
      <c r="B62" s="11" t="s">
        <v>176</v>
      </c>
      <c r="C62" s="95">
        <v>2460</v>
      </c>
      <c r="D62" s="92">
        <v>-4.0485829999999997E-3</v>
      </c>
      <c r="E62" s="93">
        <v>8169447.6992615899</v>
      </c>
      <c r="F62" s="35"/>
      <c r="G62" s="56" t="s">
        <v>206</v>
      </c>
      <c r="H62" s="39">
        <f t="shared" si="15"/>
        <v>36330</v>
      </c>
      <c r="I62" s="77">
        <f t="shared" si="16"/>
        <v>-2.7569593100000001E-2</v>
      </c>
      <c r="J62" s="86">
        <f t="shared" si="21"/>
        <v>963937.61261800001</v>
      </c>
      <c r="K62" s="82" t="s">
        <v>218</v>
      </c>
      <c r="L62" s="39">
        <f t="shared" si="17"/>
        <v>28.2</v>
      </c>
      <c r="M62" s="77">
        <f t="shared" si="18"/>
        <v>1.0752688200000001E-2</v>
      </c>
      <c r="N62" s="86">
        <f t="shared" si="22"/>
        <v>444632648.23089367</v>
      </c>
      <c r="O62" s="82" t="s">
        <v>208</v>
      </c>
      <c r="P62" s="39">
        <f t="shared" si="19"/>
        <v>479</v>
      </c>
      <c r="Q62" s="77">
        <f t="shared" si="20"/>
        <v>-1.03305785E-2</v>
      </c>
      <c r="R62" s="86">
        <f t="shared" si="23"/>
        <v>59624556.863812417</v>
      </c>
    </row>
    <row r="63" spans="1:18">
      <c r="A63" s="40" t="s">
        <v>179</v>
      </c>
      <c r="B63" s="11" t="s">
        <v>180</v>
      </c>
      <c r="C63" s="95">
        <v>4685</v>
      </c>
      <c r="D63" s="92">
        <v>-4.2507969999999997E-3</v>
      </c>
      <c r="E63" s="93">
        <v>7046559.5349542098</v>
      </c>
      <c r="F63" s="35"/>
      <c r="G63" s="56" t="s">
        <v>61</v>
      </c>
      <c r="H63" s="39">
        <f t="shared" si="15"/>
        <v>1870</v>
      </c>
      <c r="I63" s="77">
        <f t="shared" si="16"/>
        <v>-2.85714286E-2</v>
      </c>
      <c r="J63" s="86">
        <f t="shared" si="21"/>
        <v>45905171.425651051</v>
      </c>
      <c r="K63" s="82" t="s">
        <v>236</v>
      </c>
      <c r="L63" s="39">
        <f t="shared" si="17"/>
        <v>68.3</v>
      </c>
      <c r="M63" s="77">
        <f t="shared" si="18"/>
        <v>8.8626291999999995E-3</v>
      </c>
      <c r="N63" s="86">
        <f t="shared" si="22"/>
        <v>217441343.33502841</v>
      </c>
      <c r="O63" s="82" t="s">
        <v>230</v>
      </c>
      <c r="P63" s="39">
        <f t="shared" si="19"/>
        <v>170</v>
      </c>
      <c r="Q63" s="77">
        <f t="shared" si="20"/>
        <v>-1.1627907E-2</v>
      </c>
      <c r="R63" s="86">
        <f t="shared" si="23"/>
        <v>64792718.970347747</v>
      </c>
    </row>
    <row r="64" spans="1:18">
      <c r="A64" s="40" t="s">
        <v>227</v>
      </c>
      <c r="B64" s="11" t="s">
        <v>228</v>
      </c>
      <c r="C64" s="95">
        <v>18.3</v>
      </c>
      <c r="D64" s="92">
        <v>-5.4347826000000002E-3</v>
      </c>
      <c r="E64" s="93">
        <v>1098696580.3719797</v>
      </c>
      <c r="F64" s="35"/>
      <c r="G64" s="56" t="s">
        <v>202</v>
      </c>
      <c r="H64" s="39">
        <f t="shared" si="15"/>
        <v>204</v>
      </c>
      <c r="I64" s="77">
        <f t="shared" si="16"/>
        <v>-2.85714286E-2</v>
      </c>
      <c r="J64" s="86">
        <f t="shared" si="21"/>
        <v>155443541.3199158</v>
      </c>
      <c r="K64" s="82" t="s">
        <v>126</v>
      </c>
      <c r="L64" s="39">
        <f t="shared" si="17"/>
        <v>61.8</v>
      </c>
      <c r="M64" s="77">
        <f t="shared" si="18"/>
        <v>8.1566069000000001E-3</v>
      </c>
      <c r="N64" s="86">
        <f t="shared" si="22"/>
        <v>233290761.88029864</v>
      </c>
      <c r="O64" s="82" t="s">
        <v>258</v>
      </c>
      <c r="P64" s="39">
        <f t="shared" si="19"/>
        <v>692</v>
      </c>
      <c r="Q64" s="77">
        <f t="shared" si="20"/>
        <v>-1.2838801699999999E-2</v>
      </c>
      <c r="R64" s="86">
        <f t="shared" si="23"/>
        <v>11836631.82633383</v>
      </c>
    </row>
    <row r="65" spans="1:18" ht="17.25" thickBot="1">
      <c r="A65" s="40" t="s">
        <v>239</v>
      </c>
      <c r="B65" s="11" t="s">
        <v>240</v>
      </c>
      <c r="C65" s="95">
        <v>180</v>
      </c>
      <c r="D65" s="92">
        <v>-5.5248618999999997E-3</v>
      </c>
      <c r="E65" s="93">
        <v>34611411.633057669</v>
      </c>
      <c r="F65" s="35"/>
      <c r="G65" s="57" t="s">
        <v>124</v>
      </c>
      <c r="H65" s="37">
        <f t="shared" si="15"/>
        <v>6785</v>
      </c>
      <c r="I65" s="79">
        <f t="shared" si="16"/>
        <v>-2.8632784500000001E-2</v>
      </c>
      <c r="J65" s="87">
        <f t="shared" si="21"/>
        <v>1453439.8691589499</v>
      </c>
      <c r="K65" s="84" t="s">
        <v>154</v>
      </c>
      <c r="L65" s="37">
        <f t="shared" si="17"/>
        <v>20.7</v>
      </c>
      <c r="M65" s="79">
        <f t="shared" si="18"/>
        <v>0</v>
      </c>
      <c r="N65" s="87">
        <f t="shared" si="22"/>
        <v>791473775.92339337</v>
      </c>
      <c r="O65" s="84" t="s">
        <v>226</v>
      </c>
      <c r="P65" s="37">
        <f t="shared" si="19"/>
        <v>487</v>
      </c>
      <c r="Q65" s="79">
        <f t="shared" si="20"/>
        <v>-1.41700405E-2</v>
      </c>
      <c r="R65" s="87">
        <f t="shared" si="23"/>
        <v>9854306.2623196691</v>
      </c>
    </row>
    <row r="66" spans="1:18">
      <c r="A66" s="40" t="s">
        <v>68</v>
      </c>
      <c r="B66" s="11" t="s">
        <v>69</v>
      </c>
      <c r="C66" s="95">
        <v>12580</v>
      </c>
      <c r="D66" s="92">
        <v>-6.3191152999999998E-3</v>
      </c>
      <c r="E66" s="93">
        <v>2276205.1904507</v>
      </c>
      <c r="F66" s="35"/>
      <c r="G66" s="56" t="s">
        <v>98</v>
      </c>
      <c r="H66" s="38">
        <f t="shared" si="15"/>
        <v>8970</v>
      </c>
      <c r="I66" s="76">
        <f t="shared" ref="I66:I75" si="24">_xlfn.IFNA(VLOOKUP(G66, $B$2:$D$200, 3, FALSE), "")</f>
        <v>-2.8695181399999999E-2</v>
      </c>
      <c r="J66" s="85">
        <f t="shared" si="21"/>
        <v>13550935.93980059</v>
      </c>
      <c r="K66" s="81" t="s">
        <v>198</v>
      </c>
      <c r="L66" s="38">
        <f t="shared" si="17"/>
        <v>27.8</v>
      </c>
      <c r="M66" s="76">
        <f t="shared" si="18"/>
        <v>-3.5842294000000001E-3</v>
      </c>
      <c r="N66" s="85">
        <f t="shared" si="22"/>
        <v>909395191.00111961</v>
      </c>
      <c r="O66" s="81" t="s">
        <v>210</v>
      </c>
      <c r="P66" s="38">
        <f t="shared" si="19"/>
        <v>186</v>
      </c>
      <c r="Q66" s="76">
        <f t="shared" si="20"/>
        <v>-1.5873015899999999E-2</v>
      </c>
      <c r="R66" s="85">
        <f t="shared" si="23"/>
        <v>36404384.689264372</v>
      </c>
    </row>
    <row r="67" spans="1:18">
      <c r="A67" s="40" t="s">
        <v>237</v>
      </c>
      <c r="B67" s="11" t="s">
        <v>238</v>
      </c>
      <c r="C67" s="95">
        <v>287</v>
      </c>
      <c r="D67" s="92">
        <v>-6.9204152000000001E-3</v>
      </c>
      <c r="E67" s="93">
        <v>15002093.722322879</v>
      </c>
      <c r="F67" s="35"/>
      <c r="G67" s="56" t="s">
        <v>190</v>
      </c>
      <c r="H67" s="39">
        <f t="shared" si="15"/>
        <v>70370</v>
      </c>
      <c r="I67" s="77">
        <f t="shared" si="24"/>
        <v>-2.9379310299999999E-2</v>
      </c>
      <c r="J67" s="86">
        <f t="shared" si="21"/>
        <v>299862.55252128001</v>
      </c>
      <c r="K67" s="82" t="s">
        <v>228</v>
      </c>
      <c r="L67" s="39">
        <f t="shared" si="17"/>
        <v>18.3</v>
      </c>
      <c r="M67" s="77">
        <f t="shared" si="18"/>
        <v>-5.4347826000000002E-3</v>
      </c>
      <c r="N67" s="86">
        <f t="shared" si="22"/>
        <v>1098696580.3719797</v>
      </c>
      <c r="O67" s="82" t="s">
        <v>252</v>
      </c>
      <c r="P67" s="39">
        <f t="shared" si="19"/>
        <v>551</v>
      </c>
      <c r="Q67" s="77">
        <f t="shared" si="20"/>
        <v>-1.60714286E-2</v>
      </c>
      <c r="R67" s="86">
        <f t="shared" si="23"/>
        <v>21979772.078458268</v>
      </c>
    </row>
    <row r="68" spans="1:18">
      <c r="A68" s="40" t="s">
        <v>66</v>
      </c>
      <c r="B68" s="11" t="s">
        <v>67</v>
      </c>
      <c r="C68" s="95">
        <v>8425</v>
      </c>
      <c r="D68" s="92">
        <v>-7.6560660000000004E-3</v>
      </c>
      <c r="E68" s="93">
        <v>4999585.02500547</v>
      </c>
      <c r="F68" s="35"/>
      <c r="G68" s="56" t="s">
        <v>224</v>
      </c>
      <c r="H68" s="39">
        <f t="shared" si="15"/>
        <v>2080</v>
      </c>
      <c r="I68" s="77">
        <f t="shared" si="24"/>
        <v>-3.0303030299999999E-2</v>
      </c>
      <c r="J68" s="86">
        <f t="shared" si="21"/>
        <v>14792155.96060475</v>
      </c>
      <c r="K68" s="82" t="s">
        <v>214</v>
      </c>
      <c r="L68" s="39">
        <f t="shared" si="17"/>
        <v>21.7</v>
      </c>
      <c r="M68" s="77">
        <f t="shared" si="18"/>
        <v>-9.1324201000000001E-3</v>
      </c>
      <c r="N68" s="86">
        <f t="shared" si="22"/>
        <v>444343690.90506679</v>
      </c>
      <c r="O68" s="82" t="s">
        <v>260</v>
      </c>
      <c r="P68" s="39">
        <f t="shared" si="19"/>
        <v>118</v>
      </c>
      <c r="Q68" s="77">
        <f t="shared" si="20"/>
        <v>-1.6666666699999999E-2</v>
      </c>
      <c r="R68" s="86">
        <f t="shared" si="23"/>
        <v>197108626.10505113</v>
      </c>
    </row>
    <row r="69" spans="1:18">
      <c r="A69" s="40" t="s">
        <v>245</v>
      </c>
      <c r="B69" s="11" t="s">
        <v>246</v>
      </c>
      <c r="C69" s="95">
        <v>387</v>
      </c>
      <c r="D69" s="92">
        <v>-7.6923076999999996E-3</v>
      </c>
      <c r="E69" s="93">
        <v>15772460.921061561</v>
      </c>
      <c r="F69" s="35"/>
      <c r="G69" s="56" t="s">
        <v>234</v>
      </c>
      <c r="H69" s="39">
        <f t="shared" si="15"/>
        <v>1325</v>
      </c>
      <c r="I69" s="77">
        <f t="shared" si="24"/>
        <v>-3.2846715300000003E-2</v>
      </c>
      <c r="J69" s="86">
        <f t="shared" si="21"/>
        <v>5359093.09861858</v>
      </c>
      <c r="K69" s="82" t="s">
        <v>172</v>
      </c>
      <c r="L69" s="39">
        <f t="shared" si="17"/>
        <v>24.3</v>
      </c>
      <c r="M69" s="77">
        <f t="shared" si="18"/>
        <v>-1.2195121999999999E-2</v>
      </c>
      <c r="N69" s="86">
        <f t="shared" si="22"/>
        <v>259017068.01787764</v>
      </c>
      <c r="O69" s="82" t="s">
        <v>116</v>
      </c>
      <c r="P69" s="39">
        <f t="shared" si="19"/>
        <v>675</v>
      </c>
      <c r="Q69" s="77">
        <f t="shared" si="20"/>
        <v>-1.7467248899999999E-2</v>
      </c>
      <c r="R69" s="86">
        <f t="shared" si="23"/>
        <v>18740142.365741421</v>
      </c>
    </row>
    <row r="70" spans="1:18">
      <c r="A70" s="40" t="s">
        <v>121</v>
      </c>
      <c r="B70" s="11" t="s">
        <v>122</v>
      </c>
      <c r="C70" s="95">
        <v>114</v>
      </c>
      <c r="D70" s="92">
        <v>-8.6956522000000008E-3</v>
      </c>
      <c r="E70" s="93">
        <v>99557512.558454975</v>
      </c>
      <c r="F70" s="35"/>
      <c r="G70" s="56" t="s">
        <v>72</v>
      </c>
      <c r="H70" s="39">
        <f t="shared" si="15"/>
        <v>38.1</v>
      </c>
      <c r="I70" s="77">
        <f t="shared" si="24"/>
        <v>-3.2994923900000001E-2</v>
      </c>
      <c r="J70" s="90">
        <f t="shared" si="21"/>
        <v>271986966.22693163</v>
      </c>
      <c r="K70" s="83" t="s">
        <v>268</v>
      </c>
      <c r="L70" s="44">
        <f t="shared" si="17"/>
        <v>93.1</v>
      </c>
      <c r="M70" s="78">
        <f t="shared" si="18"/>
        <v>-1.6895459299999999E-2</v>
      </c>
      <c r="N70" s="90">
        <f t="shared" si="22"/>
        <v>109460538.15529662</v>
      </c>
      <c r="O70" s="83" t="s">
        <v>120</v>
      </c>
      <c r="P70" s="44">
        <f t="shared" si="19"/>
        <v>228</v>
      </c>
      <c r="Q70" s="78">
        <f t="shared" si="20"/>
        <v>-2.1459227500000001E-2</v>
      </c>
      <c r="R70" s="90">
        <f t="shared" si="23"/>
        <v>117852886.79524437</v>
      </c>
    </row>
    <row r="71" spans="1:18">
      <c r="A71" s="40" t="s">
        <v>213</v>
      </c>
      <c r="B71" s="11" t="s">
        <v>214</v>
      </c>
      <c r="C71" s="95">
        <v>21.7</v>
      </c>
      <c r="D71" s="92">
        <v>-9.1324201000000001E-3</v>
      </c>
      <c r="E71" s="93">
        <v>444343690.90506679</v>
      </c>
      <c r="F71" s="35"/>
      <c r="G71" s="60" t="s">
        <v>274</v>
      </c>
      <c r="H71" s="45">
        <f t="shared" si="15"/>
        <v>9575</v>
      </c>
      <c r="I71" s="80">
        <f t="shared" si="24"/>
        <v>-3.6235531000000001E-2</v>
      </c>
      <c r="J71" s="99">
        <f t="shared" si="21"/>
        <v>1380007.87550571</v>
      </c>
      <c r="K71" s="82" t="s">
        <v>254</v>
      </c>
      <c r="L71" s="39">
        <f t="shared" si="17"/>
        <v>83</v>
      </c>
      <c r="M71" s="77">
        <f t="shared" si="18"/>
        <v>-2.0070838300000001E-2</v>
      </c>
      <c r="N71" s="99">
        <f t="shared" si="22"/>
        <v>77858444.622968361</v>
      </c>
      <c r="O71" s="82" t="s">
        <v>256</v>
      </c>
      <c r="P71" s="39">
        <f t="shared" si="19"/>
        <v>257</v>
      </c>
      <c r="Q71" s="77">
        <f t="shared" si="20"/>
        <v>-2.2813688200000001E-2</v>
      </c>
      <c r="R71" s="99">
        <f t="shared" si="23"/>
        <v>16695610.41694078</v>
      </c>
    </row>
    <row r="72" spans="1:18">
      <c r="A72" s="40" t="s">
        <v>73</v>
      </c>
      <c r="B72" s="11" t="s">
        <v>74</v>
      </c>
      <c r="C72" s="95">
        <v>30920</v>
      </c>
      <c r="D72" s="92">
        <v>-9.2918936000000001E-3</v>
      </c>
      <c r="E72" s="93">
        <v>838422.34432717005</v>
      </c>
      <c r="F72" s="35"/>
      <c r="G72" s="56" t="s">
        <v>212</v>
      </c>
      <c r="H72" s="39">
        <f t="shared" si="15"/>
        <v>146</v>
      </c>
      <c r="I72" s="77">
        <f t="shared" si="24"/>
        <v>-3.9473684199999998E-2</v>
      </c>
      <c r="J72" s="86">
        <f t="shared" si="21"/>
        <v>680191821.63629186</v>
      </c>
      <c r="K72" s="82" t="s">
        <v>266</v>
      </c>
      <c r="L72" s="39">
        <f t="shared" si="17"/>
        <v>94.3</v>
      </c>
      <c r="M72" s="77">
        <f t="shared" si="18"/>
        <v>-2.1784232399999999E-2</v>
      </c>
      <c r="N72" s="86">
        <f t="shared" si="22"/>
        <v>171084508.65534073</v>
      </c>
      <c r="O72" s="82" t="s">
        <v>250</v>
      </c>
      <c r="P72" s="39">
        <f t="shared" si="19"/>
        <v>209</v>
      </c>
      <c r="Q72" s="77">
        <f t="shared" si="20"/>
        <v>-2.3364486E-2</v>
      </c>
      <c r="R72" s="86">
        <f t="shared" si="23"/>
        <v>25093323.462620419</v>
      </c>
    </row>
    <row r="73" spans="1:18">
      <c r="A73" s="40" t="s">
        <v>75</v>
      </c>
      <c r="B73" s="11" t="s">
        <v>76</v>
      </c>
      <c r="C73" s="95">
        <v>57220</v>
      </c>
      <c r="D73" s="92">
        <v>-1.00346021E-2</v>
      </c>
      <c r="E73" s="93">
        <v>2396473.26725954</v>
      </c>
      <c r="F73" s="35"/>
      <c r="G73" s="56" t="s">
        <v>108</v>
      </c>
      <c r="H73" s="39">
        <f t="shared" si="15"/>
        <v>68170</v>
      </c>
      <c r="I73" s="77">
        <f t="shared" si="24"/>
        <v>-4.6973297900000002E-2</v>
      </c>
      <c r="J73" s="86">
        <f t="shared" si="21"/>
        <v>1505577.3317368701</v>
      </c>
      <c r="K73" s="82" t="s">
        <v>220</v>
      </c>
      <c r="L73" s="39">
        <f t="shared" si="17"/>
        <v>20.399999999999999</v>
      </c>
      <c r="M73" s="77">
        <f t="shared" si="18"/>
        <v>-2.3923445000000002E-2</v>
      </c>
      <c r="N73" s="86">
        <f t="shared" si="22"/>
        <v>382752173.88753343</v>
      </c>
      <c r="O73" s="82" t="s">
        <v>200</v>
      </c>
      <c r="P73" s="39">
        <f t="shared" si="19"/>
        <v>359</v>
      </c>
      <c r="Q73" s="77">
        <f t="shared" si="20"/>
        <v>-2.4456521700000001E-2</v>
      </c>
      <c r="R73" s="86">
        <f t="shared" si="23"/>
        <v>38300933.801096059</v>
      </c>
    </row>
    <row r="74" spans="1:18">
      <c r="A74" s="40" t="s">
        <v>207</v>
      </c>
      <c r="B74" s="11" t="s">
        <v>208</v>
      </c>
      <c r="C74" s="95">
        <v>479</v>
      </c>
      <c r="D74" s="92">
        <v>-1.03305785E-2</v>
      </c>
      <c r="E74" s="93">
        <v>59624556.863812417</v>
      </c>
      <c r="F74" s="35"/>
      <c r="G74" s="56" t="s">
        <v>94</v>
      </c>
      <c r="H74" s="39">
        <f t="shared" si="15"/>
        <v>165450</v>
      </c>
      <c r="I74" s="77">
        <f t="shared" si="24"/>
        <v>-4.9684089600000002E-2</v>
      </c>
      <c r="J74" s="86">
        <f t="shared" si="21"/>
        <v>2244952.3997135698</v>
      </c>
      <c r="K74" s="82" t="s">
        <v>72</v>
      </c>
      <c r="L74" s="39">
        <f t="shared" si="17"/>
        <v>38.1</v>
      </c>
      <c r="M74" s="77">
        <f t="shared" si="18"/>
        <v>-3.2994923900000001E-2</v>
      </c>
      <c r="N74" s="86">
        <f t="shared" si="22"/>
        <v>271986966.22693163</v>
      </c>
      <c r="O74" s="82" t="s">
        <v>202</v>
      </c>
      <c r="P74" s="39">
        <f t="shared" si="19"/>
        <v>204</v>
      </c>
      <c r="Q74" s="77">
        <f t="shared" si="20"/>
        <v>-2.85714286E-2</v>
      </c>
      <c r="R74" s="86">
        <f t="shared" si="23"/>
        <v>155443541.3199158</v>
      </c>
    </row>
    <row r="75" spans="1:18" ht="17.25" thickBot="1">
      <c r="A75" s="40" t="s">
        <v>229</v>
      </c>
      <c r="B75" s="11" t="s">
        <v>230</v>
      </c>
      <c r="C75" s="95">
        <v>170</v>
      </c>
      <c r="D75" s="92">
        <v>-1.1627907E-2</v>
      </c>
      <c r="E75" s="93">
        <v>64792718.970347747</v>
      </c>
      <c r="F75" s="35"/>
      <c r="G75" s="57" t="s">
        <v>78</v>
      </c>
      <c r="H75" s="37">
        <f t="shared" si="15"/>
        <v>1739500</v>
      </c>
      <c r="I75" s="79">
        <f t="shared" si="24"/>
        <v>-6.0491493399999999E-2</v>
      </c>
      <c r="J75" s="87">
        <f t="shared" si="21"/>
        <v>384784.90131506999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212</v>
      </c>
      <c r="P75" s="37">
        <f t="shared" si="19"/>
        <v>146</v>
      </c>
      <c r="Q75" s="79">
        <f t="shared" si="20"/>
        <v>-3.9473684199999998E-2</v>
      </c>
      <c r="R75" s="87">
        <f t="shared" si="23"/>
        <v>680191821.63629186</v>
      </c>
    </row>
    <row r="76" spans="1:18">
      <c r="A76" s="40" t="s">
        <v>171</v>
      </c>
      <c r="B76" s="11" t="s">
        <v>172</v>
      </c>
      <c r="C76" s="95">
        <v>24.3</v>
      </c>
      <c r="D76" s="92">
        <v>-1.2195121999999999E-2</v>
      </c>
      <c r="E76" s="93">
        <v>259017068.01787764</v>
      </c>
      <c r="F76" s="35"/>
      <c r="G76" s="35"/>
      <c r="H76" s="35"/>
      <c r="I76" s="35"/>
    </row>
    <row r="77" spans="1:18">
      <c r="A77" s="40" t="s">
        <v>257</v>
      </c>
      <c r="B77" s="11" t="s">
        <v>258</v>
      </c>
      <c r="C77" s="95">
        <v>692</v>
      </c>
      <c r="D77" s="92">
        <v>-1.2838801699999999E-2</v>
      </c>
      <c r="E77" s="93">
        <v>11836631.82633383</v>
      </c>
      <c r="F77" s="35"/>
      <c r="G77" s="35"/>
      <c r="H77" s="35"/>
      <c r="I77" s="35"/>
    </row>
    <row r="78" spans="1:18">
      <c r="A78" s="40" t="s">
        <v>89</v>
      </c>
      <c r="B78" s="11" t="s">
        <v>90</v>
      </c>
      <c r="C78" s="95">
        <v>506300</v>
      </c>
      <c r="D78" s="92">
        <v>-1.3060428799999999E-2</v>
      </c>
      <c r="E78" s="93">
        <v>71886.902358050007</v>
      </c>
      <c r="F78" s="35"/>
      <c r="G78" s="35"/>
      <c r="H78" s="35"/>
      <c r="I78" s="35"/>
    </row>
    <row r="79" spans="1:18">
      <c r="A79" s="40" t="s">
        <v>279</v>
      </c>
      <c r="B79" s="11" t="s">
        <v>280</v>
      </c>
      <c r="C79" s="95">
        <v>1750</v>
      </c>
      <c r="D79" s="92">
        <v>-1.4084507E-2</v>
      </c>
      <c r="E79" s="93">
        <v>11048944.372329669</v>
      </c>
      <c r="F79" s="35"/>
      <c r="G79" s="35"/>
      <c r="H79" s="35"/>
      <c r="I79" s="35"/>
    </row>
    <row r="80" spans="1:18">
      <c r="A80" s="40" t="s">
        <v>225</v>
      </c>
      <c r="B80" s="11" t="s">
        <v>226</v>
      </c>
      <c r="C80" s="95">
        <v>487</v>
      </c>
      <c r="D80" s="92">
        <v>-1.41700405E-2</v>
      </c>
      <c r="E80" s="93">
        <v>9854306.2623196691</v>
      </c>
      <c r="F80" s="35"/>
      <c r="G80" s="35"/>
      <c r="H80" s="35"/>
      <c r="I80" s="35"/>
    </row>
    <row r="81" spans="1:9">
      <c r="A81" s="40" t="s">
        <v>149</v>
      </c>
      <c r="B81" s="11" t="s">
        <v>150</v>
      </c>
      <c r="C81" s="95">
        <v>5895</v>
      </c>
      <c r="D81" s="92">
        <v>-1.42140468E-2</v>
      </c>
      <c r="E81" s="93">
        <v>5633255.2627274599</v>
      </c>
      <c r="F81" s="35"/>
      <c r="G81" s="35"/>
      <c r="H81" s="35"/>
      <c r="I81" s="35"/>
    </row>
    <row r="82" spans="1:9">
      <c r="A82" s="40" t="s">
        <v>191</v>
      </c>
      <c r="B82" s="11" t="s">
        <v>192</v>
      </c>
      <c r="C82" s="95">
        <v>1320</v>
      </c>
      <c r="D82" s="92">
        <v>-1.49253731E-2</v>
      </c>
      <c r="E82" s="93">
        <v>19867506.46694554</v>
      </c>
      <c r="F82" s="35"/>
      <c r="G82" s="35"/>
      <c r="H82" s="35"/>
      <c r="I82" s="35"/>
    </row>
    <row r="83" spans="1:9">
      <c r="A83" s="40" t="s">
        <v>85</v>
      </c>
      <c r="B83" s="11" t="s">
        <v>86</v>
      </c>
      <c r="C83" s="95">
        <v>13830</v>
      </c>
      <c r="D83" s="92">
        <v>-1.5658363000000002E-2</v>
      </c>
      <c r="E83" s="93">
        <v>98196491.532424316</v>
      </c>
      <c r="F83" s="35"/>
      <c r="G83" s="35"/>
      <c r="H83" s="35"/>
      <c r="I83" s="35"/>
    </row>
    <row r="84" spans="1:9">
      <c r="A84" s="40" t="s">
        <v>209</v>
      </c>
      <c r="B84" s="11" t="s">
        <v>210</v>
      </c>
      <c r="C84" s="95">
        <v>186</v>
      </c>
      <c r="D84" s="92">
        <v>-1.5873015899999999E-2</v>
      </c>
      <c r="E84" s="93">
        <v>36404384.689264372</v>
      </c>
      <c r="F84" s="35"/>
      <c r="G84" s="35"/>
      <c r="H84" s="35"/>
      <c r="I84" s="35"/>
    </row>
    <row r="85" spans="1:9">
      <c r="A85" s="40" t="s">
        <v>251</v>
      </c>
      <c r="B85" s="11" t="s">
        <v>252</v>
      </c>
      <c r="C85" s="95">
        <v>551</v>
      </c>
      <c r="D85" s="92">
        <v>-1.60714286E-2</v>
      </c>
      <c r="E85" s="93">
        <v>21979772.078458268</v>
      </c>
      <c r="F85" s="35"/>
      <c r="G85" s="35"/>
      <c r="H85" s="35"/>
      <c r="I85" s="35"/>
    </row>
    <row r="86" spans="1:9">
      <c r="A86" s="40" t="s">
        <v>193</v>
      </c>
      <c r="B86" s="11" t="s">
        <v>194</v>
      </c>
      <c r="C86" s="95">
        <v>13930</v>
      </c>
      <c r="D86" s="92">
        <v>-1.6242937900000001E-2</v>
      </c>
      <c r="E86" s="93">
        <v>1622036.2269830001</v>
      </c>
      <c r="F86" s="35"/>
      <c r="G86" s="35"/>
      <c r="H86" s="35"/>
      <c r="I86" s="35"/>
    </row>
    <row r="87" spans="1:9">
      <c r="A87" s="40" t="s">
        <v>259</v>
      </c>
      <c r="B87" s="11" t="s">
        <v>260</v>
      </c>
      <c r="C87" s="95">
        <v>118</v>
      </c>
      <c r="D87" s="92">
        <v>-1.6666666699999999E-2</v>
      </c>
      <c r="E87" s="93">
        <v>197108626.10505113</v>
      </c>
      <c r="F87" s="35"/>
      <c r="G87" s="35"/>
      <c r="H87" s="35"/>
      <c r="I87" s="35"/>
    </row>
    <row r="88" spans="1:9">
      <c r="A88" s="40" t="s">
        <v>267</v>
      </c>
      <c r="B88" s="11" t="s">
        <v>268</v>
      </c>
      <c r="C88" s="95">
        <v>93.1</v>
      </c>
      <c r="D88" s="92">
        <v>-1.6895459299999999E-2</v>
      </c>
      <c r="E88" s="93">
        <v>109460538.15529662</v>
      </c>
      <c r="F88" s="35"/>
      <c r="G88" s="35"/>
      <c r="H88" s="35"/>
      <c r="I88" s="35"/>
    </row>
    <row r="89" spans="1:9">
      <c r="A89" s="40" t="s">
        <v>115</v>
      </c>
      <c r="B89" s="11" t="s">
        <v>116</v>
      </c>
      <c r="C89" s="95">
        <v>675</v>
      </c>
      <c r="D89" s="92">
        <v>-1.7467248899999999E-2</v>
      </c>
      <c r="E89" s="93">
        <v>18740142.365741421</v>
      </c>
      <c r="F89" s="35"/>
      <c r="G89" s="35"/>
      <c r="H89" s="35"/>
      <c r="I89" s="35"/>
    </row>
    <row r="90" spans="1:9">
      <c r="A90" s="40" t="s">
        <v>95</v>
      </c>
      <c r="B90" s="11" t="s">
        <v>96</v>
      </c>
      <c r="C90" s="95">
        <v>4175000</v>
      </c>
      <c r="D90" s="92">
        <v>-1.8801410099999999E-2</v>
      </c>
      <c r="E90" s="93">
        <v>71364.900373409997</v>
      </c>
      <c r="F90" s="35"/>
      <c r="G90" s="35"/>
      <c r="H90" s="35"/>
      <c r="I90" s="35"/>
    </row>
    <row r="91" spans="1:9">
      <c r="A91" s="40" t="s">
        <v>243</v>
      </c>
      <c r="B91" s="11" t="s">
        <v>244</v>
      </c>
      <c r="C91" s="95">
        <v>3590</v>
      </c>
      <c r="D91" s="92">
        <v>-1.9125683099999999E-2</v>
      </c>
      <c r="E91" s="93">
        <v>7996124.2868378302</v>
      </c>
      <c r="F91" s="35"/>
      <c r="G91" s="35"/>
      <c r="H91" s="35"/>
      <c r="I91" s="35"/>
    </row>
    <row r="92" spans="1:9">
      <c r="A92" s="40" t="s">
        <v>137</v>
      </c>
      <c r="B92" s="11" t="s">
        <v>138</v>
      </c>
      <c r="C92" s="95">
        <v>49870</v>
      </c>
      <c r="D92" s="92">
        <v>-1.92723697E-2</v>
      </c>
      <c r="E92" s="93">
        <v>1643794.3505623499</v>
      </c>
      <c r="F92" s="35"/>
      <c r="G92" s="35"/>
      <c r="H92" s="35"/>
      <c r="I92" s="35"/>
    </row>
    <row r="93" spans="1:9">
      <c r="A93" s="40" t="s">
        <v>253</v>
      </c>
      <c r="B93" s="11" t="s">
        <v>254</v>
      </c>
      <c r="C93" s="95">
        <v>83</v>
      </c>
      <c r="D93" s="92">
        <v>-2.0070838300000001E-2</v>
      </c>
      <c r="E93" s="93">
        <v>77858444.622968361</v>
      </c>
      <c r="F93" s="35"/>
      <c r="G93" s="35"/>
      <c r="H93" s="35"/>
      <c r="I93" s="35"/>
    </row>
    <row r="94" spans="1:9">
      <c r="A94" s="40" t="s">
        <v>145</v>
      </c>
      <c r="B94" s="11" t="s">
        <v>146</v>
      </c>
      <c r="C94" s="95">
        <v>20010</v>
      </c>
      <c r="D94" s="92">
        <v>-2.1037182000000001E-2</v>
      </c>
      <c r="E94" s="93">
        <v>3444888.3424379802</v>
      </c>
      <c r="F94" s="35"/>
      <c r="G94" s="35"/>
      <c r="H94" s="35"/>
      <c r="I94" s="35"/>
    </row>
    <row r="95" spans="1:9">
      <c r="A95" s="40" t="s">
        <v>119</v>
      </c>
      <c r="B95" s="11" t="s">
        <v>120</v>
      </c>
      <c r="C95" s="95">
        <v>228</v>
      </c>
      <c r="D95" s="92">
        <v>-2.1459227500000001E-2</v>
      </c>
      <c r="E95" s="93">
        <v>117852886.79524437</v>
      </c>
      <c r="F95" s="35"/>
      <c r="G95" s="35"/>
      <c r="H95" s="35"/>
      <c r="I95" s="35"/>
    </row>
    <row r="96" spans="1:9">
      <c r="A96" s="40" t="s">
        <v>265</v>
      </c>
      <c r="B96" s="11" t="s">
        <v>266</v>
      </c>
      <c r="C96" s="95">
        <v>94.3</v>
      </c>
      <c r="D96" s="92">
        <v>-2.1784232399999999E-2</v>
      </c>
      <c r="E96" s="93">
        <v>171084508.65534073</v>
      </c>
      <c r="F96" s="35"/>
      <c r="G96" s="35"/>
      <c r="H96" s="35"/>
      <c r="I96" s="35"/>
    </row>
    <row r="97" spans="1:9">
      <c r="A97" s="40" t="s">
        <v>255</v>
      </c>
      <c r="B97" s="11" t="s">
        <v>256</v>
      </c>
      <c r="C97" s="95">
        <v>257</v>
      </c>
      <c r="D97" s="92">
        <v>-2.2813688200000001E-2</v>
      </c>
      <c r="E97" s="93">
        <v>16695610.41694078</v>
      </c>
      <c r="F97" s="35"/>
      <c r="G97" s="35"/>
      <c r="H97" s="35"/>
      <c r="I97" s="35"/>
    </row>
    <row r="98" spans="1:9">
      <c r="A98" s="40" t="s">
        <v>103</v>
      </c>
      <c r="B98" s="11" t="s">
        <v>104</v>
      </c>
      <c r="C98" s="95">
        <v>3200</v>
      </c>
      <c r="D98" s="92">
        <v>-2.2900763399999999E-2</v>
      </c>
      <c r="E98" s="93">
        <v>50148257.096650928</v>
      </c>
      <c r="F98" s="35"/>
      <c r="G98" s="35"/>
      <c r="H98" s="35"/>
      <c r="I98" s="35"/>
    </row>
    <row r="99" spans="1:9">
      <c r="A99" s="40" t="s">
        <v>249</v>
      </c>
      <c r="B99" s="11" t="s">
        <v>250</v>
      </c>
      <c r="C99" s="95">
        <v>209</v>
      </c>
      <c r="D99" s="92">
        <v>-2.3364486E-2</v>
      </c>
      <c r="E99" s="93">
        <v>25093323.462620419</v>
      </c>
      <c r="F99" s="35"/>
      <c r="G99" s="35"/>
      <c r="H99" s="35"/>
      <c r="I99" s="35"/>
    </row>
    <row r="100" spans="1:9">
      <c r="A100" s="40" t="s">
        <v>219</v>
      </c>
      <c r="B100" s="11" t="s">
        <v>220</v>
      </c>
      <c r="C100" s="95">
        <v>20.399999999999999</v>
      </c>
      <c r="D100" s="92">
        <v>-2.3923445000000002E-2</v>
      </c>
      <c r="E100" s="93">
        <v>382752173.88753343</v>
      </c>
      <c r="F100" s="35"/>
      <c r="G100" s="35"/>
      <c r="H100" s="35"/>
      <c r="I100" s="35"/>
    </row>
    <row r="101" spans="1:9">
      <c r="A101" s="40" t="s">
        <v>199</v>
      </c>
      <c r="B101" s="11" t="s">
        <v>200</v>
      </c>
      <c r="C101" s="95">
        <v>359</v>
      </c>
      <c r="D101" s="92">
        <v>-2.4456521700000001E-2</v>
      </c>
      <c r="E101" s="93">
        <v>38300933.801096059</v>
      </c>
      <c r="F101" s="35"/>
      <c r="G101" s="35"/>
      <c r="H101" s="35"/>
      <c r="I101" s="35"/>
    </row>
    <row r="102" spans="1:9">
      <c r="A102" s="40" t="s">
        <v>161</v>
      </c>
      <c r="B102" s="11" t="s">
        <v>162</v>
      </c>
      <c r="C102" s="95">
        <v>1970</v>
      </c>
      <c r="D102" s="92">
        <v>-2.4752475199999999E-2</v>
      </c>
      <c r="E102" s="93">
        <v>11342118.58957966</v>
      </c>
      <c r="F102" s="35"/>
      <c r="G102" s="35"/>
      <c r="H102" s="35"/>
      <c r="I102" s="35"/>
    </row>
    <row r="103" spans="1:9">
      <c r="A103" s="40" t="s">
        <v>163</v>
      </c>
      <c r="B103" s="11" t="s">
        <v>164</v>
      </c>
      <c r="C103" s="95">
        <v>40790</v>
      </c>
      <c r="D103" s="92">
        <v>-2.62592504E-2</v>
      </c>
      <c r="E103" s="93">
        <v>1215470.6971849799</v>
      </c>
      <c r="F103" s="35"/>
      <c r="G103" s="35"/>
      <c r="H103" s="35"/>
      <c r="I103" s="35"/>
    </row>
    <row r="104" spans="1:9">
      <c r="A104" s="40" t="s">
        <v>177</v>
      </c>
      <c r="B104" s="11" t="s">
        <v>178</v>
      </c>
      <c r="C104" s="95">
        <v>61100</v>
      </c>
      <c r="D104" s="92">
        <v>-2.7070063700000001E-2</v>
      </c>
      <c r="E104" s="93">
        <v>327698.48374102003</v>
      </c>
      <c r="F104" s="35"/>
      <c r="G104" s="35"/>
      <c r="H104" s="35"/>
      <c r="I104" s="35"/>
    </row>
    <row r="105" spans="1:9">
      <c r="A105" s="40" t="s">
        <v>205</v>
      </c>
      <c r="B105" s="11" t="s">
        <v>206</v>
      </c>
      <c r="C105" s="95">
        <v>36330</v>
      </c>
      <c r="D105" s="92">
        <v>-2.7569593100000001E-2</v>
      </c>
      <c r="E105" s="93">
        <v>963937.61261800001</v>
      </c>
      <c r="F105" s="35"/>
      <c r="G105" s="35"/>
      <c r="H105" s="35"/>
      <c r="I105" s="35"/>
    </row>
    <row r="106" spans="1:9">
      <c r="A106" s="40" t="s">
        <v>60</v>
      </c>
      <c r="B106" s="11" t="s">
        <v>61</v>
      </c>
      <c r="C106" s="95">
        <v>1870</v>
      </c>
      <c r="D106" s="92">
        <v>-2.85714286E-2</v>
      </c>
      <c r="E106" s="93">
        <v>45905171.425651051</v>
      </c>
      <c r="F106" s="35"/>
      <c r="G106" s="35"/>
      <c r="H106" s="35"/>
      <c r="I106" s="35"/>
    </row>
    <row r="107" spans="1:9">
      <c r="A107" s="40" t="s">
        <v>201</v>
      </c>
      <c r="B107" s="11" t="s">
        <v>202</v>
      </c>
      <c r="C107" s="95">
        <v>204</v>
      </c>
      <c r="D107" s="92">
        <v>-2.85714286E-2</v>
      </c>
      <c r="E107" s="93">
        <v>155443541.3199158</v>
      </c>
      <c r="F107" s="35"/>
      <c r="G107" s="35"/>
      <c r="H107" s="35"/>
      <c r="I107" s="35"/>
    </row>
    <row r="108" spans="1:9">
      <c r="A108" s="40" t="s">
        <v>123</v>
      </c>
      <c r="B108" s="11" t="s">
        <v>124</v>
      </c>
      <c r="C108" s="95">
        <v>6785</v>
      </c>
      <c r="D108" s="92">
        <v>-2.8632784500000001E-2</v>
      </c>
      <c r="E108" s="93">
        <v>1453439.8691589499</v>
      </c>
      <c r="F108" s="35"/>
      <c r="G108" s="35"/>
      <c r="H108" s="35"/>
      <c r="I108" s="35"/>
    </row>
    <row r="109" spans="1:9">
      <c r="A109" s="40" t="s">
        <v>97</v>
      </c>
      <c r="B109" s="11" t="s">
        <v>98</v>
      </c>
      <c r="C109" s="95">
        <v>8970</v>
      </c>
      <c r="D109" s="92">
        <v>-2.8695181399999999E-2</v>
      </c>
      <c r="E109" s="41">
        <v>13550935.93980059</v>
      </c>
    </row>
    <row r="110" spans="1:9">
      <c r="A110" s="40" t="s">
        <v>189</v>
      </c>
      <c r="B110" s="11" t="s">
        <v>190</v>
      </c>
      <c r="C110" s="95">
        <v>70370</v>
      </c>
      <c r="D110" s="92">
        <v>-2.9379310299999999E-2</v>
      </c>
      <c r="E110" s="41">
        <v>299862.55252128001</v>
      </c>
    </row>
    <row r="111" spans="1:9">
      <c r="A111" s="40" t="s">
        <v>223</v>
      </c>
      <c r="B111" s="11" t="s">
        <v>224</v>
      </c>
      <c r="C111" s="95">
        <v>2080</v>
      </c>
      <c r="D111" s="92">
        <v>-3.0303030299999999E-2</v>
      </c>
      <c r="E111" s="41">
        <v>14792155.96060475</v>
      </c>
    </row>
    <row r="112" spans="1:9">
      <c r="A112" s="40" t="s">
        <v>233</v>
      </c>
      <c r="B112" s="11" t="s">
        <v>234</v>
      </c>
      <c r="C112" s="95">
        <v>1325</v>
      </c>
      <c r="D112" s="92">
        <v>-3.2846715300000003E-2</v>
      </c>
      <c r="E112" s="41">
        <v>5359093.09861858</v>
      </c>
    </row>
    <row r="113" spans="1:5">
      <c r="A113" s="40" t="s">
        <v>71</v>
      </c>
      <c r="B113" s="11" t="s">
        <v>72</v>
      </c>
      <c r="C113" s="95">
        <v>38.1</v>
      </c>
      <c r="D113" s="92">
        <v>-3.2994923900000001E-2</v>
      </c>
      <c r="E113" s="41">
        <v>271986966.22693163</v>
      </c>
    </row>
    <row r="114" spans="1:5">
      <c r="A114" s="40" t="s">
        <v>273</v>
      </c>
      <c r="B114" s="11" t="s">
        <v>274</v>
      </c>
      <c r="C114" s="95">
        <v>9575</v>
      </c>
      <c r="D114" s="92">
        <v>-3.6235531000000001E-2</v>
      </c>
      <c r="E114" s="41">
        <v>1380007.87550571</v>
      </c>
    </row>
    <row r="115" spans="1:5">
      <c r="A115" s="40" t="s">
        <v>211</v>
      </c>
      <c r="B115" s="11" t="s">
        <v>212</v>
      </c>
      <c r="C115" s="95">
        <v>146</v>
      </c>
      <c r="D115" s="92">
        <v>-3.9473684199999998E-2</v>
      </c>
      <c r="E115" s="41">
        <v>680191821.63629186</v>
      </c>
    </row>
    <row r="116" spans="1:5">
      <c r="A116" s="40" t="s">
        <v>107</v>
      </c>
      <c r="B116" s="11" t="s">
        <v>108</v>
      </c>
      <c r="C116" s="95">
        <v>68170</v>
      </c>
      <c r="D116" s="92">
        <v>-4.6973297900000002E-2</v>
      </c>
      <c r="E116" s="41">
        <v>1505577.3317368701</v>
      </c>
    </row>
    <row r="117" spans="1:5">
      <c r="A117" s="40" t="s">
        <v>93</v>
      </c>
      <c r="B117" s="11" t="s">
        <v>94</v>
      </c>
      <c r="C117" s="95">
        <v>165450</v>
      </c>
      <c r="D117" s="92">
        <v>-4.9684089600000002E-2</v>
      </c>
      <c r="E117" s="41">
        <v>2244952.3997135698</v>
      </c>
    </row>
    <row r="118" spans="1:5">
      <c r="A118" s="40" t="s">
        <v>77</v>
      </c>
      <c r="B118" s="11" t="s">
        <v>78</v>
      </c>
      <c r="C118" s="95">
        <v>1739500</v>
      </c>
      <c r="D118" s="92">
        <v>-6.0491493399999999E-2</v>
      </c>
      <c r="E118" s="41">
        <v>384784.90131506999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22" workbookViewId="0">
      <selection activeCell="A19" sqref="A19:O54"/>
    </sheetView>
  </sheetViews>
  <sheetFormatPr defaultRowHeight="16.5" customHeight="1"/>
  <cols>
    <col min="1" max="1" width="9" style="125"/>
    <col min="2" max="2" width="11.875" style="125" bestFit="1" customWidth="1"/>
    <col min="3" max="3" width="21.25" style="125" customWidth="1"/>
    <col min="4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375" style="125" bestFit="1" customWidth="1"/>
    <col min="10" max="10" width="16.25" style="125" bestFit="1" customWidth="1"/>
    <col min="11" max="11" width="9" style="125"/>
    <col min="12" max="13" width="16.25" style="125" bestFit="1" customWidth="1"/>
    <col min="14" max="14" width="9" style="125"/>
    <col min="15" max="15" width="15.25" style="125" bestFit="1" customWidth="1"/>
    <col min="16" max="16" width="9" style="125" customWidth="1"/>
    <col min="17" max="19" width="12.125" style="125" customWidth="1"/>
    <col min="20" max="16384" width="9" style="125"/>
  </cols>
  <sheetData>
    <row r="1" spans="1:15" ht="16.5" customHeight="1" thickBot="1">
      <c r="A1" s="224" t="str">
        <f>TEXT(투자전략!$G$1, "[$-ko-KR]yyyy년 mm월") &amp; " 총결산"</f>
        <v>2021년 05월 총결산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6"/>
    </row>
    <row r="2" spans="1:15" ht="16.5" customHeight="1" thickBot="1">
      <c r="A2" s="221" t="s">
        <v>326</v>
      </c>
      <c r="B2" s="222"/>
      <c r="C2" s="222"/>
      <c r="D2" s="194" t="s">
        <v>322</v>
      </c>
      <c r="E2" s="194"/>
      <c r="F2" s="195"/>
      <c r="G2" s="224" t="s">
        <v>323</v>
      </c>
      <c r="H2" s="225"/>
      <c r="I2" s="226"/>
      <c r="J2" s="193" t="s">
        <v>324</v>
      </c>
      <c r="K2" s="194"/>
      <c r="L2" s="194"/>
      <c r="M2" s="194" t="s">
        <v>325</v>
      </c>
      <c r="N2" s="194"/>
      <c r="O2" s="195"/>
    </row>
    <row r="3" spans="1:15" ht="16.5" customHeight="1">
      <c r="A3" s="251">
        <v>1</v>
      </c>
      <c r="B3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23"/>
      <c r="D3" s="221" t="s">
        <v>327</v>
      </c>
      <c r="E3" s="222"/>
      <c r="F3" s="223"/>
      <c r="G3" s="221" t="s">
        <v>334</v>
      </c>
      <c r="H3" s="222"/>
      <c r="I3" s="223"/>
      <c r="J3" s="221" t="s">
        <v>341</v>
      </c>
      <c r="K3" s="222"/>
      <c r="L3" s="223"/>
      <c r="M3" s="221" t="s">
        <v>348</v>
      </c>
      <c r="N3" s="222"/>
      <c r="O3" s="223"/>
    </row>
    <row r="4" spans="1:15" ht="16.5" customHeight="1" thickBot="1">
      <c r="A4" s="252"/>
      <c r="B4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1,513,013 KRW (32.09%)</v>
      </c>
      <c r="C4" s="216"/>
      <c r="D4" s="214" t="str">
        <f ca="1" xml:space="preserve"> TEXT($F$92, "#,##0") &amp; " KRW (" &amp; TEXT($E$92, "0.00%)")</f>
        <v>-231,042 KRW (-5.39%)</v>
      </c>
      <c r="E4" s="215"/>
      <c r="F4" s="216"/>
      <c r="G4" s="214" t="str">
        <f ca="1" xml:space="preserve"> TEXT($I$92, "#,##0") &amp; " KRW (" &amp; TEXT($H$92, "0.00%)")</f>
        <v>-69,490 KRW (-1.62%)</v>
      </c>
      <c r="H4" s="215"/>
      <c r="I4" s="216"/>
      <c r="J4" s="214" t="str">
        <f ca="1" xml:space="preserve"> TEXT($L$92, "#,##0") &amp; " KRW (" &amp; TEXT($K$92, "0.00%)")</f>
        <v>70,942 KRW (1.66%)</v>
      </c>
      <c r="K4" s="215"/>
      <c r="L4" s="216"/>
      <c r="M4" s="214" t="str">
        <f ca="1" xml:space="preserve"> TEXT($O$92, "#,##0") &amp; " KRW (" &amp; TEXT($N$92, "0.00%)")</f>
        <v>-33,144 KRW (-0.77%)</v>
      </c>
      <c r="N4" s="215"/>
      <c r="O4" s="216"/>
    </row>
    <row r="5" spans="1:15" ht="16.5" customHeight="1">
      <c r="A5" s="251">
        <v>2</v>
      </c>
      <c r="B5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23"/>
      <c r="D5" s="221" t="s">
        <v>328</v>
      </c>
      <c r="E5" s="222"/>
      <c r="F5" s="223"/>
      <c r="G5" s="221" t="s">
        <v>335</v>
      </c>
      <c r="H5" s="222"/>
      <c r="I5" s="223"/>
      <c r="J5" s="221" t="s">
        <v>342</v>
      </c>
      <c r="K5" s="222"/>
      <c r="L5" s="223"/>
      <c r="M5" s="221" t="s">
        <v>349</v>
      </c>
      <c r="N5" s="222"/>
      <c r="O5" s="223"/>
    </row>
    <row r="6" spans="1:15" ht="16.5" customHeight="1" thickBot="1">
      <c r="A6" s="252"/>
      <c r="B6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1,187,638 KRW (25.19%)</v>
      </c>
      <c r="C6" s="216"/>
      <c r="D6" s="214" t="str">
        <f ca="1" xml:space="preserve"> TEXT($F$130, "#,##0") &amp; " KRW (" &amp; TEXT($E$130, "0.00%)")</f>
        <v>246,111 KRW (5.22%)</v>
      </c>
      <c r="E6" s="215"/>
      <c r="F6" s="216"/>
      <c r="G6" s="214" t="str">
        <f ca="1" xml:space="preserve"> TEXT($I$130, "#,##0") &amp; " KRW (" &amp; TEXT($H$130, "0.00%)")</f>
        <v>478,099 KRW (10.14%)</v>
      </c>
      <c r="H6" s="215"/>
      <c r="I6" s="216"/>
      <c r="J6" s="214" t="str">
        <f ca="1" xml:space="preserve"> TEXT($L$130, "#,##0") &amp; " KRW (" &amp; TEXT($K$130, "0.00%)")</f>
        <v>742,285 KRW (15.75%)</v>
      </c>
      <c r="K6" s="215"/>
      <c r="L6" s="216"/>
      <c r="M6" s="214" t="str">
        <f ca="1" xml:space="preserve"> TEXT($O$130, "#,##0") &amp; " KRW (" &amp; TEXT($N$130, "0.00%)")</f>
        <v>369,906 KRW (7.85%)</v>
      </c>
      <c r="N6" s="215"/>
      <c r="O6" s="216"/>
    </row>
    <row r="7" spans="1:15" ht="16.5" customHeight="1">
      <c r="A7" s="251">
        <v>3</v>
      </c>
      <c r="B7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Top20</v>
      </c>
      <c r="C7" s="223"/>
      <c r="D7" s="221" t="s">
        <v>329</v>
      </c>
      <c r="E7" s="222"/>
      <c r="F7" s="223"/>
      <c r="G7" s="221" t="s">
        <v>336</v>
      </c>
      <c r="H7" s="222"/>
      <c r="I7" s="223"/>
      <c r="J7" s="221" t="s">
        <v>343</v>
      </c>
      <c r="K7" s="222"/>
      <c r="L7" s="223"/>
      <c r="M7" s="221" t="s">
        <v>350</v>
      </c>
      <c r="N7" s="222"/>
      <c r="O7" s="223"/>
    </row>
    <row r="8" spans="1:15" ht="16.5" customHeight="1" thickBot="1">
      <c r="A8" s="252"/>
      <c r="B8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986,184 KRW (20.92%)</v>
      </c>
      <c r="C8" s="216"/>
      <c r="D8" s="214" t="str">
        <f ca="1" xml:space="preserve"> TEXT($F$206, "#,##0") &amp; " KRW (" &amp; TEXT($E$206, "0.00%)")</f>
        <v>-231,042 KRW (-5.39%)</v>
      </c>
      <c r="E8" s="215"/>
      <c r="F8" s="216"/>
      <c r="G8" s="214" t="str">
        <f ca="1" xml:space="preserve"> TEXT($I$206, "#,##0") &amp; " KRW (" &amp; TEXT($H$206, "0.00%)")</f>
        <v>-69,490 KRW (-1.62%)</v>
      </c>
      <c r="H8" s="215"/>
      <c r="I8" s="216"/>
      <c r="J8" s="214" t="str">
        <f ca="1" xml:space="preserve"> TEXT($L$206, "#,##0") &amp; " KRW (" &amp; TEXT($K$206, "0.00%)")</f>
        <v>70,942 KRW (1.66%)</v>
      </c>
      <c r="K8" s="215"/>
      <c r="L8" s="216"/>
      <c r="M8" s="214" t="str">
        <f ca="1" xml:space="preserve"> TEXT($O$206, "#,##0") &amp; " KRW (" &amp; TEXT($N$206, "0.00%)")</f>
        <v>-33,144 KRW (-0.77%)</v>
      </c>
      <c r="N8" s="215"/>
      <c r="O8" s="216"/>
    </row>
    <row r="9" spans="1:15" ht="16.5" customHeight="1">
      <c r="A9" s="251">
        <v>4</v>
      </c>
      <c r="B9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전일대비 상승률 Top20</v>
      </c>
      <c r="C9" s="223"/>
      <c r="D9" s="221" t="s">
        <v>330</v>
      </c>
      <c r="E9" s="222"/>
      <c r="F9" s="223"/>
      <c r="G9" s="221" t="s">
        <v>337</v>
      </c>
      <c r="H9" s="222"/>
      <c r="I9" s="223"/>
      <c r="J9" s="221" t="s">
        <v>344</v>
      </c>
      <c r="K9" s="222"/>
      <c r="L9" s="223"/>
      <c r="M9" s="221" t="s">
        <v>351</v>
      </c>
      <c r="N9" s="222"/>
      <c r="O9" s="223"/>
    </row>
    <row r="10" spans="1:15" ht="16.5" customHeight="1" thickBot="1">
      <c r="A10" s="252"/>
      <c r="B10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974,614 KRW (20.67%)</v>
      </c>
      <c r="C10" s="216"/>
      <c r="D10" s="214" t="str">
        <f ca="1" xml:space="preserve"> TEXT($F$244, "#,##0") &amp; " KRW (" &amp; TEXT($E$244, "0.00%)")</f>
        <v>-316,990 KRW (-6.72%)</v>
      </c>
      <c r="E10" s="215"/>
      <c r="F10" s="216"/>
      <c r="G10" s="214" t="str">
        <f ca="1" xml:space="preserve"> TEXT($I$244, "#,##0") &amp; " KRW (" &amp; TEXT($H$244, "0.00%)")</f>
        <v>-99,873 KRW (-2.12%)</v>
      </c>
      <c r="H10" s="215"/>
      <c r="I10" s="216"/>
      <c r="J10" s="214" t="str">
        <f ca="1" xml:space="preserve"> TEXT($L$244, "#,##0") &amp; " KRW (" &amp; TEXT($K$244, "0.00%)")</f>
        <v>18,734 KRW (0.40%)</v>
      </c>
      <c r="K10" s="215"/>
      <c r="L10" s="216"/>
      <c r="M10" s="214" t="str">
        <f ca="1" xml:space="preserve"> TEXT($O$244, "#,##0") &amp; " KRW (" &amp; TEXT($N$244, "0.00%)")</f>
        <v>-61,092 KRW (-1.30%)</v>
      </c>
      <c r="N10" s="215"/>
      <c r="O10" s="216"/>
    </row>
    <row r="11" spans="1:15" ht="16.5" customHeight="1">
      <c r="A11" s="251">
        <v>5</v>
      </c>
      <c r="B11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23"/>
      <c r="D11" s="221" t="s">
        <v>331</v>
      </c>
      <c r="E11" s="222"/>
      <c r="F11" s="223"/>
      <c r="G11" s="221" t="s">
        <v>338</v>
      </c>
      <c r="H11" s="222"/>
      <c r="I11" s="223"/>
      <c r="J11" s="221" t="s">
        <v>345</v>
      </c>
      <c r="K11" s="222"/>
      <c r="L11" s="223"/>
      <c r="M11" s="221" t="s">
        <v>352</v>
      </c>
      <c r="N11" s="222"/>
      <c r="O11" s="223"/>
    </row>
    <row r="12" spans="1:15" ht="16.5" customHeight="1" thickBot="1">
      <c r="A12" s="252"/>
      <c r="B12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742,285 KRW (15.75%)</v>
      </c>
      <c r="C12" s="216"/>
      <c r="D12" s="214" t="str">
        <f ca="1" xml:space="preserve"> TEXT($F$168, "#,##0") &amp; " KRW (" &amp; TEXT($E$168, "0.00%)")</f>
        <v>986,184 KRW (20.92%)</v>
      </c>
      <c r="E12" s="215"/>
      <c r="F12" s="216"/>
      <c r="G12" s="214" t="str">
        <f ca="1" xml:space="preserve"> TEXT($I$168, "#,##0") &amp; " KRW (" &amp; TEXT($H$168, "0.00%)")</f>
        <v>1,187,638 KRW (25.19%)</v>
      </c>
      <c r="H12" s="215"/>
      <c r="I12" s="216"/>
      <c r="J12" s="214" t="str">
        <f ca="1" xml:space="preserve"> TEXT($L$168, "#,##0") &amp; " KRW (" &amp; TEXT($K$168, "0.00%)")</f>
        <v>1,513,013 KRW (32.09%)</v>
      </c>
      <c r="K12" s="215"/>
      <c r="L12" s="216"/>
      <c r="M12" s="214" t="str">
        <f ca="1" xml:space="preserve"> TEXT($O$168, "#,##0") &amp; " KRW (" &amp; TEXT($N$168, "0.00%)")</f>
        <v>974,614 KRW (20.67%)</v>
      </c>
      <c r="N12" s="215"/>
      <c r="O12" s="216"/>
    </row>
    <row r="13" spans="1:15" ht="16.5" customHeight="1">
      <c r="A13" s="251">
        <v>6</v>
      </c>
      <c r="B13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23"/>
      <c r="D13" s="221" t="s">
        <v>332</v>
      </c>
      <c r="E13" s="222"/>
      <c r="F13" s="223"/>
      <c r="G13" s="221" t="s">
        <v>339</v>
      </c>
      <c r="H13" s="222"/>
      <c r="I13" s="223"/>
      <c r="J13" s="221" t="s">
        <v>346</v>
      </c>
      <c r="K13" s="222"/>
      <c r="L13" s="223"/>
      <c r="M13" s="221" t="s">
        <v>353</v>
      </c>
      <c r="N13" s="222"/>
      <c r="O13" s="223"/>
    </row>
    <row r="14" spans="1:15" ht="16.5" customHeight="1" thickBot="1">
      <c r="A14" s="252"/>
      <c r="B14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648,271 KRW (37.82%)</v>
      </c>
      <c r="C14" s="216"/>
      <c r="D14" s="214" t="str">
        <f ca="1" xml:space="preserve"> TEXT($F$282, "#,##0") &amp; " KRW (" &amp; TEXT($E$282, "0.00%)")</f>
        <v>-509,659 KRW (-10.81%)</v>
      </c>
      <c r="E14" s="215"/>
      <c r="F14" s="216"/>
      <c r="G14" s="214" t="str">
        <f ca="1" xml:space="preserve"> TEXT($I$282, "#,##0") &amp; " KRW (" &amp; TEXT($H$282, "0.00%)")</f>
        <v>-287,041 KRW (-6.09%)</v>
      </c>
      <c r="H14" s="215"/>
      <c r="I14" s="216"/>
      <c r="J14" s="214" t="str">
        <f ca="1" xml:space="preserve"> TEXT($L$282, "#,##0") &amp; " KRW (" &amp; TEXT($K$282, "0.00%)")</f>
        <v>-161,764 KRW (-3.43%)</v>
      </c>
      <c r="K14" s="215"/>
      <c r="L14" s="216"/>
      <c r="M14" s="214" t="str">
        <f ca="1" xml:space="preserve"> TEXT($O$282, "#,##0") &amp; " KRW (" &amp; TEXT($N$282, "0.00%)")</f>
        <v>-265,247 KRW (-5.63%)</v>
      </c>
      <c r="N14" s="215"/>
      <c r="O14" s="216"/>
    </row>
    <row r="15" spans="1:15" ht="16.5" customHeight="1">
      <c r="A15" s="251">
        <v>7</v>
      </c>
      <c r="B15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실거래종목</v>
      </c>
      <c r="C15" s="223"/>
      <c r="D15" s="221" t="s">
        <v>333</v>
      </c>
      <c r="E15" s="222"/>
      <c r="F15" s="223"/>
      <c r="G15" s="221" t="s">
        <v>340</v>
      </c>
      <c r="H15" s="222"/>
      <c r="I15" s="223"/>
      <c r="J15" s="221" t="s">
        <v>347</v>
      </c>
      <c r="K15" s="222"/>
      <c r="L15" s="223"/>
      <c r="M15" s="221" t="s">
        <v>354</v>
      </c>
      <c r="N15" s="222"/>
      <c r="O15" s="223"/>
    </row>
    <row r="16" spans="1:15" ht="16.5" customHeight="1" thickBot="1">
      <c r="A16" s="252"/>
      <c r="B16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503,283 KRW (29.36%)</v>
      </c>
      <c r="C16" s="216"/>
      <c r="D16" s="214" t="str">
        <f ca="1" xml:space="preserve"> TEXT($F$54, "#,##0") &amp; " KRW (" &amp; TEXT($E$54, "0.00%)")</f>
        <v>382,861 KRW (22.33%)</v>
      </c>
      <c r="E16" s="215"/>
      <c r="F16" s="216"/>
      <c r="G16" s="214" t="str">
        <f ca="1" xml:space="preserve"> TEXT($I$54, "#,##0") &amp; " KRW (" &amp; TEXT($H$54, "0.00%)")</f>
        <v>503,283 KRW (29.36%)</v>
      </c>
      <c r="H16" s="215"/>
      <c r="I16" s="216"/>
      <c r="J16" s="214" t="str">
        <f ca="1" xml:space="preserve"> TEXT($L$54, "#,##0") &amp; " KRW (" &amp; TEXT($K$54, "0.00%)")</f>
        <v>648,271 KRW (37.82%)</v>
      </c>
      <c r="K16" s="215"/>
      <c r="L16" s="216"/>
      <c r="M16" s="214" t="str">
        <f ca="1" xml:space="preserve"> TEXT($O$54, "#,##0") &amp; " KRW (" &amp; TEXT($N$54, "0.00%)")</f>
        <v>342,207 KRW (19.96%)</v>
      </c>
      <c r="N16" s="215"/>
      <c r="O16" s="216"/>
    </row>
    <row r="18" spans="1:15" ht="16.5" customHeight="1" thickBot="1"/>
    <row r="19" spans="1:15" ht="16.5" customHeight="1" thickBot="1">
      <c r="A19" s="193" t="str">
        <f>TEXT(투자전략!$G$1, "[$-ko-KR]yyyy년 mm월 ") &amp; "실거래 월말결산"</f>
        <v>2021년 05월 실거래 월말결산</v>
      </c>
      <c r="B19" s="194"/>
      <c r="C19" s="194"/>
      <c r="D19" s="194"/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5"/>
    </row>
    <row r="20" spans="1:15" ht="16.5" customHeight="1" thickBot="1">
      <c r="A20" s="237" t="s">
        <v>320</v>
      </c>
      <c r="B20" s="214" t="s">
        <v>318</v>
      </c>
      <c r="C20" s="216"/>
      <c r="D20" s="214" t="s">
        <v>310</v>
      </c>
      <c r="E20" s="215"/>
      <c r="F20" s="216"/>
      <c r="G20" s="214" t="s">
        <v>311</v>
      </c>
      <c r="H20" s="215"/>
      <c r="I20" s="216"/>
      <c r="J20" s="214" t="s">
        <v>312</v>
      </c>
      <c r="K20" s="215"/>
      <c r="L20" s="216"/>
      <c r="M20" s="214" t="s">
        <v>313</v>
      </c>
      <c r="N20" s="215"/>
      <c r="O20" s="216"/>
    </row>
    <row r="21" spans="1:15" ht="16.5" customHeight="1" thickBot="1">
      <c r="A21" s="230"/>
      <c r="B21" s="149" t="s">
        <v>308</v>
      </c>
      <c r="C21" s="149" t="s">
        <v>42</v>
      </c>
      <c r="D21" s="124" t="s">
        <v>309</v>
      </c>
      <c r="E21" s="136" t="s">
        <v>40</v>
      </c>
      <c r="F21" s="152" t="s">
        <v>41</v>
      </c>
      <c r="G21" s="124" t="s">
        <v>309</v>
      </c>
      <c r="H21" s="136" t="s">
        <v>40</v>
      </c>
      <c r="I21" s="152" t="s">
        <v>41</v>
      </c>
      <c r="J21" s="124" t="s">
        <v>309</v>
      </c>
      <c r="K21" s="136" t="s">
        <v>40</v>
      </c>
      <c r="L21" s="152" t="s">
        <v>41</v>
      </c>
      <c r="M21" s="124" t="s">
        <v>309</v>
      </c>
      <c r="N21" s="136" t="s">
        <v>40</v>
      </c>
      <c r="O21" s="152" t="s">
        <v>41</v>
      </c>
    </row>
    <row r="22" spans="1:15" ht="16.5" customHeight="1">
      <c r="A22" s="149">
        <v>1</v>
      </c>
      <c r="B22" s="149" t="str">
        <f>TEXT(투자전략!$G$1+0, "[$-ko-KR]yyyy.mm.dd")</f>
        <v>2021.05.01</v>
      </c>
      <c r="C22" s="137">
        <f ca="1">IFERROR(COUNTA(INDIRECT($B22&amp;"!A17:A36")) * INDIRECT($B22&amp;"!B37"), "")</f>
        <v>1500000</v>
      </c>
      <c r="D22" s="145">
        <f ca="1">IFERROR($C22 * (1 + E22), "")</f>
        <v>1537148.5592487582</v>
      </c>
      <c r="E22" s="76">
        <f ca="1">IFERROR(INDIRECT($B22&amp;"!E37"), "")</f>
        <v>2.4765706165838879E-2</v>
      </c>
      <c r="F22" s="144">
        <f ca="1">IFERROR(INDIRECT($B22&amp;"!F37"), "")</f>
        <v>37148.55924875832</v>
      </c>
      <c r="G22" s="145">
        <f ca="1">IFERROR($C22 * (1 + H22), "")</f>
        <v>1524358.7407947064</v>
      </c>
      <c r="H22" s="76">
        <f ca="1">IFERROR(INDIRECT($B22&amp;"!H37"), "")</f>
        <v>1.6239160529804193E-2</v>
      </c>
      <c r="I22" s="144">
        <f ca="1">IFERROR(INDIRECT($B22&amp;"!I37"), "")</f>
        <v>24358.740794706289</v>
      </c>
      <c r="J22" s="145">
        <f ca="1">IFERROR($C22 * (1 + K22), "")</f>
        <v>1541059.6578824846</v>
      </c>
      <c r="K22" s="76">
        <f ca="1">IFERROR(INDIRECT($B22&amp;"!K37"), "")</f>
        <v>2.7373105254989795E-2</v>
      </c>
      <c r="L22" s="144">
        <f ca="1">IFERROR(INDIRECT($B22&amp;"!L37"), "")</f>
        <v>41059.657882484695</v>
      </c>
      <c r="M22" s="145">
        <f ca="1">IFERROR($C22 * (1 + N22), "")</f>
        <v>1525524.8993430813</v>
      </c>
      <c r="N22" s="76">
        <f ca="1">IFERROR(INDIRECT($B22&amp;"!N37"), "")</f>
        <v>1.7016599562054108E-2</v>
      </c>
      <c r="O22" s="144">
        <f ca="1">IFERROR(INDIRECT($B22&amp;"!O37"), "")</f>
        <v>25524.899343081161</v>
      </c>
    </row>
    <row r="23" spans="1:15" ht="16.5" customHeight="1">
      <c r="A23" s="151">
        <v>2</v>
      </c>
      <c r="B23" s="151" t="str">
        <f>TEXT(투자전략!$G$1+1, "[$-ko-KR]yyyy.mm.dd")</f>
        <v>2021.05.02</v>
      </c>
      <c r="C23" s="138">
        <f t="shared" ref="C23:C52" ca="1" si="0">IFERROR(COUNTA(INDIRECT($B23&amp;"!A17:A36")) * INDIRECT($B23&amp;"!B37"), "")</f>
        <v>1500000</v>
      </c>
      <c r="D23" s="142">
        <f t="shared" ref="D23:D52" ca="1" si="1">IFERROR($C23 * (1 + E23), "")</f>
        <v>1477868.831183566</v>
      </c>
      <c r="E23" s="77">
        <f t="shared" ref="E23:E52" ca="1" si="2">IFERROR(INDIRECT($B23&amp;"!E37"), "")</f>
        <v>-1.4754112544289216E-2</v>
      </c>
      <c r="F23" s="140">
        <f t="shared" ref="F23:F52" ca="1" si="3">IFERROR(INDIRECT($B23&amp;"!F37"), "")</f>
        <v>-22131.168816433827</v>
      </c>
      <c r="G23" s="142">
        <f t="shared" ref="G23:G52" ca="1" si="4">IFERROR($C23 * (1 + H23), "")</f>
        <v>1481878.8005359648</v>
      </c>
      <c r="H23" s="77">
        <f t="shared" ref="H23:H52" ca="1" si="5">IFERROR(INDIRECT($B23&amp;"!H37"), "")</f>
        <v>-1.2080799642690102E-2</v>
      </c>
      <c r="I23" s="140">
        <f t="shared" ref="I23:I52" ca="1" si="6">IFERROR(INDIRECT($B23&amp;"!I37"), "")</f>
        <v>-18121.199464035148</v>
      </c>
      <c r="J23" s="142">
        <f t="shared" ref="J23:J52" ca="1" si="7">IFERROR($C23 * (1 + K23), "")</f>
        <v>1490013.0381251995</v>
      </c>
      <c r="K23" s="77">
        <f t="shared" ref="K23:K52" ca="1" si="8">IFERROR(INDIRECT($B23&amp;"!K37"), "")</f>
        <v>-6.6579745832004086E-3</v>
      </c>
      <c r="L23" s="140">
        <f t="shared" ref="L23:L52" ca="1" si="9">IFERROR(INDIRECT($B23&amp;"!L37"), "")</f>
        <v>-9986.9618748006123</v>
      </c>
      <c r="M23" s="142">
        <f t="shared" ref="M23:M52" ca="1" si="10">IFERROR($C23 * (1 + N23), "")</f>
        <v>1505154.0441810088</v>
      </c>
      <c r="N23" s="77">
        <f t="shared" ref="N23:N52" ca="1" si="11">IFERROR(INDIRECT($B23&amp;"!N37"), "")</f>
        <v>3.4360294540058622E-3</v>
      </c>
      <c r="O23" s="140">
        <f t="shared" ref="O23:O52" ca="1" si="12">IFERROR(INDIRECT($B23&amp;"!O37"), "")</f>
        <v>5154.0441810087932</v>
      </c>
    </row>
    <row r="24" spans="1:15" ht="16.5" customHeight="1">
      <c r="A24" s="151">
        <v>3</v>
      </c>
      <c r="B24" s="151" t="str">
        <f>TEXT(투자전략!$G$1+2, "[$-ko-KR]yyyy.mm.dd")</f>
        <v>2021.05.03</v>
      </c>
      <c r="C24" s="138">
        <f t="shared" ca="1" si="0"/>
        <v>1500000</v>
      </c>
      <c r="D24" s="142">
        <f t="shared" ca="1" si="1"/>
        <v>1523347.3977118272</v>
      </c>
      <c r="E24" s="77">
        <f t="shared" ca="1" si="2"/>
        <v>1.5564931807884787E-2</v>
      </c>
      <c r="F24" s="140">
        <f t="shared" ca="1" si="3"/>
        <v>23347.397711827187</v>
      </c>
      <c r="G24" s="142">
        <f t="shared" ca="1" si="4"/>
        <v>1560142.7557216759</v>
      </c>
      <c r="H24" s="77">
        <f t="shared" ca="1" si="5"/>
        <v>4.0095170481117118E-2</v>
      </c>
      <c r="I24" s="140">
        <f t="shared" ca="1" si="6"/>
        <v>60142.755721675669</v>
      </c>
      <c r="J24" s="142">
        <f t="shared" ca="1" si="7"/>
        <v>1568682.2171573569</v>
      </c>
      <c r="K24" s="77">
        <f t="shared" ca="1" si="8"/>
        <v>4.5788144771571407E-2</v>
      </c>
      <c r="L24" s="140">
        <f t="shared" ca="1" si="9"/>
        <v>68682.217157357096</v>
      </c>
      <c r="M24" s="142">
        <f t="shared" ca="1" si="10"/>
        <v>1559667.7728955552</v>
      </c>
      <c r="N24" s="77">
        <f t="shared" ca="1" si="11"/>
        <v>3.9778515263703573E-2</v>
      </c>
      <c r="O24" s="140">
        <f t="shared" ca="1" si="12"/>
        <v>59667.772895555361</v>
      </c>
    </row>
    <row r="25" spans="1:15" ht="16.5" customHeight="1">
      <c r="A25" s="151">
        <v>4</v>
      </c>
      <c r="B25" s="151" t="str">
        <f>TEXT(투자전략!$G$1+3, "[$-ko-KR]yyyy.mm.dd")</f>
        <v>2021.05.04</v>
      </c>
      <c r="C25" s="138">
        <f t="shared" ca="1" si="0"/>
        <v>1500000</v>
      </c>
      <c r="D25" s="142">
        <f t="shared" ca="1" si="1"/>
        <v>1447221.3062181717</v>
      </c>
      <c r="E25" s="77">
        <f t="shared" ca="1" si="2"/>
        <v>-3.5185795854552129E-2</v>
      </c>
      <c r="F25" s="140">
        <f t="shared" ca="1" si="3"/>
        <v>-52778.693781828188</v>
      </c>
      <c r="G25" s="142">
        <f t="shared" ca="1" si="4"/>
        <v>1456602.1520214851</v>
      </c>
      <c r="H25" s="77">
        <f t="shared" ca="1" si="5"/>
        <v>-2.8931898652343191E-2</v>
      </c>
      <c r="I25" s="140">
        <f t="shared" ca="1" si="6"/>
        <v>-43397.847978514787</v>
      </c>
      <c r="J25" s="142">
        <f t="shared" ca="1" si="7"/>
        <v>1443915.4672803837</v>
      </c>
      <c r="K25" s="77">
        <f t="shared" ca="1" si="8"/>
        <v>-3.7389688479744207E-2</v>
      </c>
      <c r="L25" s="140">
        <f t="shared" ca="1" si="9"/>
        <v>-56084.532719616313</v>
      </c>
      <c r="M25" s="142">
        <f t="shared" ca="1" si="10"/>
        <v>1398486.0165930653</v>
      </c>
      <c r="N25" s="77">
        <f t="shared" ca="1" si="11"/>
        <v>-6.7675988937956469E-2</v>
      </c>
      <c r="O25" s="140">
        <f t="shared" ca="1" si="12"/>
        <v>-101513.98340693471</v>
      </c>
    </row>
    <row r="26" spans="1:15" ht="16.5" customHeight="1">
      <c r="A26" s="151">
        <v>5</v>
      </c>
      <c r="B26" s="151" t="str">
        <f>TEXT(투자전략!$G$1+4, "[$-ko-KR]yyyy.mm.dd")</f>
        <v>2021.05.05</v>
      </c>
      <c r="C26" s="138">
        <f t="shared" ca="1" si="0"/>
        <v>0</v>
      </c>
      <c r="D26" s="142">
        <f t="shared" ca="1" si="1"/>
        <v>0</v>
      </c>
      <c r="E26" s="77">
        <f t="shared" ca="1" si="2"/>
        <v>0</v>
      </c>
      <c r="F26" s="140">
        <f t="shared" ca="1" si="3"/>
        <v>0</v>
      </c>
      <c r="G26" s="142">
        <f t="shared" ca="1" si="4"/>
        <v>0</v>
      </c>
      <c r="H26" s="77">
        <f t="shared" ca="1" si="5"/>
        <v>0</v>
      </c>
      <c r="I26" s="140">
        <f t="shared" ca="1" si="6"/>
        <v>0</v>
      </c>
      <c r="J26" s="142">
        <f t="shared" ca="1" si="7"/>
        <v>0</v>
      </c>
      <c r="K26" s="77">
        <f t="shared" ca="1" si="8"/>
        <v>0</v>
      </c>
      <c r="L26" s="140">
        <f t="shared" ca="1" si="9"/>
        <v>0</v>
      </c>
      <c r="M26" s="142">
        <f t="shared" ca="1" si="10"/>
        <v>0</v>
      </c>
      <c r="N26" s="77">
        <f t="shared" ca="1" si="11"/>
        <v>0</v>
      </c>
      <c r="O26" s="140">
        <f t="shared" ca="1" si="12"/>
        <v>0</v>
      </c>
    </row>
    <row r="27" spans="1:15" ht="16.5" customHeight="1">
      <c r="A27" s="151">
        <v>6</v>
      </c>
      <c r="B27" s="151" t="str">
        <f>TEXT(투자전략!$G$1+5, "[$-ko-KR]yyyy.mm.dd")</f>
        <v>2021.05.06</v>
      </c>
      <c r="C27" s="138">
        <f t="shared" ca="1" si="0"/>
        <v>3000000</v>
      </c>
      <c r="D27" s="142">
        <f t="shared" ca="1" si="1"/>
        <v>3257879.8644327633</v>
      </c>
      <c r="E27" s="77">
        <f t="shared" ca="1" si="2"/>
        <v>8.5959954810921085E-2</v>
      </c>
      <c r="F27" s="140">
        <f t="shared" ca="1" si="3"/>
        <v>257879.86443276325</v>
      </c>
      <c r="G27" s="142">
        <f t="shared" ca="1" si="4"/>
        <v>3230604.3387588654</v>
      </c>
      <c r="H27" s="77">
        <f t="shared" ca="1" si="5"/>
        <v>7.6868112919621853E-2</v>
      </c>
      <c r="I27" s="140">
        <f t="shared" ca="1" si="6"/>
        <v>230604.3387588656</v>
      </c>
      <c r="J27" s="142">
        <f t="shared" ca="1" si="7"/>
        <v>3300116.9283017786</v>
      </c>
      <c r="K27" s="77">
        <f t="shared" ca="1" si="8"/>
        <v>0.10003897610059287</v>
      </c>
      <c r="L27" s="140">
        <f t="shared" ca="1" si="9"/>
        <v>300116.92830177856</v>
      </c>
      <c r="M27" s="142">
        <f t="shared" ca="1" si="10"/>
        <v>3353374.1318830764</v>
      </c>
      <c r="N27" s="77">
        <f t="shared" ca="1" si="11"/>
        <v>0.1177913772943588</v>
      </c>
      <c r="O27" s="140">
        <f t="shared" ca="1" si="12"/>
        <v>353374.13188307645</v>
      </c>
    </row>
    <row r="28" spans="1:15" ht="16.5" customHeight="1" thickBot="1">
      <c r="A28" s="150">
        <v>7</v>
      </c>
      <c r="B28" s="150" t="str">
        <f>TEXT(투자전략!$G$1+6, "[$-ko-KR]yyyy.mm.dd")</f>
        <v>2021.05.07</v>
      </c>
      <c r="C28" s="139">
        <f t="shared" ca="1" si="0"/>
        <v>3000000</v>
      </c>
      <c r="D28" s="143">
        <f t="shared" ca="1" si="1"/>
        <v>3139394.5491867843</v>
      </c>
      <c r="E28" s="79">
        <f t="shared" ca="1" si="2"/>
        <v>4.6464849728928163E-2</v>
      </c>
      <c r="F28" s="141">
        <f t="shared" ca="1" si="3"/>
        <v>139394.54918678451</v>
      </c>
      <c r="G28" s="143">
        <f t="shared" ca="1" si="4"/>
        <v>3249695.91004832</v>
      </c>
      <c r="H28" s="79">
        <f t="shared" ca="1" si="5"/>
        <v>8.3231970016106507E-2</v>
      </c>
      <c r="I28" s="141">
        <f t="shared" ca="1" si="6"/>
        <v>249695.91004831955</v>
      </c>
      <c r="J28" s="143">
        <f t="shared" ca="1" si="7"/>
        <v>3304484.0968257068</v>
      </c>
      <c r="K28" s="79">
        <f t="shared" ca="1" si="8"/>
        <v>0.10149469894190226</v>
      </c>
      <c r="L28" s="141">
        <f t="shared" ca="1" si="9"/>
        <v>304484.09682570671</v>
      </c>
      <c r="M28" s="143">
        <f t="shared" ca="1" si="10"/>
        <v>3000000</v>
      </c>
      <c r="N28" s="79">
        <f t="shared" ca="1" si="11"/>
        <v>0</v>
      </c>
      <c r="O28" s="141">
        <f t="shared" ca="1" si="12"/>
        <v>0</v>
      </c>
    </row>
    <row r="29" spans="1:15" ht="16.5" customHeight="1">
      <c r="A29" s="149">
        <v>8</v>
      </c>
      <c r="B29" s="149" t="str">
        <f>TEXT(투자전략!$G$1+7, "[$-ko-KR]yyyy.mm.dd")</f>
        <v>2021.05.08</v>
      </c>
      <c r="C29" s="137" t="str">
        <f t="shared" ca="1" si="0"/>
        <v/>
      </c>
      <c r="D29" s="145" t="str">
        <f t="shared" ca="1" si="1"/>
        <v/>
      </c>
      <c r="E29" s="76" t="str">
        <f t="shared" ca="1" si="2"/>
        <v/>
      </c>
      <c r="F29" s="144" t="str">
        <f t="shared" ca="1" si="3"/>
        <v/>
      </c>
      <c r="G29" s="145" t="str">
        <f t="shared" ca="1" si="4"/>
        <v/>
      </c>
      <c r="H29" s="76" t="str">
        <f t="shared" ca="1" si="5"/>
        <v/>
      </c>
      <c r="I29" s="144" t="str">
        <f t="shared" ca="1" si="6"/>
        <v/>
      </c>
      <c r="J29" s="145" t="str">
        <f t="shared" ca="1" si="7"/>
        <v/>
      </c>
      <c r="K29" s="76" t="str">
        <f t="shared" ca="1" si="8"/>
        <v/>
      </c>
      <c r="L29" s="144" t="str">
        <f t="shared" ca="1" si="9"/>
        <v/>
      </c>
      <c r="M29" s="145" t="str">
        <f t="shared" ca="1" si="10"/>
        <v/>
      </c>
      <c r="N29" s="76" t="str">
        <f t="shared" ca="1" si="11"/>
        <v/>
      </c>
      <c r="O29" s="144" t="str">
        <f t="shared" ca="1" si="12"/>
        <v/>
      </c>
    </row>
    <row r="30" spans="1:15" ht="16.5" customHeight="1">
      <c r="A30" s="151">
        <v>9</v>
      </c>
      <c r="B30" s="151" t="str">
        <f>TEXT(투자전략!$G$1+8, "[$-ko-KR]yyyy.mm.dd")</f>
        <v>2021.05.09</v>
      </c>
      <c r="C30" s="138" t="str">
        <f t="shared" ca="1" si="0"/>
        <v/>
      </c>
      <c r="D30" s="142" t="str">
        <f t="shared" ca="1" si="1"/>
        <v/>
      </c>
      <c r="E30" s="77" t="str">
        <f t="shared" ca="1" si="2"/>
        <v/>
      </c>
      <c r="F30" s="140" t="str">
        <f t="shared" ca="1" si="3"/>
        <v/>
      </c>
      <c r="G30" s="142" t="str">
        <f t="shared" ca="1" si="4"/>
        <v/>
      </c>
      <c r="H30" s="77" t="str">
        <f t="shared" ca="1" si="5"/>
        <v/>
      </c>
      <c r="I30" s="140" t="str">
        <f t="shared" ca="1" si="6"/>
        <v/>
      </c>
      <c r="J30" s="142" t="str">
        <f t="shared" ca="1" si="7"/>
        <v/>
      </c>
      <c r="K30" s="77" t="str">
        <f t="shared" ca="1" si="8"/>
        <v/>
      </c>
      <c r="L30" s="140" t="str">
        <f t="shared" ca="1" si="9"/>
        <v/>
      </c>
      <c r="M30" s="142" t="str">
        <f t="shared" ca="1" si="10"/>
        <v/>
      </c>
      <c r="N30" s="77" t="str">
        <f t="shared" ca="1" si="11"/>
        <v/>
      </c>
      <c r="O30" s="140" t="str">
        <f t="shared" ca="1" si="12"/>
        <v/>
      </c>
    </row>
    <row r="31" spans="1:15" ht="16.5" customHeight="1">
      <c r="A31" s="151">
        <v>10</v>
      </c>
      <c r="B31" s="151" t="str">
        <f>TEXT(투자전략!$G$1+9, "[$-ko-KR]yyyy.mm.dd")</f>
        <v>2021.05.10</v>
      </c>
      <c r="C31" s="138" t="str">
        <f t="shared" ca="1" si="0"/>
        <v/>
      </c>
      <c r="D31" s="142" t="str">
        <f t="shared" ca="1" si="1"/>
        <v/>
      </c>
      <c r="E31" s="77" t="str">
        <f t="shared" ca="1" si="2"/>
        <v/>
      </c>
      <c r="F31" s="140" t="str">
        <f t="shared" ca="1" si="3"/>
        <v/>
      </c>
      <c r="G31" s="142" t="str">
        <f t="shared" ca="1" si="4"/>
        <v/>
      </c>
      <c r="H31" s="77" t="str">
        <f t="shared" ca="1" si="5"/>
        <v/>
      </c>
      <c r="I31" s="140" t="str">
        <f t="shared" ca="1" si="6"/>
        <v/>
      </c>
      <c r="J31" s="142" t="str">
        <f t="shared" ca="1" si="7"/>
        <v/>
      </c>
      <c r="K31" s="77" t="str">
        <f t="shared" ca="1" si="8"/>
        <v/>
      </c>
      <c r="L31" s="140" t="str">
        <f t="shared" ca="1" si="9"/>
        <v/>
      </c>
      <c r="M31" s="142" t="str">
        <f t="shared" ca="1" si="10"/>
        <v/>
      </c>
      <c r="N31" s="77" t="str">
        <f t="shared" ca="1" si="11"/>
        <v/>
      </c>
      <c r="O31" s="140" t="str">
        <f t="shared" ca="1" si="12"/>
        <v/>
      </c>
    </row>
    <row r="32" spans="1:15" ht="16.5" customHeight="1">
      <c r="A32" s="151">
        <v>11</v>
      </c>
      <c r="B32" s="151" t="str">
        <f>TEXT(투자전략!$G$1+10, "[$-ko-KR]yyyy.mm.dd")</f>
        <v>2021.05.11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 ht="16.5" customHeight="1">
      <c r="A33" s="151">
        <v>12</v>
      </c>
      <c r="B33" s="151" t="str">
        <f>TEXT(투자전략!$G$1+11, "[$-ko-KR]yyyy.mm.dd")</f>
        <v>2021.05.12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 ht="16.5" customHeight="1">
      <c r="A34" s="151">
        <v>13</v>
      </c>
      <c r="B34" s="151" t="str">
        <f>TEXT(투자전략!$G$1+12, "[$-ko-KR]yyyy.mm.dd")</f>
        <v>2021.05.13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 ht="16.5" customHeight="1" thickBot="1">
      <c r="A35" s="150">
        <v>14</v>
      </c>
      <c r="B35" s="150" t="str">
        <f>TEXT(투자전략!$G$1+13, "[$-ko-KR]yyyy.mm.dd")</f>
        <v>2021.05.14</v>
      </c>
      <c r="C35" s="139" t="str">
        <f t="shared" ca="1" si="0"/>
        <v/>
      </c>
      <c r="D35" s="143" t="str">
        <f t="shared" ca="1" si="1"/>
        <v/>
      </c>
      <c r="E35" s="79" t="str">
        <f t="shared" ca="1" si="2"/>
        <v/>
      </c>
      <c r="F35" s="141" t="str">
        <f t="shared" ca="1" si="3"/>
        <v/>
      </c>
      <c r="G35" s="143" t="str">
        <f t="shared" ca="1" si="4"/>
        <v/>
      </c>
      <c r="H35" s="79" t="str">
        <f t="shared" ca="1" si="5"/>
        <v/>
      </c>
      <c r="I35" s="141" t="str">
        <f t="shared" ca="1" si="6"/>
        <v/>
      </c>
      <c r="J35" s="143" t="str">
        <f t="shared" ca="1" si="7"/>
        <v/>
      </c>
      <c r="K35" s="79" t="str">
        <f t="shared" ca="1" si="8"/>
        <v/>
      </c>
      <c r="L35" s="141" t="str">
        <f t="shared" ca="1" si="9"/>
        <v/>
      </c>
      <c r="M35" s="143" t="str">
        <f t="shared" ca="1" si="10"/>
        <v/>
      </c>
      <c r="N35" s="79" t="str">
        <f t="shared" ca="1" si="11"/>
        <v/>
      </c>
      <c r="O35" s="141" t="str">
        <f t="shared" ca="1" si="12"/>
        <v/>
      </c>
    </row>
    <row r="36" spans="1:15" ht="16.5" customHeight="1">
      <c r="A36" s="149">
        <v>15</v>
      </c>
      <c r="B36" s="149" t="str">
        <f>TEXT(투자전략!$G$1+14, "[$-ko-KR]yyyy.mm.dd")</f>
        <v>2021.05.15</v>
      </c>
      <c r="C36" s="137" t="str">
        <f t="shared" ca="1" si="0"/>
        <v/>
      </c>
      <c r="D36" s="145" t="str">
        <f t="shared" ca="1" si="1"/>
        <v/>
      </c>
      <c r="E36" s="76" t="str">
        <f t="shared" ca="1" si="2"/>
        <v/>
      </c>
      <c r="F36" s="144" t="str">
        <f t="shared" ca="1" si="3"/>
        <v/>
      </c>
      <c r="G36" s="145" t="str">
        <f t="shared" ca="1" si="4"/>
        <v/>
      </c>
      <c r="H36" s="76" t="str">
        <f t="shared" ca="1" si="5"/>
        <v/>
      </c>
      <c r="I36" s="144" t="str">
        <f t="shared" ca="1" si="6"/>
        <v/>
      </c>
      <c r="J36" s="145" t="str">
        <f t="shared" ca="1" si="7"/>
        <v/>
      </c>
      <c r="K36" s="76" t="str">
        <f t="shared" ca="1" si="8"/>
        <v/>
      </c>
      <c r="L36" s="144" t="str">
        <f t="shared" ca="1" si="9"/>
        <v/>
      </c>
      <c r="M36" s="145" t="str">
        <f t="shared" ca="1" si="10"/>
        <v/>
      </c>
      <c r="N36" s="76" t="str">
        <f t="shared" ca="1" si="11"/>
        <v/>
      </c>
      <c r="O36" s="144" t="str">
        <f t="shared" ca="1" si="12"/>
        <v/>
      </c>
    </row>
    <row r="37" spans="1:15" ht="16.5" customHeight="1">
      <c r="A37" s="151">
        <v>16</v>
      </c>
      <c r="B37" s="151" t="str">
        <f>TEXT(투자전략!$G$1+15, "[$-ko-KR]yyyy.mm.dd")</f>
        <v>2021.05.16</v>
      </c>
      <c r="C37" s="138" t="str">
        <f t="shared" ca="1" si="0"/>
        <v/>
      </c>
      <c r="D37" s="142" t="str">
        <f t="shared" ca="1" si="1"/>
        <v/>
      </c>
      <c r="E37" s="77" t="str">
        <f t="shared" ca="1" si="2"/>
        <v/>
      </c>
      <c r="F37" s="140" t="str">
        <f t="shared" ca="1" si="3"/>
        <v/>
      </c>
      <c r="G37" s="142" t="str">
        <f t="shared" ca="1" si="4"/>
        <v/>
      </c>
      <c r="H37" s="77" t="str">
        <f t="shared" ca="1" si="5"/>
        <v/>
      </c>
      <c r="I37" s="140" t="str">
        <f t="shared" ca="1" si="6"/>
        <v/>
      </c>
      <c r="J37" s="142" t="str">
        <f t="shared" ca="1" si="7"/>
        <v/>
      </c>
      <c r="K37" s="77" t="str">
        <f t="shared" ca="1" si="8"/>
        <v/>
      </c>
      <c r="L37" s="140" t="str">
        <f t="shared" ca="1" si="9"/>
        <v/>
      </c>
      <c r="M37" s="142" t="str">
        <f t="shared" ca="1" si="10"/>
        <v/>
      </c>
      <c r="N37" s="77" t="str">
        <f t="shared" ca="1" si="11"/>
        <v/>
      </c>
      <c r="O37" s="140" t="str">
        <f t="shared" ca="1" si="12"/>
        <v/>
      </c>
    </row>
    <row r="38" spans="1:15" ht="16.5" customHeight="1">
      <c r="A38" s="151">
        <v>17</v>
      </c>
      <c r="B38" s="151" t="str">
        <f>TEXT(투자전략!$G$1+16, "[$-ko-KR]yyyy.mm.dd")</f>
        <v>2021.05.17</v>
      </c>
      <c r="C38" s="138" t="str">
        <f t="shared" ca="1" si="0"/>
        <v/>
      </c>
      <c r="D38" s="142" t="str">
        <f t="shared" ca="1" si="1"/>
        <v/>
      </c>
      <c r="E38" s="77" t="str">
        <f t="shared" ca="1" si="2"/>
        <v/>
      </c>
      <c r="F38" s="140" t="str">
        <f t="shared" ca="1" si="3"/>
        <v/>
      </c>
      <c r="G38" s="142" t="str">
        <f t="shared" ca="1" si="4"/>
        <v/>
      </c>
      <c r="H38" s="77" t="str">
        <f t="shared" ca="1" si="5"/>
        <v/>
      </c>
      <c r="I38" s="140" t="str">
        <f t="shared" ca="1" si="6"/>
        <v/>
      </c>
      <c r="J38" s="142" t="str">
        <f t="shared" ca="1" si="7"/>
        <v/>
      </c>
      <c r="K38" s="77" t="str">
        <f t="shared" ca="1" si="8"/>
        <v/>
      </c>
      <c r="L38" s="140" t="str">
        <f t="shared" ca="1" si="9"/>
        <v/>
      </c>
      <c r="M38" s="142" t="str">
        <f t="shared" ca="1" si="10"/>
        <v/>
      </c>
      <c r="N38" s="77" t="str">
        <f t="shared" ca="1" si="11"/>
        <v/>
      </c>
      <c r="O38" s="140" t="str">
        <f t="shared" ca="1" si="12"/>
        <v/>
      </c>
    </row>
    <row r="39" spans="1:15" ht="16.5" customHeight="1">
      <c r="A39" s="151">
        <v>18</v>
      </c>
      <c r="B39" s="151" t="str">
        <f>TEXT(투자전략!$G$1+17, "[$-ko-KR]yyyy.mm.dd")</f>
        <v>2021.05.18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 ht="16.5" customHeight="1">
      <c r="A40" s="151">
        <v>19</v>
      </c>
      <c r="B40" s="151" t="str">
        <f>TEXT(투자전략!$G$1+18, "[$-ko-KR]yyyy.mm.dd")</f>
        <v>2021.05.19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 ht="16.5" customHeight="1">
      <c r="A41" s="151">
        <v>20</v>
      </c>
      <c r="B41" s="151" t="str">
        <f>TEXT(투자전략!$G$1+19, "[$-ko-KR]yyyy.mm.dd")</f>
        <v>2021.05.20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 ht="16.5" customHeight="1" thickBot="1">
      <c r="A42" s="150">
        <v>21</v>
      </c>
      <c r="B42" s="150" t="str">
        <f>TEXT(투자전략!$G$1+20, "[$-ko-KR]yyyy.mm.dd")</f>
        <v>2021.05.21</v>
      </c>
      <c r="C42" s="139" t="str">
        <f t="shared" ca="1" si="0"/>
        <v/>
      </c>
      <c r="D42" s="143" t="str">
        <f t="shared" ca="1" si="1"/>
        <v/>
      </c>
      <c r="E42" s="79" t="str">
        <f t="shared" ca="1" si="2"/>
        <v/>
      </c>
      <c r="F42" s="141" t="str">
        <f t="shared" ca="1" si="3"/>
        <v/>
      </c>
      <c r="G42" s="143" t="str">
        <f t="shared" ca="1" si="4"/>
        <v/>
      </c>
      <c r="H42" s="79" t="str">
        <f t="shared" ca="1" si="5"/>
        <v/>
      </c>
      <c r="I42" s="141" t="str">
        <f t="shared" ca="1" si="6"/>
        <v/>
      </c>
      <c r="J42" s="143" t="str">
        <f t="shared" ca="1" si="7"/>
        <v/>
      </c>
      <c r="K42" s="79" t="str">
        <f t="shared" ca="1" si="8"/>
        <v/>
      </c>
      <c r="L42" s="141" t="str">
        <f t="shared" ca="1" si="9"/>
        <v/>
      </c>
      <c r="M42" s="143" t="str">
        <f t="shared" ca="1" si="10"/>
        <v/>
      </c>
      <c r="N42" s="79" t="str">
        <f t="shared" ca="1" si="11"/>
        <v/>
      </c>
      <c r="O42" s="141" t="str">
        <f t="shared" ca="1" si="12"/>
        <v/>
      </c>
    </row>
    <row r="43" spans="1:15" ht="16.5" customHeight="1">
      <c r="A43" s="149">
        <v>22</v>
      </c>
      <c r="B43" s="149" t="str">
        <f>TEXT(투자전략!$G$1+21, "[$-ko-KR]yyyy.mm.dd")</f>
        <v>2021.05.22</v>
      </c>
      <c r="C43" s="137" t="str">
        <f t="shared" ca="1" si="0"/>
        <v/>
      </c>
      <c r="D43" s="145" t="str">
        <f t="shared" ca="1" si="1"/>
        <v/>
      </c>
      <c r="E43" s="76" t="str">
        <f t="shared" ca="1" si="2"/>
        <v/>
      </c>
      <c r="F43" s="144" t="str">
        <f t="shared" ca="1" si="3"/>
        <v/>
      </c>
      <c r="G43" s="145" t="str">
        <f t="shared" ca="1" si="4"/>
        <v/>
      </c>
      <c r="H43" s="76" t="str">
        <f t="shared" ca="1" si="5"/>
        <v/>
      </c>
      <c r="I43" s="144" t="str">
        <f t="shared" ca="1" si="6"/>
        <v/>
      </c>
      <c r="J43" s="145" t="str">
        <f t="shared" ca="1" si="7"/>
        <v/>
      </c>
      <c r="K43" s="76" t="str">
        <f t="shared" ca="1" si="8"/>
        <v/>
      </c>
      <c r="L43" s="144" t="str">
        <f t="shared" ca="1" si="9"/>
        <v/>
      </c>
      <c r="M43" s="145" t="str">
        <f t="shared" ca="1" si="10"/>
        <v/>
      </c>
      <c r="N43" s="76" t="str">
        <f t="shared" ca="1" si="11"/>
        <v/>
      </c>
      <c r="O43" s="144" t="str">
        <f t="shared" ca="1" si="12"/>
        <v/>
      </c>
    </row>
    <row r="44" spans="1:15" ht="16.5" customHeight="1">
      <c r="A44" s="151">
        <v>23</v>
      </c>
      <c r="B44" s="151" t="str">
        <f>TEXT(투자전략!$G$1+22, "[$-ko-KR]yyyy.mm.dd")</f>
        <v>2021.05.23</v>
      </c>
      <c r="C44" s="138" t="str">
        <f t="shared" ca="1" si="0"/>
        <v/>
      </c>
      <c r="D44" s="142" t="str">
        <f t="shared" ca="1" si="1"/>
        <v/>
      </c>
      <c r="E44" s="77" t="str">
        <f t="shared" ca="1" si="2"/>
        <v/>
      </c>
      <c r="F44" s="140" t="str">
        <f t="shared" ca="1" si="3"/>
        <v/>
      </c>
      <c r="G44" s="142" t="str">
        <f t="shared" ca="1" si="4"/>
        <v/>
      </c>
      <c r="H44" s="77" t="str">
        <f t="shared" ca="1" si="5"/>
        <v/>
      </c>
      <c r="I44" s="140" t="str">
        <f t="shared" ca="1" si="6"/>
        <v/>
      </c>
      <c r="J44" s="142" t="str">
        <f t="shared" ca="1" si="7"/>
        <v/>
      </c>
      <c r="K44" s="77" t="str">
        <f t="shared" ca="1" si="8"/>
        <v/>
      </c>
      <c r="L44" s="140" t="str">
        <f t="shared" ca="1" si="9"/>
        <v/>
      </c>
      <c r="M44" s="142" t="str">
        <f t="shared" ca="1" si="10"/>
        <v/>
      </c>
      <c r="N44" s="77" t="str">
        <f t="shared" ca="1" si="11"/>
        <v/>
      </c>
      <c r="O44" s="140" t="str">
        <f t="shared" ca="1" si="12"/>
        <v/>
      </c>
    </row>
    <row r="45" spans="1:15" ht="16.5" customHeight="1">
      <c r="A45" s="151">
        <v>24</v>
      </c>
      <c r="B45" s="151" t="str">
        <f>TEXT(투자전략!$G$1+23, "[$-ko-KR]yyyy.mm.dd")</f>
        <v>2021.05.24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 ht="16.5" customHeight="1">
      <c r="A46" s="151">
        <v>25</v>
      </c>
      <c r="B46" s="151" t="str">
        <f>TEXT(투자전략!$G$1+24, "[$-ko-KR]yyyy.mm.dd")</f>
        <v>2021.05.25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6.5" customHeight="1">
      <c r="A47" s="151">
        <v>26</v>
      </c>
      <c r="B47" s="151" t="str">
        <f>TEXT(투자전략!$G$1+25, "[$-ko-KR]yyyy.mm.dd")</f>
        <v>2021.05.26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6.5" customHeight="1">
      <c r="A48" s="151">
        <v>27</v>
      </c>
      <c r="B48" s="151" t="str">
        <f>TEXT(투자전략!$G$1+26, "[$-ko-KR]yyyy.mm.dd")</f>
        <v>2021.05.27</v>
      </c>
      <c r="C48" s="138" t="str">
        <f t="shared" ca="1" si="0"/>
        <v/>
      </c>
      <c r="D48" s="142" t="str">
        <f t="shared" ca="1" si="1"/>
        <v/>
      </c>
      <c r="E48" s="77" t="str">
        <f t="shared" ca="1" si="2"/>
        <v/>
      </c>
      <c r="F48" s="140" t="str">
        <f t="shared" ca="1" si="3"/>
        <v/>
      </c>
      <c r="G48" s="142" t="str">
        <f t="shared" ca="1" si="4"/>
        <v/>
      </c>
      <c r="H48" s="77" t="str">
        <f t="shared" ca="1" si="5"/>
        <v/>
      </c>
      <c r="I48" s="140" t="str">
        <f t="shared" ca="1" si="6"/>
        <v/>
      </c>
      <c r="J48" s="142" t="str">
        <f t="shared" ca="1" si="7"/>
        <v/>
      </c>
      <c r="K48" s="77" t="str">
        <f t="shared" ca="1" si="8"/>
        <v/>
      </c>
      <c r="L48" s="140" t="str">
        <f t="shared" ca="1" si="9"/>
        <v/>
      </c>
      <c r="M48" s="142" t="str">
        <f t="shared" ca="1" si="10"/>
        <v/>
      </c>
      <c r="N48" s="77" t="str">
        <f t="shared" ca="1" si="11"/>
        <v/>
      </c>
      <c r="O48" s="140" t="str">
        <f t="shared" ca="1" si="12"/>
        <v/>
      </c>
    </row>
    <row r="49" spans="1:15" ht="16.5" customHeight="1" thickBot="1">
      <c r="A49" s="150">
        <v>28</v>
      </c>
      <c r="B49" s="150" t="str">
        <f>TEXT(투자전략!$G$1+27, "[$-ko-KR]yyyy.mm.dd")</f>
        <v>2021.05.28</v>
      </c>
      <c r="C49" s="139" t="str">
        <f t="shared" ca="1" si="0"/>
        <v/>
      </c>
      <c r="D49" s="143" t="str">
        <f t="shared" ca="1" si="1"/>
        <v/>
      </c>
      <c r="E49" s="79" t="str">
        <f t="shared" ca="1" si="2"/>
        <v/>
      </c>
      <c r="F49" s="141" t="str">
        <f t="shared" ca="1" si="3"/>
        <v/>
      </c>
      <c r="G49" s="143" t="str">
        <f t="shared" ca="1" si="4"/>
        <v/>
      </c>
      <c r="H49" s="79" t="str">
        <f t="shared" ca="1" si="5"/>
        <v/>
      </c>
      <c r="I49" s="141" t="str">
        <f t="shared" ca="1" si="6"/>
        <v/>
      </c>
      <c r="J49" s="143" t="str">
        <f t="shared" ca="1" si="7"/>
        <v/>
      </c>
      <c r="K49" s="79" t="str">
        <f t="shared" ca="1" si="8"/>
        <v/>
      </c>
      <c r="L49" s="141" t="str">
        <f t="shared" ca="1" si="9"/>
        <v/>
      </c>
      <c r="M49" s="143" t="str">
        <f t="shared" ca="1" si="10"/>
        <v/>
      </c>
      <c r="N49" s="79" t="str">
        <f t="shared" ca="1" si="11"/>
        <v/>
      </c>
      <c r="O49" s="141" t="str">
        <f t="shared" ca="1" si="12"/>
        <v/>
      </c>
    </row>
    <row r="50" spans="1:15" ht="16.5" customHeight="1">
      <c r="A50" s="124">
        <v>29</v>
      </c>
      <c r="B50" s="149" t="str">
        <f>TEXT(투자전략!$G$1+28, "[$-ko-KR]yyyy.mm.dd")</f>
        <v>2021.05.29</v>
      </c>
      <c r="C50" s="138" t="str">
        <f t="shared" ca="1" si="0"/>
        <v/>
      </c>
      <c r="D50" s="142" t="str">
        <f t="shared" ca="1" si="1"/>
        <v/>
      </c>
      <c r="E50" s="77" t="str">
        <f t="shared" ca="1" si="2"/>
        <v/>
      </c>
      <c r="F50" s="140" t="str">
        <f t="shared" ca="1" si="3"/>
        <v/>
      </c>
      <c r="G50" s="142" t="str">
        <f t="shared" ca="1" si="4"/>
        <v/>
      </c>
      <c r="H50" s="77" t="str">
        <f t="shared" ca="1" si="5"/>
        <v/>
      </c>
      <c r="I50" s="140" t="str">
        <f t="shared" ca="1" si="6"/>
        <v/>
      </c>
      <c r="J50" s="142" t="str">
        <f t="shared" ca="1" si="7"/>
        <v/>
      </c>
      <c r="K50" s="77" t="str">
        <f t="shared" ca="1" si="8"/>
        <v/>
      </c>
      <c r="L50" s="140" t="str">
        <f t="shared" ca="1" si="9"/>
        <v/>
      </c>
      <c r="M50" s="142" t="str">
        <f t="shared" ca="1" si="10"/>
        <v/>
      </c>
      <c r="N50" s="77" t="str">
        <f t="shared" ca="1" si="11"/>
        <v/>
      </c>
      <c r="O50" s="140" t="str">
        <f t="shared" ca="1" si="12"/>
        <v/>
      </c>
    </row>
    <row r="51" spans="1:15" ht="16.5" customHeight="1">
      <c r="A51" s="124">
        <v>30</v>
      </c>
      <c r="B51" s="151" t="str">
        <f>TEXT(투자전략!$G$1+29, "[$-ko-KR]yyyy.mm.dd")</f>
        <v>2021.05.30</v>
      </c>
      <c r="C51" s="138" t="str">
        <f t="shared" ca="1" si="0"/>
        <v/>
      </c>
      <c r="D51" s="142" t="str">
        <f t="shared" ca="1" si="1"/>
        <v/>
      </c>
      <c r="E51" s="77" t="str">
        <f t="shared" ca="1" si="2"/>
        <v/>
      </c>
      <c r="F51" s="140" t="str">
        <f t="shared" ca="1" si="3"/>
        <v/>
      </c>
      <c r="G51" s="142" t="str">
        <f t="shared" ca="1" si="4"/>
        <v/>
      </c>
      <c r="H51" s="77" t="str">
        <f t="shared" ca="1" si="5"/>
        <v/>
      </c>
      <c r="I51" s="140" t="str">
        <f t="shared" ca="1" si="6"/>
        <v/>
      </c>
      <c r="J51" s="142" t="str">
        <f t="shared" ca="1" si="7"/>
        <v/>
      </c>
      <c r="K51" s="77" t="str">
        <f t="shared" ca="1" si="8"/>
        <v/>
      </c>
      <c r="L51" s="140" t="str">
        <f t="shared" ca="1" si="9"/>
        <v/>
      </c>
      <c r="M51" s="142" t="str">
        <f t="shared" ca="1" si="10"/>
        <v/>
      </c>
      <c r="N51" s="77" t="str">
        <f t="shared" ca="1" si="11"/>
        <v/>
      </c>
      <c r="O51" s="140" t="str">
        <f t="shared" ca="1" si="12"/>
        <v/>
      </c>
    </row>
    <row r="52" spans="1:15" ht="16.5" customHeight="1" thickBot="1">
      <c r="A52" s="124">
        <v>31</v>
      </c>
      <c r="B52" s="151" t="str">
        <f>TEXT(투자전략!$G$1+30, "[$-ko-KR]yyyy.mm.dd")</f>
        <v>2021.05.31</v>
      </c>
      <c r="C52" s="138" t="str">
        <f t="shared" ca="1" si="0"/>
        <v/>
      </c>
      <c r="D52" s="142" t="str">
        <f t="shared" ca="1" si="1"/>
        <v/>
      </c>
      <c r="E52" s="77" t="str">
        <f t="shared" ca="1" si="2"/>
        <v/>
      </c>
      <c r="F52" s="140" t="str">
        <f t="shared" ca="1" si="3"/>
        <v/>
      </c>
      <c r="G52" s="142" t="str">
        <f t="shared" ca="1" si="4"/>
        <v/>
      </c>
      <c r="H52" s="77" t="str">
        <f t="shared" ca="1" si="5"/>
        <v/>
      </c>
      <c r="I52" s="140" t="str">
        <f t="shared" ca="1" si="6"/>
        <v/>
      </c>
      <c r="J52" s="142" t="str">
        <f t="shared" ca="1" si="7"/>
        <v/>
      </c>
      <c r="K52" s="77" t="str">
        <f t="shared" ca="1" si="8"/>
        <v/>
      </c>
      <c r="L52" s="140" t="str">
        <f t="shared" ca="1" si="9"/>
        <v/>
      </c>
      <c r="M52" s="142" t="str">
        <f t="shared" ca="1" si="10"/>
        <v/>
      </c>
      <c r="N52" s="77" t="str">
        <f t="shared" ca="1" si="11"/>
        <v/>
      </c>
      <c r="O52" s="140" t="str">
        <f t="shared" ca="1" si="12"/>
        <v/>
      </c>
    </row>
    <row r="53" spans="1:15" ht="16.5" customHeight="1" thickBot="1">
      <c r="A53" s="221" t="s">
        <v>319</v>
      </c>
      <c r="B53" s="223"/>
      <c r="C53" s="135" t="s">
        <v>314</v>
      </c>
      <c r="D53" s="146" t="s">
        <v>315</v>
      </c>
      <c r="E53" s="147" t="s">
        <v>316</v>
      </c>
      <c r="F53" s="148" t="s">
        <v>317</v>
      </c>
      <c r="G53" s="146" t="s">
        <v>315</v>
      </c>
      <c r="H53" s="147" t="s">
        <v>316</v>
      </c>
      <c r="I53" s="148" t="s">
        <v>317</v>
      </c>
      <c r="J53" s="146" t="s">
        <v>315</v>
      </c>
      <c r="K53" s="147" t="s">
        <v>316</v>
      </c>
      <c r="L53" s="148" t="s">
        <v>317</v>
      </c>
      <c r="M53" s="146" t="s">
        <v>315</v>
      </c>
      <c r="N53" s="147" t="s">
        <v>316</v>
      </c>
      <c r="O53" s="148" t="s">
        <v>317</v>
      </c>
    </row>
    <row r="54" spans="1:15" ht="16.5" customHeight="1" thickBot="1">
      <c r="A54" s="214"/>
      <c r="B54" s="216"/>
      <c r="C54" s="139">
        <f ca="1">SUM(C22:C52)</f>
        <v>12000000</v>
      </c>
      <c r="D54" s="143">
        <f ca="1">SUM(D22:D52)</f>
        <v>12382860.50798187</v>
      </c>
      <c r="E54" s="79">
        <f ca="1">IFERROR(F54 / (SUM($C22:$C52) / COUNT($C22:$C52)), 0)</f>
        <v>0.22333529632275823</v>
      </c>
      <c r="F54" s="141">
        <f ca="1">SUM(F22:F52)</f>
        <v>382860.50798187125</v>
      </c>
      <c r="G54" s="143">
        <f ca="1">SUM(G22:G52)</f>
        <v>12503282.697881017</v>
      </c>
      <c r="H54" s="79">
        <f ca="1">IFERROR(I54 / (SUM($C22:$C52) / COUNT($C22:$C52)), 0)</f>
        <v>0.29358157376392668</v>
      </c>
      <c r="I54" s="141">
        <f ca="1">SUM(I22:I52)</f>
        <v>503282.69788101717</v>
      </c>
      <c r="J54" s="143">
        <f ca="1">SUM(J22:J52)</f>
        <v>12648271.40557291</v>
      </c>
      <c r="K54" s="79">
        <f ca="1">IFERROR(L54 / (SUM($C22:$C52) / COUNT($C22:$C52)), 0)</f>
        <v>0.37815831991753091</v>
      </c>
      <c r="L54" s="141">
        <f ca="1">SUM(L22:L52)</f>
        <v>648271.40557291009</v>
      </c>
      <c r="M54" s="143">
        <f ca="1">SUM(M22:M52)</f>
        <v>12342206.864895787</v>
      </c>
      <c r="N54" s="79">
        <f ca="1">IFERROR(O54 / (SUM($C22:$C52) / COUNT($C22:$C52)), 0)</f>
        <v>0.19962067118920912</v>
      </c>
      <c r="O54" s="141">
        <f ca="1">SUM(O22:O52)</f>
        <v>342206.86489578709</v>
      </c>
    </row>
    <row r="56" spans="1:15" ht="16.5" customHeight="1" thickBot="1"/>
    <row r="57" spans="1:15" ht="16.5" customHeight="1" thickBot="1">
      <c r="A57" s="193" t="str">
        <f>TEXT(투자전략!$G$1, "[$-ko-KR]yyyy년 mm월 ") &amp; "[엽전코인] 전일대비 상승률 Top20 월말결산"</f>
        <v>2021년 05월 [엽전코인] 전일대비 상승률 Top20 월말결산</v>
      </c>
      <c r="B57" s="194"/>
      <c r="C57" s="194"/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5"/>
    </row>
    <row r="58" spans="1:15" ht="16.5" customHeight="1" thickBot="1">
      <c r="A58" s="237" t="s">
        <v>320</v>
      </c>
      <c r="B58" s="214" t="s">
        <v>318</v>
      </c>
      <c r="C58" s="216"/>
      <c r="D58" s="214" t="s">
        <v>310</v>
      </c>
      <c r="E58" s="215"/>
      <c r="F58" s="216"/>
      <c r="G58" s="214" t="s">
        <v>311</v>
      </c>
      <c r="H58" s="215"/>
      <c r="I58" s="216"/>
      <c r="J58" s="214" t="s">
        <v>312</v>
      </c>
      <c r="K58" s="215"/>
      <c r="L58" s="216"/>
      <c r="M58" s="214" t="s">
        <v>313</v>
      </c>
      <c r="N58" s="215"/>
      <c r="O58" s="216"/>
    </row>
    <row r="59" spans="1:15" ht="16.5" customHeight="1" thickBot="1">
      <c r="A59" s="230"/>
      <c r="B59" s="160" t="s">
        <v>308</v>
      </c>
      <c r="C59" s="160" t="s">
        <v>42</v>
      </c>
      <c r="D59" s="124" t="s">
        <v>309</v>
      </c>
      <c r="E59" s="136" t="s">
        <v>40</v>
      </c>
      <c r="F59" s="162" t="s">
        <v>41</v>
      </c>
      <c r="G59" s="124" t="s">
        <v>309</v>
      </c>
      <c r="H59" s="136" t="s">
        <v>40</v>
      </c>
      <c r="I59" s="162" t="s">
        <v>41</v>
      </c>
      <c r="J59" s="124" t="s">
        <v>309</v>
      </c>
      <c r="K59" s="136" t="s">
        <v>40</v>
      </c>
      <c r="L59" s="162" t="s">
        <v>41</v>
      </c>
      <c r="M59" s="124" t="s">
        <v>309</v>
      </c>
      <c r="N59" s="136" t="s">
        <v>40</v>
      </c>
      <c r="O59" s="162" t="s">
        <v>41</v>
      </c>
    </row>
    <row r="60" spans="1:15" ht="16.5" customHeight="1">
      <c r="A60" s="160">
        <v>1</v>
      </c>
      <c r="B60" s="160" t="str">
        <f>TEXT(투자전략!$G$1+0, "[$-ko-KR]yyyy.mm.dd")</f>
        <v>2021.05.01</v>
      </c>
      <c r="C60" s="137">
        <f ca="1">IFERROR(COUNTA(INDIRECT($B60&amp;"!A44:A63")) * INDIRECT($B60&amp;"!B64"), "")</f>
        <v>5700000</v>
      </c>
      <c r="D60" s="145">
        <f ca="1">IFERROR($C60 * (1 + E60), "")</f>
        <v>5796967.8582712999</v>
      </c>
      <c r="E60" s="76">
        <f ca="1">IFERROR(INDIRECT($B60&amp;"!E64"), "")</f>
        <v>1.7011904959877054E-2</v>
      </c>
      <c r="F60" s="144">
        <f ca="1">IFERROR(INDIRECT($B60&amp;"!F64"), "")</f>
        <v>96967.858271299192</v>
      </c>
      <c r="G60" s="145">
        <f ca="1">IFERROR($C60 * (1 + H60), "")</f>
        <v>5762497.1388724633</v>
      </c>
      <c r="H60" s="76">
        <f ca="1">IFERROR(INDIRECT($B60&amp;"!H64"), "")</f>
        <v>1.0964410328502251E-2</v>
      </c>
      <c r="I60" s="144">
        <f ca="1">IFERROR(INDIRECT($B60&amp;"!I64"), "")</f>
        <v>62497.138872462834</v>
      </c>
      <c r="J60" s="145">
        <f ca="1">IFERROR($C60 * (1 + K60), "")</f>
        <v>5794168.1462707957</v>
      </c>
      <c r="K60" s="76">
        <f ca="1">IFERROR(INDIRECT($B60&amp;"!K64"), "")</f>
        <v>1.6520727415929037E-2</v>
      </c>
      <c r="L60" s="144">
        <f ca="1">IFERROR(INDIRECT($B60&amp;"!L64"), "")</f>
        <v>94168.146270795492</v>
      </c>
      <c r="M60" s="145">
        <f ca="1">IFERROR($C60 * (1 + N60), "")</f>
        <v>5791895.125992734</v>
      </c>
      <c r="N60" s="76">
        <f ca="1">IFERROR(INDIRECT($B60&amp;"!N64"), "")</f>
        <v>1.6121951928549837E-2</v>
      </c>
      <c r="O60" s="144">
        <f ca="1">IFERROR(INDIRECT($B60&amp;"!O64"), "")</f>
        <v>91895.125992734043</v>
      </c>
    </row>
    <row r="61" spans="1:15" ht="16.5" customHeight="1">
      <c r="A61" s="159">
        <v>2</v>
      </c>
      <c r="B61" s="159" t="str">
        <f>TEXT(투자전략!$G$1+1, "[$-ko-KR]yyyy.mm.dd")</f>
        <v>2021.05.02</v>
      </c>
      <c r="C61" s="138">
        <f t="shared" ref="C61:C90" ca="1" si="13">IFERROR(COUNTA(INDIRECT($B61&amp;"!A44:A63")) * INDIRECT($B61&amp;"!B64"), "")</f>
        <v>5700000</v>
      </c>
      <c r="D61" s="142">
        <f t="shared" ref="D61:D90" ca="1" si="14">IFERROR($C61 * (1 + E61), "")</f>
        <v>5690911.4456432778</v>
      </c>
      <c r="E61" s="77">
        <f t="shared" ref="E61:E90" ca="1" si="15">IFERROR(INDIRECT($B61&amp;"!E64"), "")</f>
        <v>-1.594483220477585E-3</v>
      </c>
      <c r="F61" s="140">
        <f t="shared" ref="F61:F90" ca="1" si="16">IFERROR(INDIRECT($B61&amp;"!F64"), "")</f>
        <v>-9088.5543567222303</v>
      </c>
      <c r="G61" s="142">
        <f t="shared" ref="G61:G90" ca="1" si="17">IFERROR($C61 * (1 + H61), "")</f>
        <v>5690498.5045738928</v>
      </c>
      <c r="H61" s="77">
        <f t="shared" ref="H61:H90" ca="1" si="18">IFERROR(INDIRECT($B61&amp;"!H64"), "")</f>
        <v>-1.666929022124089E-3</v>
      </c>
      <c r="I61" s="140">
        <f t="shared" ref="I61:I90" ca="1" si="19">IFERROR(INDIRECT($B61&amp;"!I64"), "")</f>
        <v>-9501.4954261073035</v>
      </c>
      <c r="J61" s="142">
        <f t="shared" ref="J61:J90" ca="1" si="20">IFERROR($C61 * (1 + K61), "")</f>
        <v>5725292.5041279895</v>
      </c>
      <c r="K61" s="77">
        <f t="shared" ref="K61:K90" ca="1" si="21">IFERROR(INDIRECT($B61&amp;"!K64"), "")</f>
        <v>4.437281425962906E-3</v>
      </c>
      <c r="L61" s="140">
        <f t="shared" ref="L61:L90" ca="1" si="22">IFERROR(INDIRECT($B61&amp;"!L64"), "")</f>
        <v>25292.50412798857</v>
      </c>
      <c r="M61" s="142">
        <f t="shared" ref="M61:M90" ca="1" si="23">IFERROR($C61 * (1 + N61), "")</f>
        <v>5763933.8531855056</v>
      </c>
      <c r="N61" s="77">
        <f t="shared" ref="N61:N90" ca="1" si="24">IFERROR(INDIRECT($B61&amp;"!N64"), "")</f>
        <v>1.1216465471141364E-2</v>
      </c>
      <c r="O61" s="140">
        <f t="shared" ref="O61:O90" ca="1" si="25">IFERROR(INDIRECT($B61&amp;"!O64"), "")</f>
        <v>63933.853185505781</v>
      </c>
    </row>
    <row r="62" spans="1:15" ht="16.5" customHeight="1">
      <c r="A62" s="159">
        <v>3</v>
      </c>
      <c r="B62" s="159" t="str">
        <f>TEXT(투자전략!$G$1+2, "[$-ko-KR]yyyy.mm.dd")</f>
        <v>2021.05.03</v>
      </c>
      <c r="C62" s="138">
        <f t="shared" ca="1" si="13"/>
        <v>5400000</v>
      </c>
      <c r="D62" s="142">
        <f t="shared" ca="1" si="14"/>
        <v>5575496.9864295339</v>
      </c>
      <c r="E62" s="77">
        <f t="shared" ca="1" si="15"/>
        <v>3.2499441931395062E-2</v>
      </c>
      <c r="F62" s="140">
        <f t="shared" ca="1" si="16"/>
        <v>175496.9864295334</v>
      </c>
      <c r="G62" s="142">
        <f t="shared" ca="1" si="17"/>
        <v>5618685.4874268863</v>
      </c>
      <c r="H62" s="77">
        <f t="shared" ca="1" si="18"/>
        <v>4.0497312486460504E-2</v>
      </c>
      <c r="I62" s="140">
        <f t="shared" ca="1" si="19"/>
        <v>218685.48742688677</v>
      </c>
      <c r="J62" s="142">
        <f t="shared" ca="1" si="20"/>
        <v>5642781.0931354463</v>
      </c>
      <c r="K62" s="77">
        <f t="shared" ca="1" si="21"/>
        <v>4.4959461691749317E-2</v>
      </c>
      <c r="L62" s="140">
        <f t="shared" ca="1" si="22"/>
        <v>242781.09313544634</v>
      </c>
      <c r="M62" s="142">
        <f t="shared" ca="1" si="23"/>
        <v>5599398.2018607762</v>
      </c>
      <c r="N62" s="77">
        <f t="shared" ca="1" si="24"/>
        <v>3.6925592937180791E-2</v>
      </c>
      <c r="O62" s="140">
        <f t="shared" ca="1" si="25"/>
        <v>199398.20186077629</v>
      </c>
    </row>
    <row r="63" spans="1:15" ht="16.5" customHeight="1">
      <c r="A63" s="159">
        <v>4</v>
      </c>
      <c r="B63" s="159" t="str">
        <f>TEXT(투자전략!$G$1+3, "[$-ko-KR]yyyy.mm.dd")</f>
        <v>2021.05.04</v>
      </c>
      <c r="C63" s="138">
        <f t="shared" ca="1" si="13"/>
        <v>5100000</v>
      </c>
      <c r="D63" s="142">
        <f t="shared" ca="1" si="14"/>
        <v>4913291.8029331751</v>
      </c>
      <c r="E63" s="77">
        <f t="shared" ca="1" si="15"/>
        <v>-3.6609450405259723E-2</v>
      </c>
      <c r="F63" s="140">
        <f t="shared" ca="1" si="16"/>
        <v>-186708.19706682459</v>
      </c>
      <c r="G63" s="142">
        <f t="shared" ca="1" si="17"/>
        <v>4944548.6693847794</v>
      </c>
      <c r="H63" s="77">
        <f t="shared" ca="1" si="18"/>
        <v>-3.0480653061807909E-2</v>
      </c>
      <c r="I63" s="140">
        <f t="shared" ca="1" si="19"/>
        <v>-155451.3306152203</v>
      </c>
      <c r="J63" s="142">
        <f t="shared" ca="1" si="20"/>
        <v>4946341.5860611983</v>
      </c>
      <c r="K63" s="77">
        <f t="shared" ca="1" si="21"/>
        <v>-3.0129100772314142E-2</v>
      </c>
      <c r="L63" s="140">
        <f t="shared" ca="1" si="22"/>
        <v>-153658.41393880208</v>
      </c>
      <c r="M63" s="142">
        <f t="shared" ca="1" si="23"/>
        <v>4753721.9406563118</v>
      </c>
      <c r="N63" s="77">
        <f t="shared" ca="1" si="24"/>
        <v>-6.7897658694840837E-2</v>
      </c>
      <c r="O63" s="140">
        <f t="shared" ca="1" si="25"/>
        <v>-346278.05934368825</v>
      </c>
    </row>
    <row r="64" spans="1:15" ht="16.5" customHeight="1">
      <c r="A64" s="159">
        <v>5</v>
      </c>
      <c r="B64" s="159" t="str">
        <f>TEXT(투자전략!$G$1+4, "[$-ko-KR]yyyy.mm.dd")</f>
        <v>2021.05.05</v>
      </c>
      <c r="C64" s="138">
        <f t="shared" ca="1" si="13"/>
        <v>2550000</v>
      </c>
      <c r="D64" s="142">
        <f t="shared" ca="1" si="14"/>
        <v>2414283.6024819729</v>
      </c>
      <c r="E64" s="77">
        <f t="shared" ca="1" si="15"/>
        <v>-5.3222116673736088E-2</v>
      </c>
      <c r="F64" s="140">
        <f t="shared" ca="1" si="16"/>
        <v>-135716.39751802705</v>
      </c>
      <c r="G64" s="142">
        <f t="shared" ca="1" si="17"/>
        <v>2485506.2944377828</v>
      </c>
      <c r="H64" s="77">
        <f t="shared" ca="1" si="18"/>
        <v>-2.5291649240085156E-2</v>
      </c>
      <c r="I64" s="140">
        <f t="shared" ca="1" si="19"/>
        <v>-64493.705562217161</v>
      </c>
      <c r="J64" s="142">
        <f t="shared" ca="1" si="20"/>
        <v>2450988.7532001613</v>
      </c>
      <c r="K64" s="77">
        <f t="shared" ca="1" si="21"/>
        <v>-3.8827939921505517E-2</v>
      </c>
      <c r="L64" s="140">
        <f t="shared" ca="1" si="22"/>
        <v>-99011.246799839064</v>
      </c>
      <c r="M64" s="142">
        <f t="shared" ca="1" si="23"/>
        <v>2522166.9920933945</v>
      </c>
      <c r="N64" s="77">
        <f t="shared" ca="1" si="24"/>
        <v>-1.0914905061413859E-2</v>
      </c>
      <c r="O64" s="140">
        <f t="shared" ca="1" si="25"/>
        <v>-27833.007906605329</v>
      </c>
    </row>
    <row r="65" spans="1:15" ht="16.5" customHeight="1">
      <c r="A65" s="159">
        <v>6</v>
      </c>
      <c r="B65" s="159" t="str">
        <f>TEXT(투자전략!$G$1+5, "[$-ko-KR]yyyy.mm.dd")</f>
        <v>2021.05.06</v>
      </c>
      <c r="C65" s="138">
        <f t="shared" ca="1" si="13"/>
        <v>2700000</v>
      </c>
      <c r="D65" s="142">
        <f t="shared" ca="1" si="14"/>
        <v>2699243.1196434526</v>
      </c>
      <c r="E65" s="77">
        <f t="shared" ca="1" si="15"/>
        <v>-2.8032605798057489E-4</v>
      </c>
      <c r="F65" s="140">
        <f t="shared" ca="1" si="16"/>
        <v>-756.88035654755151</v>
      </c>
      <c r="G65" s="142">
        <f t="shared" ca="1" si="17"/>
        <v>2688883.5356454668</v>
      </c>
      <c r="H65" s="77">
        <f t="shared" ca="1" si="18"/>
        <v>-4.1172090201973717E-3</v>
      </c>
      <c r="I65" s="140">
        <f t="shared" ca="1" si="19"/>
        <v>-11116.464354532902</v>
      </c>
      <c r="J65" s="142">
        <f t="shared" ca="1" si="20"/>
        <v>2685218.8109180443</v>
      </c>
      <c r="K65" s="77">
        <f t="shared" ca="1" si="21"/>
        <v>-5.4745144747983601E-3</v>
      </c>
      <c r="L65" s="140">
        <f t="shared" ca="1" si="22"/>
        <v>-14781.189081955576</v>
      </c>
      <c r="M65" s="142">
        <f t="shared" ca="1" si="23"/>
        <v>2685739.9606291102</v>
      </c>
      <c r="N65" s="77">
        <f t="shared" ca="1" si="24"/>
        <v>-5.2814960632924903E-3</v>
      </c>
      <c r="O65" s="140">
        <f t="shared" ca="1" si="25"/>
        <v>-14260.03937088973</v>
      </c>
    </row>
    <row r="66" spans="1:15" ht="16.5" customHeight="1" thickBot="1">
      <c r="A66" s="161">
        <v>7</v>
      </c>
      <c r="B66" s="161" t="str">
        <f>TEXT(투자전략!$G$1+6, "[$-ko-KR]yyyy.mm.dd")</f>
        <v>2021.05.07</v>
      </c>
      <c r="C66" s="138">
        <f t="shared" ca="1" si="13"/>
        <v>2850000</v>
      </c>
      <c r="D66" s="142">
        <f t="shared" ca="1" si="14"/>
        <v>2678763.1230948311</v>
      </c>
      <c r="E66" s="77">
        <f t="shared" ca="1" si="15"/>
        <v>-6.0083114703568037E-2</v>
      </c>
      <c r="F66" s="140">
        <f t="shared" ca="1" si="16"/>
        <v>-171236.87690516893</v>
      </c>
      <c r="G66" s="142">
        <f t="shared" ca="1" si="17"/>
        <v>2739890.416816175</v>
      </c>
      <c r="H66" s="77">
        <f t="shared" ca="1" si="18"/>
        <v>-3.8634941468008686E-2</v>
      </c>
      <c r="I66" s="140">
        <f t="shared" ca="1" si="19"/>
        <v>-110109.58318382471</v>
      </c>
      <c r="J66" s="142">
        <f t="shared" ca="1" si="20"/>
        <v>2826150.8225448746</v>
      </c>
      <c r="K66" s="77">
        <f t="shared" ca="1" si="21"/>
        <v>-8.368132440394787E-3</v>
      </c>
      <c r="L66" s="140">
        <f t="shared" ca="1" si="22"/>
        <v>-23849.177455125144</v>
      </c>
      <c r="M66" s="142">
        <f t="shared" ca="1" si="23"/>
        <v>2850000</v>
      </c>
      <c r="N66" s="77">
        <f t="shared" ca="1" si="24"/>
        <v>0</v>
      </c>
      <c r="O66" s="140">
        <f t="shared" ca="1" si="25"/>
        <v>0</v>
      </c>
    </row>
    <row r="67" spans="1:15" ht="16.5" customHeight="1">
      <c r="A67" s="160">
        <v>8</v>
      </c>
      <c r="B67" s="160" t="str">
        <f>TEXT(투자전략!$G$1+7, "[$-ko-KR]yyyy.mm.dd")</f>
        <v>2021.05.08</v>
      </c>
      <c r="C67" s="137" t="str">
        <f t="shared" ca="1" si="13"/>
        <v/>
      </c>
      <c r="D67" s="145" t="str">
        <f t="shared" ca="1" si="14"/>
        <v/>
      </c>
      <c r="E67" s="76" t="str">
        <f t="shared" ca="1" si="15"/>
        <v/>
      </c>
      <c r="F67" s="144" t="str">
        <f t="shared" ca="1" si="16"/>
        <v/>
      </c>
      <c r="G67" s="145" t="str">
        <f t="shared" ca="1" si="17"/>
        <v/>
      </c>
      <c r="H67" s="76" t="str">
        <f t="shared" ca="1" si="18"/>
        <v/>
      </c>
      <c r="I67" s="144" t="str">
        <f t="shared" ca="1" si="19"/>
        <v/>
      </c>
      <c r="J67" s="145" t="str">
        <f t="shared" ca="1" si="20"/>
        <v/>
      </c>
      <c r="K67" s="76" t="str">
        <f t="shared" ca="1" si="21"/>
        <v/>
      </c>
      <c r="L67" s="144" t="str">
        <f t="shared" ca="1" si="22"/>
        <v/>
      </c>
      <c r="M67" s="145" t="str">
        <f t="shared" ca="1" si="23"/>
        <v/>
      </c>
      <c r="N67" s="76" t="str">
        <f t="shared" ca="1" si="24"/>
        <v/>
      </c>
      <c r="O67" s="144" t="str">
        <f t="shared" ca="1" si="25"/>
        <v/>
      </c>
    </row>
    <row r="68" spans="1:15" ht="16.5" customHeight="1">
      <c r="A68" s="159">
        <v>9</v>
      </c>
      <c r="B68" s="159" t="str">
        <f>TEXT(투자전략!$G$1+8, "[$-ko-KR]yyyy.mm.dd")</f>
        <v>2021.05.09</v>
      </c>
      <c r="C68" s="138" t="str">
        <f t="shared" ca="1" si="13"/>
        <v/>
      </c>
      <c r="D68" s="142" t="str">
        <f t="shared" ca="1" si="14"/>
        <v/>
      </c>
      <c r="E68" s="77" t="str">
        <f t="shared" ca="1" si="15"/>
        <v/>
      </c>
      <c r="F68" s="140" t="str">
        <f t="shared" ca="1" si="16"/>
        <v/>
      </c>
      <c r="G68" s="142" t="str">
        <f t="shared" ca="1" si="17"/>
        <v/>
      </c>
      <c r="H68" s="77" t="str">
        <f t="shared" ca="1" si="18"/>
        <v/>
      </c>
      <c r="I68" s="140" t="str">
        <f t="shared" ca="1" si="19"/>
        <v/>
      </c>
      <c r="J68" s="142" t="str">
        <f t="shared" ca="1" si="20"/>
        <v/>
      </c>
      <c r="K68" s="77" t="str">
        <f t="shared" ca="1" si="21"/>
        <v/>
      </c>
      <c r="L68" s="140" t="str">
        <f t="shared" ca="1" si="22"/>
        <v/>
      </c>
      <c r="M68" s="142" t="str">
        <f t="shared" ca="1" si="23"/>
        <v/>
      </c>
      <c r="N68" s="77" t="str">
        <f t="shared" ca="1" si="24"/>
        <v/>
      </c>
      <c r="O68" s="140" t="str">
        <f t="shared" ca="1" si="25"/>
        <v/>
      </c>
    </row>
    <row r="69" spans="1:15" ht="16.5" customHeight="1">
      <c r="A69" s="159">
        <v>10</v>
      </c>
      <c r="B69" s="159" t="str">
        <f>TEXT(투자전략!$G$1+9, "[$-ko-KR]yyyy.mm.dd")</f>
        <v>2021.05.10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 ht="16.5" customHeight="1">
      <c r="A70" s="159">
        <v>11</v>
      </c>
      <c r="B70" s="159" t="str">
        <f>TEXT(투자전략!$G$1+10, "[$-ko-KR]yyyy.mm.dd")</f>
        <v>2021.05.11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 ht="16.5" customHeight="1">
      <c r="A71" s="159">
        <v>12</v>
      </c>
      <c r="B71" s="159" t="str">
        <f>TEXT(투자전략!$G$1+11, "[$-ko-KR]yyyy.mm.dd")</f>
        <v>2021.05.12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 ht="16.5" customHeight="1">
      <c r="A72" s="159">
        <v>13</v>
      </c>
      <c r="B72" s="159" t="str">
        <f>TEXT(투자전략!$G$1+12, "[$-ko-KR]yyyy.mm.dd")</f>
        <v>2021.05.13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 ht="16.5" customHeight="1" thickBot="1">
      <c r="A73" s="161">
        <v>14</v>
      </c>
      <c r="B73" s="161" t="str">
        <f>TEXT(투자전략!$G$1+13, "[$-ko-KR]yyyy.mm.dd")</f>
        <v>2021.05.14</v>
      </c>
      <c r="C73" s="139" t="str">
        <f t="shared" ca="1" si="13"/>
        <v/>
      </c>
      <c r="D73" s="143" t="str">
        <f t="shared" ca="1" si="14"/>
        <v/>
      </c>
      <c r="E73" s="79" t="str">
        <f t="shared" ca="1" si="15"/>
        <v/>
      </c>
      <c r="F73" s="141" t="str">
        <f t="shared" ca="1" si="16"/>
        <v/>
      </c>
      <c r="G73" s="143" t="str">
        <f t="shared" ca="1" si="17"/>
        <v/>
      </c>
      <c r="H73" s="79" t="str">
        <f t="shared" ca="1" si="18"/>
        <v/>
      </c>
      <c r="I73" s="141" t="str">
        <f t="shared" ca="1" si="19"/>
        <v/>
      </c>
      <c r="J73" s="143" t="str">
        <f t="shared" ca="1" si="20"/>
        <v/>
      </c>
      <c r="K73" s="79" t="str">
        <f t="shared" ca="1" si="21"/>
        <v/>
      </c>
      <c r="L73" s="141" t="str">
        <f t="shared" ca="1" si="22"/>
        <v/>
      </c>
      <c r="M73" s="143" t="str">
        <f t="shared" ca="1" si="23"/>
        <v/>
      </c>
      <c r="N73" s="79" t="str">
        <f t="shared" ca="1" si="24"/>
        <v/>
      </c>
      <c r="O73" s="141" t="str">
        <f t="shared" ca="1" si="25"/>
        <v/>
      </c>
    </row>
    <row r="74" spans="1:15" ht="16.5" customHeight="1">
      <c r="A74" s="160">
        <v>15</v>
      </c>
      <c r="B74" s="160" t="str">
        <f>TEXT(투자전략!$G$1+14, "[$-ko-KR]yyyy.mm.dd")</f>
        <v>2021.05.15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6.5" customHeight="1">
      <c r="A75" s="159">
        <v>16</v>
      </c>
      <c r="B75" s="159" t="str">
        <f>TEXT(투자전략!$G$1+15, "[$-ko-KR]yyyy.mm.dd")</f>
        <v>2021.05.16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 ht="16.5" customHeight="1">
      <c r="A76" s="159">
        <v>17</v>
      </c>
      <c r="B76" s="159" t="str">
        <f>TEXT(투자전략!$G$1+16, "[$-ko-KR]yyyy.mm.dd")</f>
        <v>2021.05.17</v>
      </c>
      <c r="C76" s="138" t="str">
        <f t="shared" ca="1" si="13"/>
        <v/>
      </c>
      <c r="D76" s="142" t="str">
        <f t="shared" ca="1" si="14"/>
        <v/>
      </c>
      <c r="E76" s="77" t="str">
        <f t="shared" ca="1" si="15"/>
        <v/>
      </c>
      <c r="F76" s="140" t="str">
        <f t="shared" ca="1" si="16"/>
        <v/>
      </c>
      <c r="G76" s="142" t="str">
        <f t="shared" ca="1" si="17"/>
        <v/>
      </c>
      <c r="H76" s="77" t="str">
        <f t="shared" ca="1" si="18"/>
        <v/>
      </c>
      <c r="I76" s="140" t="str">
        <f t="shared" ca="1" si="19"/>
        <v/>
      </c>
      <c r="J76" s="142" t="str">
        <f t="shared" ca="1" si="20"/>
        <v/>
      </c>
      <c r="K76" s="77" t="str">
        <f t="shared" ca="1" si="21"/>
        <v/>
      </c>
      <c r="L76" s="140" t="str">
        <f t="shared" ca="1" si="22"/>
        <v/>
      </c>
      <c r="M76" s="142" t="str">
        <f t="shared" ca="1" si="23"/>
        <v/>
      </c>
      <c r="N76" s="77" t="str">
        <f t="shared" ca="1" si="24"/>
        <v/>
      </c>
      <c r="O76" s="140" t="str">
        <f t="shared" ca="1" si="25"/>
        <v/>
      </c>
    </row>
    <row r="77" spans="1:15" ht="16.5" customHeight="1">
      <c r="A77" s="159">
        <v>18</v>
      </c>
      <c r="B77" s="159" t="str">
        <f>TEXT(투자전략!$G$1+17, "[$-ko-KR]yyyy.mm.dd")</f>
        <v>2021.05.18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 ht="16.5" customHeight="1">
      <c r="A78" s="159">
        <v>19</v>
      </c>
      <c r="B78" s="159" t="str">
        <f>TEXT(투자전략!$G$1+18, "[$-ko-KR]yyyy.mm.dd")</f>
        <v>2021.05.19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 ht="16.5" customHeight="1">
      <c r="A79" s="159">
        <v>20</v>
      </c>
      <c r="B79" s="159" t="str">
        <f>TEXT(투자전략!$G$1+19, "[$-ko-KR]yyyy.mm.dd")</f>
        <v>2021.05.20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 ht="16.5" customHeight="1" thickBot="1">
      <c r="A80" s="161">
        <v>21</v>
      </c>
      <c r="B80" s="161" t="str">
        <f>TEXT(투자전략!$G$1+20, "[$-ko-KR]yyyy.mm.dd")</f>
        <v>2021.05.21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 ht="16.5" customHeight="1">
      <c r="A81" s="160">
        <v>22</v>
      </c>
      <c r="B81" s="160" t="str">
        <f>TEXT(투자전략!$G$1+21, "[$-ko-KR]yyyy.mm.dd")</f>
        <v>2021.05.22</v>
      </c>
      <c r="C81" s="137" t="str">
        <f t="shared" ca="1" si="13"/>
        <v/>
      </c>
      <c r="D81" s="145" t="str">
        <f t="shared" ca="1" si="14"/>
        <v/>
      </c>
      <c r="E81" s="76" t="str">
        <f t="shared" ca="1" si="15"/>
        <v/>
      </c>
      <c r="F81" s="144" t="str">
        <f t="shared" ca="1" si="16"/>
        <v/>
      </c>
      <c r="G81" s="145" t="str">
        <f t="shared" ca="1" si="17"/>
        <v/>
      </c>
      <c r="H81" s="76" t="str">
        <f t="shared" ca="1" si="18"/>
        <v/>
      </c>
      <c r="I81" s="144" t="str">
        <f t="shared" ca="1" si="19"/>
        <v/>
      </c>
      <c r="J81" s="145" t="str">
        <f t="shared" ca="1" si="20"/>
        <v/>
      </c>
      <c r="K81" s="76" t="str">
        <f t="shared" ca="1" si="21"/>
        <v/>
      </c>
      <c r="L81" s="144" t="str">
        <f t="shared" ca="1" si="22"/>
        <v/>
      </c>
      <c r="M81" s="145" t="str">
        <f t="shared" ca="1" si="23"/>
        <v/>
      </c>
      <c r="N81" s="76" t="str">
        <f t="shared" ca="1" si="24"/>
        <v/>
      </c>
      <c r="O81" s="144" t="str">
        <f t="shared" ca="1" si="25"/>
        <v/>
      </c>
    </row>
    <row r="82" spans="1:15" ht="16.5" customHeight="1">
      <c r="A82" s="159">
        <v>23</v>
      </c>
      <c r="B82" s="159" t="str">
        <f>TEXT(투자전략!$G$1+22, "[$-ko-KR]yyyy.mm.dd")</f>
        <v>2021.05.23</v>
      </c>
      <c r="C82" s="138" t="str">
        <f t="shared" ca="1" si="13"/>
        <v/>
      </c>
      <c r="D82" s="142" t="str">
        <f t="shared" ca="1" si="14"/>
        <v/>
      </c>
      <c r="E82" s="77" t="str">
        <f t="shared" ca="1" si="15"/>
        <v/>
      </c>
      <c r="F82" s="140" t="str">
        <f t="shared" ca="1" si="16"/>
        <v/>
      </c>
      <c r="G82" s="142" t="str">
        <f t="shared" ca="1" si="17"/>
        <v/>
      </c>
      <c r="H82" s="77" t="str">
        <f t="shared" ca="1" si="18"/>
        <v/>
      </c>
      <c r="I82" s="140" t="str">
        <f t="shared" ca="1" si="19"/>
        <v/>
      </c>
      <c r="J82" s="142" t="str">
        <f t="shared" ca="1" si="20"/>
        <v/>
      </c>
      <c r="K82" s="77" t="str">
        <f t="shared" ca="1" si="21"/>
        <v/>
      </c>
      <c r="L82" s="140" t="str">
        <f t="shared" ca="1" si="22"/>
        <v/>
      </c>
      <c r="M82" s="142" t="str">
        <f t="shared" ca="1" si="23"/>
        <v/>
      </c>
      <c r="N82" s="77" t="str">
        <f t="shared" ca="1" si="24"/>
        <v/>
      </c>
      <c r="O82" s="140" t="str">
        <f t="shared" ca="1" si="25"/>
        <v/>
      </c>
    </row>
    <row r="83" spans="1:15" ht="16.5" customHeight="1">
      <c r="A83" s="159">
        <v>24</v>
      </c>
      <c r="B83" s="159" t="str">
        <f>TEXT(투자전략!$G$1+23, "[$-ko-KR]yyyy.mm.dd")</f>
        <v>2021.05.24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 ht="16.5" customHeight="1">
      <c r="A84" s="159">
        <v>25</v>
      </c>
      <c r="B84" s="159" t="str">
        <f>TEXT(투자전략!$G$1+24, "[$-ko-KR]yyyy.mm.dd")</f>
        <v>2021.05.25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6.5" customHeight="1">
      <c r="A85" s="159">
        <v>26</v>
      </c>
      <c r="B85" s="159" t="str">
        <f>TEXT(투자전략!$G$1+25, "[$-ko-KR]yyyy.mm.dd")</f>
        <v>2021.05.26</v>
      </c>
      <c r="C85" s="138" t="str">
        <f t="shared" ca="1" si="13"/>
        <v/>
      </c>
      <c r="D85" s="142" t="str">
        <f t="shared" ca="1" si="14"/>
        <v/>
      </c>
      <c r="E85" s="77" t="str">
        <f t="shared" ca="1" si="15"/>
        <v/>
      </c>
      <c r="F85" s="140" t="str">
        <f t="shared" ca="1" si="16"/>
        <v/>
      </c>
      <c r="G85" s="142" t="str">
        <f t="shared" ca="1" si="17"/>
        <v/>
      </c>
      <c r="H85" s="77" t="str">
        <f t="shared" ca="1" si="18"/>
        <v/>
      </c>
      <c r="I85" s="140" t="str">
        <f t="shared" ca="1" si="19"/>
        <v/>
      </c>
      <c r="J85" s="142" t="str">
        <f t="shared" ca="1" si="20"/>
        <v/>
      </c>
      <c r="K85" s="77" t="str">
        <f t="shared" ca="1" si="21"/>
        <v/>
      </c>
      <c r="L85" s="140" t="str">
        <f t="shared" ca="1" si="22"/>
        <v/>
      </c>
      <c r="M85" s="142" t="str">
        <f t="shared" ca="1" si="23"/>
        <v/>
      </c>
      <c r="N85" s="77" t="str">
        <f t="shared" ca="1" si="24"/>
        <v/>
      </c>
      <c r="O85" s="140" t="str">
        <f t="shared" ca="1" si="25"/>
        <v/>
      </c>
    </row>
    <row r="86" spans="1:15" ht="16.5" customHeight="1">
      <c r="A86" s="159">
        <v>27</v>
      </c>
      <c r="B86" s="159" t="str">
        <f>TEXT(투자전략!$G$1+26, "[$-ko-KR]yyyy.mm.dd")</f>
        <v>2021.05.27</v>
      </c>
      <c r="C86" s="138" t="str">
        <f t="shared" ca="1" si="13"/>
        <v/>
      </c>
      <c r="D86" s="142" t="str">
        <f t="shared" ca="1" si="14"/>
        <v/>
      </c>
      <c r="E86" s="77" t="str">
        <f t="shared" ca="1" si="15"/>
        <v/>
      </c>
      <c r="F86" s="140" t="str">
        <f t="shared" ca="1" si="16"/>
        <v/>
      </c>
      <c r="G86" s="142" t="str">
        <f t="shared" ca="1" si="17"/>
        <v/>
      </c>
      <c r="H86" s="77" t="str">
        <f t="shared" ca="1" si="18"/>
        <v/>
      </c>
      <c r="I86" s="140" t="str">
        <f t="shared" ca="1" si="19"/>
        <v/>
      </c>
      <c r="J86" s="142" t="str">
        <f t="shared" ca="1" si="20"/>
        <v/>
      </c>
      <c r="K86" s="77" t="str">
        <f t="shared" ca="1" si="21"/>
        <v/>
      </c>
      <c r="L86" s="140" t="str">
        <f t="shared" ca="1" si="22"/>
        <v/>
      </c>
      <c r="M86" s="142" t="str">
        <f t="shared" ca="1" si="23"/>
        <v/>
      </c>
      <c r="N86" s="77" t="str">
        <f t="shared" ca="1" si="24"/>
        <v/>
      </c>
      <c r="O86" s="140" t="str">
        <f t="shared" ca="1" si="25"/>
        <v/>
      </c>
    </row>
    <row r="87" spans="1:15" ht="16.5" customHeight="1" thickBot="1">
      <c r="A87" s="161">
        <v>28</v>
      </c>
      <c r="B87" s="161" t="str">
        <f>TEXT(투자전략!$G$1+27, "[$-ko-KR]yyyy.mm.dd")</f>
        <v>2021.05.28</v>
      </c>
      <c r="C87" s="139" t="str">
        <f t="shared" ca="1" si="13"/>
        <v/>
      </c>
      <c r="D87" s="143" t="str">
        <f t="shared" ca="1" si="14"/>
        <v/>
      </c>
      <c r="E87" s="79" t="str">
        <f t="shared" ca="1" si="15"/>
        <v/>
      </c>
      <c r="F87" s="141" t="str">
        <f t="shared" ca="1" si="16"/>
        <v/>
      </c>
      <c r="G87" s="143" t="str">
        <f t="shared" ca="1" si="17"/>
        <v/>
      </c>
      <c r="H87" s="79" t="str">
        <f t="shared" ca="1" si="18"/>
        <v/>
      </c>
      <c r="I87" s="141" t="str">
        <f t="shared" ca="1" si="19"/>
        <v/>
      </c>
      <c r="J87" s="143" t="str">
        <f t="shared" ca="1" si="20"/>
        <v/>
      </c>
      <c r="K87" s="79" t="str">
        <f t="shared" ca="1" si="21"/>
        <v/>
      </c>
      <c r="L87" s="141" t="str">
        <f t="shared" ca="1" si="22"/>
        <v/>
      </c>
      <c r="M87" s="143" t="str">
        <f t="shared" ca="1" si="23"/>
        <v/>
      </c>
      <c r="N87" s="79" t="str">
        <f t="shared" ca="1" si="24"/>
        <v/>
      </c>
      <c r="O87" s="141" t="str">
        <f t="shared" ca="1" si="25"/>
        <v/>
      </c>
    </row>
    <row r="88" spans="1:15" ht="16.5" customHeight="1">
      <c r="A88" s="124">
        <v>29</v>
      </c>
      <c r="B88" s="160" t="str">
        <f>TEXT(투자전략!$G$1+28, "[$-ko-KR]yyyy.mm.dd")</f>
        <v>2021.05.29</v>
      </c>
      <c r="C88" s="138" t="str">
        <f t="shared" ca="1" si="13"/>
        <v/>
      </c>
      <c r="D88" s="142" t="str">
        <f t="shared" ca="1" si="14"/>
        <v/>
      </c>
      <c r="E88" s="77" t="str">
        <f t="shared" ca="1" si="15"/>
        <v/>
      </c>
      <c r="F88" s="140" t="str">
        <f t="shared" ca="1" si="16"/>
        <v/>
      </c>
      <c r="G88" s="142" t="str">
        <f t="shared" ca="1" si="17"/>
        <v/>
      </c>
      <c r="H88" s="77" t="str">
        <f t="shared" ca="1" si="18"/>
        <v/>
      </c>
      <c r="I88" s="140" t="str">
        <f t="shared" ca="1" si="19"/>
        <v/>
      </c>
      <c r="J88" s="142" t="str">
        <f t="shared" ca="1" si="20"/>
        <v/>
      </c>
      <c r="K88" s="77" t="str">
        <f t="shared" ca="1" si="21"/>
        <v/>
      </c>
      <c r="L88" s="140" t="str">
        <f t="shared" ca="1" si="22"/>
        <v/>
      </c>
      <c r="M88" s="142" t="str">
        <f t="shared" ca="1" si="23"/>
        <v/>
      </c>
      <c r="N88" s="77" t="str">
        <f t="shared" ca="1" si="24"/>
        <v/>
      </c>
      <c r="O88" s="140" t="str">
        <f t="shared" ca="1" si="25"/>
        <v/>
      </c>
    </row>
    <row r="89" spans="1:15" ht="16.5" customHeight="1">
      <c r="A89" s="124">
        <v>30</v>
      </c>
      <c r="B89" s="159" t="str">
        <f>TEXT(투자전략!$G$1+29, "[$-ko-KR]yyyy.mm.dd")</f>
        <v>2021.05.30</v>
      </c>
      <c r="C89" s="138" t="str">
        <f t="shared" ca="1" si="13"/>
        <v/>
      </c>
      <c r="D89" s="142" t="str">
        <f t="shared" ca="1" si="14"/>
        <v/>
      </c>
      <c r="E89" s="77" t="str">
        <f t="shared" ca="1" si="15"/>
        <v/>
      </c>
      <c r="F89" s="140" t="str">
        <f t="shared" ca="1" si="16"/>
        <v/>
      </c>
      <c r="G89" s="142" t="str">
        <f t="shared" ca="1" si="17"/>
        <v/>
      </c>
      <c r="H89" s="77" t="str">
        <f t="shared" ca="1" si="18"/>
        <v/>
      </c>
      <c r="I89" s="140" t="str">
        <f t="shared" ca="1" si="19"/>
        <v/>
      </c>
      <c r="J89" s="142" t="str">
        <f t="shared" ca="1" si="20"/>
        <v/>
      </c>
      <c r="K89" s="77" t="str">
        <f t="shared" ca="1" si="21"/>
        <v/>
      </c>
      <c r="L89" s="140" t="str">
        <f t="shared" ca="1" si="22"/>
        <v/>
      </c>
      <c r="M89" s="142" t="str">
        <f t="shared" ca="1" si="23"/>
        <v/>
      </c>
      <c r="N89" s="77" t="str">
        <f t="shared" ca="1" si="24"/>
        <v/>
      </c>
      <c r="O89" s="140" t="str">
        <f t="shared" ca="1" si="25"/>
        <v/>
      </c>
    </row>
    <row r="90" spans="1:15" ht="16.5" customHeight="1" thickBot="1">
      <c r="A90" s="124">
        <v>31</v>
      </c>
      <c r="B90" s="159" t="str">
        <f>TEXT(투자전략!$G$1+30, "[$-ko-KR]yyyy.mm.dd")</f>
        <v>2021.05.31</v>
      </c>
      <c r="C90" s="139" t="str">
        <f t="shared" ca="1" si="13"/>
        <v/>
      </c>
      <c r="D90" s="143" t="str">
        <f t="shared" ca="1" si="14"/>
        <v/>
      </c>
      <c r="E90" s="79" t="str">
        <f t="shared" ca="1" si="15"/>
        <v/>
      </c>
      <c r="F90" s="141" t="str">
        <f t="shared" ca="1" si="16"/>
        <v/>
      </c>
      <c r="G90" s="143" t="str">
        <f t="shared" ca="1" si="17"/>
        <v/>
      </c>
      <c r="H90" s="79" t="str">
        <f t="shared" ca="1" si="18"/>
        <v/>
      </c>
      <c r="I90" s="141" t="str">
        <f t="shared" ca="1" si="19"/>
        <v/>
      </c>
      <c r="J90" s="143" t="str">
        <f t="shared" ca="1" si="20"/>
        <v/>
      </c>
      <c r="K90" s="79" t="str">
        <f t="shared" ca="1" si="21"/>
        <v/>
      </c>
      <c r="L90" s="141" t="str">
        <f t="shared" ca="1" si="22"/>
        <v/>
      </c>
      <c r="M90" s="143" t="str">
        <f t="shared" ca="1" si="23"/>
        <v/>
      </c>
      <c r="N90" s="79" t="str">
        <f t="shared" ca="1" si="24"/>
        <v/>
      </c>
      <c r="O90" s="141" t="str">
        <f t="shared" ca="1" si="25"/>
        <v/>
      </c>
    </row>
    <row r="91" spans="1:15" ht="16.5" customHeight="1" thickBot="1">
      <c r="A91" s="221" t="s">
        <v>319</v>
      </c>
      <c r="B91" s="223"/>
      <c r="C91" s="135" t="s">
        <v>314</v>
      </c>
      <c r="D91" s="153" t="s">
        <v>315</v>
      </c>
      <c r="E91" s="154" t="s">
        <v>316</v>
      </c>
      <c r="F91" s="155" t="s">
        <v>317</v>
      </c>
      <c r="G91" s="153" t="s">
        <v>315</v>
      </c>
      <c r="H91" s="154" t="s">
        <v>316</v>
      </c>
      <c r="I91" s="155" t="s">
        <v>317</v>
      </c>
      <c r="J91" s="153" t="s">
        <v>315</v>
      </c>
      <c r="K91" s="154" t="s">
        <v>316</v>
      </c>
      <c r="L91" s="155" t="s">
        <v>317</v>
      </c>
      <c r="M91" s="153" t="s">
        <v>315</v>
      </c>
      <c r="N91" s="154" t="s">
        <v>316</v>
      </c>
      <c r="O91" s="155" t="s">
        <v>317</v>
      </c>
    </row>
    <row r="92" spans="1:15" ht="16.5" customHeight="1" thickBot="1">
      <c r="A92" s="214"/>
      <c r="B92" s="216"/>
      <c r="C92" s="139">
        <f ca="1">SUM(C60:C90)</f>
        <v>30000000</v>
      </c>
      <c r="D92" s="143">
        <f ca="1">SUM(D60:D90)</f>
        <v>29768957.938497543</v>
      </c>
      <c r="E92" s="79">
        <f ca="1">IFERROR(F92 / (SUM($C60:$C90) / COUNT($C60:$C90)), 0)</f>
        <v>-5.390981435057348E-2</v>
      </c>
      <c r="F92" s="141">
        <f ca="1">SUM(F60:F90)</f>
        <v>-231042.06150245777</v>
      </c>
      <c r="G92" s="143">
        <f ca="1">SUM(G60:G90)</f>
        <v>29930510.04715744</v>
      </c>
      <c r="H92" s="79">
        <f ca="1">IFERROR(I92 / (SUM($C60:$C90) / COUNT($C60:$C90)), 0)</f>
        <v>-1.6214322329928987E-2</v>
      </c>
      <c r="I92" s="141">
        <f ca="1">SUM(I60:I90)</f>
        <v>-69489.952842552797</v>
      </c>
      <c r="J92" s="143">
        <f ca="1">SUM(J60:J90)</f>
        <v>30070941.716258511</v>
      </c>
      <c r="K92" s="79">
        <f ca="1">IFERROR(L92 / (SUM($C60:$C90) / COUNT($C60:$C90)), 0)</f>
        <v>1.6553067126985326E-2</v>
      </c>
      <c r="L92" s="141">
        <f ca="1">SUM(L60:L90)</f>
        <v>70941.716258508532</v>
      </c>
      <c r="M92" s="143">
        <f ca="1">SUM(M60:M90)</f>
        <v>29966856.07441783</v>
      </c>
      <c r="N92" s="79">
        <f ca="1">IFERROR(O92 / (SUM($C60:$C90) / COUNT($C60:$C90)), 0)</f>
        <v>-7.7335826358390135E-3</v>
      </c>
      <c r="O92" s="141">
        <f ca="1">SUM(O60:O90)</f>
        <v>-33143.925582167198</v>
      </c>
    </row>
    <row r="94" spans="1:15" ht="16.5" customHeight="1" thickBot="1"/>
    <row r="95" spans="1:15" ht="16.5" customHeight="1" thickBot="1">
      <c r="A95" s="193" t="str">
        <f>TEXT(투자전략!$G$1, "[$-ko-KR]yyyy년 mm월 ") &amp; "[동전코인] 전일대비 상승률 Top20 월말결산"</f>
        <v>2021년 05월 [동전코인] 전일대비 상승률 Top20 월말결산</v>
      </c>
      <c r="B95" s="194"/>
      <c r="C95" s="194"/>
      <c r="D95" s="194"/>
      <c r="E95" s="194"/>
      <c r="F95" s="194"/>
      <c r="G95" s="194"/>
      <c r="H95" s="194"/>
      <c r="I95" s="194"/>
      <c r="J95" s="194"/>
      <c r="K95" s="194"/>
      <c r="L95" s="194"/>
      <c r="M95" s="194"/>
      <c r="N95" s="194"/>
      <c r="O95" s="195"/>
    </row>
    <row r="96" spans="1:15" ht="16.5" customHeight="1" thickBot="1">
      <c r="A96" s="237" t="s">
        <v>320</v>
      </c>
      <c r="B96" s="214" t="s">
        <v>318</v>
      </c>
      <c r="C96" s="216"/>
      <c r="D96" s="214" t="s">
        <v>310</v>
      </c>
      <c r="E96" s="215"/>
      <c r="F96" s="216"/>
      <c r="G96" s="214" t="s">
        <v>311</v>
      </c>
      <c r="H96" s="215"/>
      <c r="I96" s="216"/>
      <c r="J96" s="214" t="s">
        <v>312</v>
      </c>
      <c r="K96" s="215"/>
      <c r="L96" s="216"/>
      <c r="M96" s="214" t="s">
        <v>313</v>
      </c>
      <c r="N96" s="215"/>
      <c r="O96" s="216"/>
    </row>
    <row r="97" spans="1:15" ht="16.5" customHeight="1" thickBot="1">
      <c r="A97" s="230"/>
      <c r="B97" s="160" t="s">
        <v>308</v>
      </c>
      <c r="C97" s="160" t="s">
        <v>42</v>
      </c>
      <c r="D97" s="124" t="s">
        <v>309</v>
      </c>
      <c r="E97" s="136" t="s">
        <v>40</v>
      </c>
      <c r="F97" s="162" t="s">
        <v>41</v>
      </c>
      <c r="G97" s="124" t="s">
        <v>309</v>
      </c>
      <c r="H97" s="136" t="s">
        <v>40</v>
      </c>
      <c r="I97" s="162" t="s">
        <v>41</v>
      </c>
      <c r="J97" s="124" t="s">
        <v>309</v>
      </c>
      <c r="K97" s="136" t="s">
        <v>40</v>
      </c>
      <c r="L97" s="162" t="s">
        <v>41</v>
      </c>
      <c r="M97" s="124" t="s">
        <v>309</v>
      </c>
      <c r="N97" s="136" t="s">
        <v>40</v>
      </c>
      <c r="O97" s="162" t="s">
        <v>41</v>
      </c>
    </row>
    <row r="98" spans="1:15" ht="16.5" customHeight="1">
      <c r="A98" s="160">
        <v>1</v>
      </c>
      <c r="B98" s="160" t="str">
        <f>TEXT(투자전략!$G$1+0, "[$-ko-KR]yyyy.mm.dd")</f>
        <v>2021.05.01</v>
      </c>
      <c r="C98" s="137">
        <f ca="1">IFERROR(COUNTA(INDIRECT($B98&amp;"!A71:A90")) * INDIRECT($B98&amp;"!B91"), "")</f>
        <v>6000000</v>
      </c>
      <c r="D98" s="145">
        <f ca="1">IFERROR($C98 * (1 + E98), "")</f>
        <v>6184486.4255649652</v>
      </c>
      <c r="E98" s="76">
        <f ca="1">IFERROR(INDIRECT($B98&amp;"!E91"), "")</f>
        <v>3.0747737594160929E-2</v>
      </c>
      <c r="F98" s="144">
        <f ca="1">IFERROR(INDIRECT($B98&amp;"!F91"), "")</f>
        <v>184486.42556496555</v>
      </c>
      <c r="G98" s="145">
        <f ca="1">IFERROR($C98 * (1 + H98), "")</f>
        <v>6114970.0911680311</v>
      </c>
      <c r="H98" s="76">
        <f ca="1">IFERROR(INDIRECT($B98&amp;"!H91"), "")</f>
        <v>1.9161681861338504E-2</v>
      </c>
      <c r="I98" s="144">
        <f ca="1">IFERROR(INDIRECT($B98&amp;"!I91"), "")</f>
        <v>114970.09116803102</v>
      </c>
      <c r="J98" s="145">
        <f ca="1">IFERROR($C98 * (1 + K98), "")</f>
        <v>6194970.8295751177</v>
      </c>
      <c r="K98" s="76">
        <f ca="1">IFERROR(INDIRECT($B98&amp;"!K91"), "")</f>
        <v>3.2495138262519693E-2</v>
      </c>
      <c r="L98" s="144">
        <f ca="1">IFERROR(INDIRECT($B98&amp;"!L91"), "")</f>
        <v>194970.82957511808</v>
      </c>
      <c r="M98" s="145">
        <f ca="1">IFERROR($C98 * (1 + N98), "")</f>
        <v>6147439.3665411985</v>
      </c>
      <c r="N98" s="76">
        <f ca="1">IFERROR(INDIRECT($B98&amp;"!N91"), "")</f>
        <v>2.4573227756866368E-2</v>
      </c>
      <c r="O98" s="144">
        <f ca="1">IFERROR(INDIRECT($B98&amp;"!O91"), "")</f>
        <v>147439.36654119819</v>
      </c>
    </row>
    <row r="99" spans="1:15" ht="16.5" customHeight="1">
      <c r="A99" s="159">
        <v>2</v>
      </c>
      <c r="B99" s="159" t="str">
        <f>TEXT(투자전략!$G$1+1, "[$-ko-KR]yyyy.mm.dd")</f>
        <v>2021.05.02</v>
      </c>
      <c r="C99" s="138">
        <f t="shared" ref="C99:C128" ca="1" si="26">IFERROR(COUNTA(INDIRECT($B99&amp;"!A71:A90")) * INDIRECT($B99&amp;"!B91"), "")</f>
        <v>6000000</v>
      </c>
      <c r="D99" s="142">
        <f t="shared" ref="D99:D128" ca="1" si="27">IFERROR($C99 * (1 + E99), "")</f>
        <v>5982819.4308755761</v>
      </c>
      <c r="E99" s="77">
        <f t="shared" ref="E99:E128" ca="1" si="28">IFERROR(INDIRECT($B99&amp;"!E91"), "")</f>
        <v>-2.863428187403949E-3</v>
      </c>
      <c r="F99" s="140">
        <f t="shared" ref="F99:F128" ca="1" si="29">IFERROR(INDIRECT($B99&amp;"!F91"), "")</f>
        <v>-17180.569124423695</v>
      </c>
      <c r="G99" s="142">
        <f t="shared" ref="G99:G128" ca="1" si="30">IFERROR($C99 * (1 + H99), "")</f>
        <v>5990283.0231446996</v>
      </c>
      <c r="H99" s="77">
        <f t="shared" ref="H99:H128" ca="1" si="31">IFERROR(INDIRECT($B99&amp;"!H91"), "")</f>
        <v>-1.6194961425501017E-3</v>
      </c>
      <c r="I99" s="140">
        <f t="shared" ref="I99:I128" ca="1" si="32">IFERROR(INDIRECT($B99&amp;"!I91"), "")</f>
        <v>-9716.9768553006252</v>
      </c>
      <c r="J99" s="142">
        <f t="shared" ref="J99:J128" ca="1" si="33">IFERROR($C99 * (1 + K99), "")</f>
        <v>6021894.870766893</v>
      </c>
      <c r="K99" s="77">
        <f t="shared" ref="K99:K128" ca="1" si="34">IFERROR(INDIRECT($B99&amp;"!K91"), "")</f>
        <v>3.6491451278155467E-3</v>
      </c>
      <c r="L99" s="140">
        <f t="shared" ref="L99:L128" ca="1" si="35">IFERROR(INDIRECT($B99&amp;"!L91"), "")</f>
        <v>21894.870766893284</v>
      </c>
      <c r="M99" s="142">
        <f t="shared" ref="M99:M128" ca="1" si="36">IFERROR($C99 * (1 + N99), "")</f>
        <v>6051490.358055776</v>
      </c>
      <c r="N99" s="77">
        <f t="shared" ref="N99:N128" ca="1" si="37">IFERROR(INDIRECT($B99&amp;"!N91"), "")</f>
        <v>8.581726342629362E-3</v>
      </c>
      <c r="O99" s="140">
        <f t="shared" ref="O99:O128" ca="1" si="38">IFERROR(INDIRECT($B99&amp;"!O91"), "")</f>
        <v>51490.358055776174</v>
      </c>
    </row>
    <row r="100" spans="1:15" ht="16.5" customHeight="1">
      <c r="A100" s="159">
        <v>3</v>
      </c>
      <c r="B100" s="159" t="str">
        <f>TEXT(투자전략!$G$1+2, "[$-ko-KR]yyyy.mm.dd")</f>
        <v>2021.05.03</v>
      </c>
      <c r="C100" s="138">
        <f t="shared" ca="1" si="26"/>
        <v>6000000</v>
      </c>
      <c r="D100" s="142">
        <f t="shared" ca="1" si="27"/>
        <v>6172508.5939996438</v>
      </c>
      <c r="E100" s="77">
        <f t="shared" ca="1" si="28"/>
        <v>2.8751432333274062E-2</v>
      </c>
      <c r="F100" s="140">
        <f t="shared" ca="1" si="29"/>
        <v>172508.59399964436</v>
      </c>
      <c r="G100" s="142">
        <f t="shared" ca="1" si="30"/>
        <v>6233686.7788462183</v>
      </c>
      <c r="H100" s="77">
        <f t="shared" ca="1" si="31"/>
        <v>3.8947796474369689E-2</v>
      </c>
      <c r="I100" s="140">
        <f t="shared" ca="1" si="32"/>
        <v>233686.77884621805</v>
      </c>
      <c r="J100" s="142">
        <f t="shared" ca="1" si="33"/>
        <v>6289422.7420696653</v>
      </c>
      <c r="K100" s="77">
        <f t="shared" ca="1" si="34"/>
        <v>4.8237123678277566E-2</v>
      </c>
      <c r="L100" s="140">
        <f t="shared" ca="1" si="35"/>
        <v>289422.74206966534</v>
      </c>
      <c r="M100" s="142">
        <f t="shared" ca="1" si="36"/>
        <v>6195461.6913859444</v>
      </c>
      <c r="N100" s="77">
        <f t="shared" ca="1" si="37"/>
        <v>3.2576948564324033E-2</v>
      </c>
      <c r="O100" s="140">
        <f t="shared" ca="1" si="38"/>
        <v>195461.69138594417</v>
      </c>
    </row>
    <row r="101" spans="1:15" ht="16.5" customHeight="1">
      <c r="A101" s="159">
        <v>4</v>
      </c>
      <c r="B101" s="159" t="str">
        <f>TEXT(투자전략!$G$1+3, "[$-ko-KR]yyyy.mm.dd")</f>
        <v>2021.05.04</v>
      </c>
      <c r="C101" s="138">
        <f t="shared" ca="1" si="26"/>
        <v>6000000</v>
      </c>
      <c r="D101" s="142">
        <f t="shared" ca="1" si="27"/>
        <v>5878310.7276261421</v>
      </c>
      <c r="E101" s="77">
        <f t="shared" ca="1" si="28"/>
        <v>-2.0281545395642968E-2</v>
      </c>
      <c r="F101" s="140">
        <f t="shared" ca="1" si="29"/>
        <v>-121689.27237385782</v>
      </c>
      <c r="G101" s="142">
        <f t="shared" ca="1" si="30"/>
        <v>5985906.1143582687</v>
      </c>
      <c r="H101" s="77">
        <f t="shared" ca="1" si="31"/>
        <v>-2.3489809402885697E-3</v>
      </c>
      <c r="I101" s="140">
        <f t="shared" ca="1" si="32"/>
        <v>-14093.885641731413</v>
      </c>
      <c r="J101" s="142">
        <f t="shared" ca="1" si="33"/>
        <v>6006627.6945339618</v>
      </c>
      <c r="K101" s="77">
        <f t="shared" ca="1" si="34"/>
        <v>1.1046157556602802E-3</v>
      </c>
      <c r="L101" s="140">
        <f t="shared" ca="1" si="35"/>
        <v>6627.6945339616759</v>
      </c>
      <c r="M101" s="142">
        <f t="shared" ca="1" si="36"/>
        <v>5821671.7144620856</v>
      </c>
      <c r="N101" s="77">
        <f t="shared" ca="1" si="37"/>
        <v>-2.9721380922985652E-2</v>
      </c>
      <c r="O101" s="140">
        <f t="shared" ca="1" si="38"/>
        <v>-178328.28553791397</v>
      </c>
    </row>
    <row r="102" spans="1:15" ht="16.5" customHeight="1">
      <c r="A102" s="159">
        <v>5</v>
      </c>
      <c r="B102" s="159" t="str">
        <f>TEXT(투자전략!$G$1+4, "[$-ko-KR]yyyy.mm.dd")</f>
        <v>2021.05.05</v>
      </c>
      <c r="C102" s="138">
        <f t="shared" ca="1" si="26"/>
        <v>3000000</v>
      </c>
      <c r="D102" s="142">
        <f t="shared" ca="1" si="27"/>
        <v>2966021.1131484676</v>
      </c>
      <c r="E102" s="77">
        <f t="shared" ca="1" si="28"/>
        <v>-1.1326295617177452E-2</v>
      </c>
      <c r="F102" s="140">
        <f t="shared" ca="1" si="29"/>
        <v>-33978.886851532356</v>
      </c>
      <c r="G102" s="142">
        <f t="shared" ca="1" si="30"/>
        <v>2992445.553707548</v>
      </c>
      <c r="H102" s="77">
        <f t="shared" ca="1" si="31"/>
        <v>-2.5181487641507132E-3</v>
      </c>
      <c r="I102" s="140">
        <f t="shared" ca="1" si="32"/>
        <v>-7554.4462924521331</v>
      </c>
      <c r="J102" s="142">
        <f t="shared" ca="1" si="33"/>
        <v>2968457.8401459786</v>
      </c>
      <c r="K102" s="77">
        <f t="shared" ca="1" si="34"/>
        <v>-1.0514053284673846E-2</v>
      </c>
      <c r="L102" s="140">
        <f t="shared" ca="1" si="35"/>
        <v>-31542.159854021535</v>
      </c>
      <c r="M102" s="142">
        <f t="shared" ca="1" si="36"/>
        <v>2996816.697478069</v>
      </c>
      <c r="N102" s="77">
        <f t="shared" ca="1" si="37"/>
        <v>-1.061100840643723E-3</v>
      </c>
      <c r="O102" s="140">
        <f t="shared" ca="1" si="38"/>
        <v>-3183.3025219311785</v>
      </c>
    </row>
    <row r="103" spans="1:15" ht="16.5" customHeight="1">
      <c r="A103" s="159">
        <v>6</v>
      </c>
      <c r="B103" s="159" t="str">
        <f>TEXT(투자전략!$G$1+5, "[$-ko-KR]yyyy.mm.dd")</f>
        <v>2021.05.06</v>
      </c>
      <c r="C103" s="138">
        <f t="shared" ca="1" si="26"/>
        <v>3000000</v>
      </c>
      <c r="D103" s="142">
        <f t="shared" ca="1" si="27"/>
        <v>3119584.9986450379</v>
      </c>
      <c r="E103" s="77">
        <f t="shared" ca="1" si="28"/>
        <v>3.9861666215012595E-2</v>
      </c>
      <c r="F103" s="140">
        <f t="shared" ca="1" si="29"/>
        <v>119584.99864503778</v>
      </c>
      <c r="G103" s="142">
        <f t="shared" ca="1" si="30"/>
        <v>3122268.4733913504</v>
      </c>
      <c r="H103" s="77">
        <f t="shared" ca="1" si="31"/>
        <v>4.075615779711661E-2</v>
      </c>
      <c r="I103" s="140">
        <f t="shared" ca="1" si="32"/>
        <v>122268.47339134986</v>
      </c>
      <c r="J103" s="142">
        <f t="shared" ca="1" si="33"/>
        <v>3138122.4139355095</v>
      </c>
      <c r="K103" s="77">
        <f t="shared" ca="1" si="34"/>
        <v>4.6040804645169853E-2</v>
      </c>
      <c r="L103" s="140">
        <f t="shared" ca="1" si="35"/>
        <v>138122.41393550954</v>
      </c>
      <c r="M103" s="142">
        <f t="shared" ca="1" si="36"/>
        <v>3157026.6513397433</v>
      </c>
      <c r="N103" s="77">
        <f t="shared" ca="1" si="37"/>
        <v>5.2342217113247692E-2</v>
      </c>
      <c r="O103" s="140">
        <f t="shared" ca="1" si="38"/>
        <v>157026.65133974305</v>
      </c>
    </row>
    <row r="104" spans="1:15" ht="16.5" customHeight="1" thickBot="1">
      <c r="A104" s="161">
        <v>7</v>
      </c>
      <c r="B104" s="161" t="str">
        <f>TEXT(투자전략!$G$1+6, "[$-ko-KR]yyyy.mm.dd")</f>
        <v>2021.05.07</v>
      </c>
      <c r="C104" s="138">
        <f t="shared" ca="1" si="26"/>
        <v>3000000</v>
      </c>
      <c r="D104" s="142">
        <f t="shared" ca="1" si="27"/>
        <v>2942379.5073426478</v>
      </c>
      <c r="E104" s="77">
        <f t="shared" ca="1" si="28"/>
        <v>-1.9206830885784058E-2</v>
      </c>
      <c r="F104" s="140">
        <f t="shared" ca="1" si="29"/>
        <v>-57620.492657352181</v>
      </c>
      <c r="G104" s="142">
        <f t="shared" ca="1" si="30"/>
        <v>3038538.755884374</v>
      </c>
      <c r="H104" s="77">
        <f t="shared" ca="1" si="31"/>
        <v>1.2846251961457967E-2</v>
      </c>
      <c r="I104" s="140">
        <f t="shared" ca="1" si="32"/>
        <v>38538.75588437391</v>
      </c>
      <c r="J104" s="142">
        <f t="shared" ca="1" si="33"/>
        <v>3122788.4909962537</v>
      </c>
      <c r="K104" s="77">
        <f t="shared" ca="1" si="34"/>
        <v>4.0929496998751161E-2</v>
      </c>
      <c r="L104" s="140">
        <f t="shared" ca="1" si="35"/>
        <v>122788.49099625349</v>
      </c>
      <c r="M104" s="142">
        <f t="shared" ca="1" si="36"/>
        <v>3000000</v>
      </c>
      <c r="N104" s="77">
        <f t="shared" ca="1" si="37"/>
        <v>0</v>
      </c>
      <c r="O104" s="140">
        <f t="shared" ca="1" si="38"/>
        <v>0</v>
      </c>
    </row>
    <row r="105" spans="1:15" ht="16.5" customHeight="1">
      <c r="A105" s="160">
        <v>8</v>
      </c>
      <c r="B105" s="160" t="str">
        <f>TEXT(투자전략!$G$1+7, "[$-ko-KR]yyyy.mm.dd")</f>
        <v>2021.05.08</v>
      </c>
      <c r="C105" s="137" t="str">
        <f t="shared" ca="1" si="26"/>
        <v/>
      </c>
      <c r="D105" s="145" t="str">
        <f t="shared" ca="1" si="27"/>
        <v/>
      </c>
      <c r="E105" s="76" t="str">
        <f t="shared" ca="1" si="28"/>
        <v/>
      </c>
      <c r="F105" s="144" t="str">
        <f t="shared" ca="1" si="29"/>
        <v/>
      </c>
      <c r="G105" s="145" t="str">
        <f t="shared" ca="1" si="30"/>
        <v/>
      </c>
      <c r="H105" s="76" t="str">
        <f t="shared" ca="1" si="31"/>
        <v/>
      </c>
      <c r="I105" s="144" t="str">
        <f t="shared" ca="1" si="32"/>
        <v/>
      </c>
      <c r="J105" s="145" t="str">
        <f t="shared" ca="1" si="33"/>
        <v/>
      </c>
      <c r="K105" s="76" t="str">
        <f t="shared" ca="1" si="34"/>
        <v/>
      </c>
      <c r="L105" s="144" t="str">
        <f t="shared" ca="1" si="35"/>
        <v/>
      </c>
      <c r="M105" s="145" t="str">
        <f t="shared" ca="1" si="36"/>
        <v/>
      </c>
      <c r="N105" s="76" t="str">
        <f t="shared" ca="1" si="37"/>
        <v/>
      </c>
      <c r="O105" s="144" t="str">
        <f t="shared" ca="1" si="38"/>
        <v/>
      </c>
    </row>
    <row r="106" spans="1:15" ht="16.5" customHeight="1">
      <c r="A106" s="159">
        <v>9</v>
      </c>
      <c r="B106" s="159" t="str">
        <f>TEXT(투자전략!$G$1+8, "[$-ko-KR]yyyy.mm.dd")</f>
        <v>2021.05.09</v>
      </c>
      <c r="C106" s="138" t="str">
        <f t="shared" ca="1" si="26"/>
        <v/>
      </c>
      <c r="D106" s="142" t="str">
        <f t="shared" ca="1" si="27"/>
        <v/>
      </c>
      <c r="E106" s="77" t="str">
        <f t="shared" ca="1" si="28"/>
        <v/>
      </c>
      <c r="F106" s="140" t="str">
        <f t="shared" ca="1" si="29"/>
        <v/>
      </c>
      <c r="G106" s="142" t="str">
        <f t="shared" ca="1" si="30"/>
        <v/>
      </c>
      <c r="H106" s="77" t="str">
        <f t="shared" ca="1" si="31"/>
        <v/>
      </c>
      <c r="I106" s="140" t="str">
        <f t="shared" ca="1" si="32"/>
        <v/>
      </c>
      <c r="J106" s="142" t="str">
        <f t="shared" ca="1" si="33"/>
        <v/>
      </c>
      <c r="K106" s="77" t="str">
        <f t="shared" ca="1" si="34"/>
        <v/>
      </c>
      <c r="L106" s="140" t="str">
        <f t="shared" ca="1" si="35"/>
        <v/>
      </c>
      <c r="M106" s="142" t="str">
        <f t="shared" ca="1" si="36"/>
        <v/>
      </c>
      <c r="N106" s="77" t="str">
        <f t="shared" ca="1" si="37"/>
        <v/>
      </c>
      <c r="O106" s="140" t="str">
        <f t="shared" ca="1" si="38"/>
        <v/>
      </c>
    </row>
    <row r="107" spans="1:15" ht="16.5" customHeight="1">
      <c r="A107" s="159">
        <v>10</v>
      </c>
      <c r="B107" s="159" t="str">
        <f>TEXT(투자전략!$G$1+9, "[$-ko-KR]yyyy.mm.dd")</f>
        <v>2021.05.10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 ht="16.5" customHeight="1">
      <c r="A108" s="159">
        <v>11</v>
      </c>
      <c r="B108" s="159" t="str">
        <f>TEXT(투자전략!$G$1+10, "[$-ko-KR]yyyy.mm.dd")</f>
        <v>2021.05.11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 ht="16.5" customHeight="1">
      <c r="A109" s="159">
        <v>12</v>
      </c>
      <c r="B109" s="159" t="str">
        <f>TEXT(투자전략!$G$1+11, "[$-ko-KR]yyyy.mm.dd")</f>
        <v>2021.05.12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 ht="16.5" customHeight="1">
      <c r="A110" s="159">
        <v>13</v>
      </c>
      <c r="B110" s="159" t="str">
        <f>TEXT(투자전략!$G$1+12, "[$-ko-KR]yyyy.mm.dd")</f>
        <v>2021.05.13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 ht="16.5" customHeight="1" thickBot="1">
      <c r="A111" s="161">
        <v>14</v>
      </c>
      <c r="B111" s="161" t="str">
        <f>TEXT(투자전략!$G$1+13, "[$-ko-KR]yyyy.mm.dd")</f>
        <v>2021.05.14</v>
      </c>
      <c r="C111" s="139" t="str">
        <f t="shared" ca="1" si="26"/>
        <v/>
      </c>
      <c r="D111" s="143" t="str">
        <f t="shared" ca="1" si="27"/>
        <v/>
      </c>
      <c r="E111" s="79" t="str">
        <f t="shared" ca="1" si="28"/>
        <v/>
      </c>
      <c r="F111" s="141" t="str">
        <f t="shared" ca="1" si="29"/>
        <v/>
      </c>
      <c r="G111" s="143" t="str">
        <f t="shared" ca="1" si="30"/>
        <v/>
      </c>
      <c r="H111" s="79" t="str">
        <f t="shared" ca="1" si="31"/>
        <v/>
      </c>
      <c r="I111" s="141" t="str">
        <f t="shared" ca="1" si="32"/>
        <v/>
      </c>
      <c r="J111" s="143" t="str">
        <f t="shared" ca="1" si="33"/>
        <v/>
      </c>
      <c r="K111" s="79" t="str">
        <f t="shared" ca="1" si="34"/>
        <v/>
      </c>
      <c r="L111" s="141" t="str">
        <f t="shared" ca="1" si="35"/>
        <v/>
      </c>
      <c r="M111" s="143" t="str">
        <f t="shared" ca="1" si="36"/>
        <v/>
      </c>
      <c r="N111" s="79" t="str">
        <f t="shared" ca="1" si="37"/>
        <v/>
      </c>
      <c r="O111" s="141" t="str">
        <f t="shared" ca="1" si="38"/>
        <v/>
      </c>
    </row>
    <row r="112" spans="1:15" ht="16.5" customHeight="1">
      <c r="A112" s="160">
        <v>15</v>
      </c>
      <c r="B112" s="160" t="str">
        <f>TEXT(투자전략!$G$1+14, "[$-ko-KR]yyyy.mm.dd")</f>
        <v>2021.05.15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6.5" customHeight="1">
      <c r="A113" s="159">
        <v>16</v>
      </c>
      <c r="B113" s="159" t="str">
        <f>TEXT(투자전략!$G$1+15, "[$-ko-KR]yyyy.mm.dd")</f>
        <v>2021.05.16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 ht="16.5" customHeight="1">
      <c r="A114" s="159">
        <v>17</v>
      </c>
      <c r="B114" s="159" t="str">
        <f>TEXT(투자전략!$G$1+16, "[$-ko-KR]yyyy.mm.dd")</f>
        <v>2021.05.17</v>
      </c>
      <c r="C114" s="138" t="str">
        <f t="shared" ca="1" si="26"/>
        <v/>
      </c>
      <c r="D114" s="142" t="str">
        <f t="shared" ca="1" si="27"/>
        <v/>
      </c>
      <c r="E114" s="77" t="str">
        <f t="shared" ca="1" si="28"/>
        <v/>
      </c>
      <c r="F114" s="140" t="str">
        <f t="shared" ca="1" si="29"/>
        <v/>
      </c>
      <c r="G114" s="142" t="str">
        <f t="shared" ca="1" si="30"/>
        <v/>
      </c>
      <c r="H114" s="77" t="str">
        <f t="shared" ca="1" si="31"/>
        <v/>
      </c>
      <c r="I114" s="140" t="str">
        <f t="shared" ca="1" si="32"/>
        <v/>
      </c>
      <c r="J114" s="142" t="str">
        <f t="shared" ca="1" si="33"/>
        <v/>
      </c>
      <c r="K114" s="77" t="str">
        <f t="shared" ca="1" si="34"/>
        <v/>
      </c>
      <c r="L114" s="140" t="str">
        <f t="shared" ca="1" si="35"/>
        <v/>
      </c>
      <c r="M114" s="142" t="str">
        <f t="shared" ca="1" si="36"/>
        <v/>
      </c>
      <c r="N114" s="77" t="str">
        <f t="shared" ca="1" si="37"/>
        <v/>
      </c>
      <c r="O114" s="140" t="str">
        <f t="shared" ca="1" si="38"/>
        <v/>
      </c>
    </row>
    <row r="115" spans="1:15" ht="16.5" customHeight="1">
      <c r="A115" s="159">
        <v>18</v>
      </c>
      <c r="B115" s="159" t="str">
        <f>TEXT(투자전략!$G$1+17, "[$-ko-KR]yyyy.mm.dd")</f>
        <v>2021.05.18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 ht="16.5" customHeight="1">
      <c r="A116" s="159">
        <v>19</v>
      </c>
      <c r="B116" s="159" t="str">
        <f>TEXT(투자전략!$G$1+18, "[$-ko-KR]yyyy.mm.dd")</f>
        <v>2021.05.19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 ht="16.5" customHeight="1">
      <c r="A117" s="159">
        <v>20</v>
      </c>
      <c r="B117" s="159" t="str">
        <f>TEXT(투자전략!$G$1+19, "[$-ko-KR]yyyy.mm.dd")</f>
        <v>2021.05.20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 ht="16.5" customHeight="1" thickBot="1">
      <c r="A118" s="161">
        <v>21</v>
      </c>
      <c r="B118" s="161" t="str">
        <f>TEXT(투자전략!$G$1+20, "[$-ko-KR]yyyy.mm.dd")</f>
        <v>2021.05.21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 ht="16.5" customHeight="1">
      <c r="A119" s="160">
        <v>22</v>
      </c>
      <c r="B119" s="160" t="str">
        <f>TEXT(투자전략!$G$1+21, "[$-ko-KR]yyyy.mm.dd")</f>
        <v>2021.05.22</v>
      </c>
      <c r="C119" s="137" t="str">
        <f t="shared" ca="1" si="26"/>
        <v/>
      </c>
      <c r="D119" s="145" t="str">
        <f t="shared" ca="1" si="27"/>
        <v/>
      </c>
      <c r="E119" s="76" t="str">
        <f t="shared" ca="1" si="28"/>
        <v/>
      </c>
      <c r="F119" s="144" t="str">
        <f t="shared" ca="1" si="29"/>
        <v/>
      </c>
      <c r="G119" s="145" t="str">
        <f t="shared" ca="1" si="30"/>
        <v/>
      </c>
      <c r="H119" s="76" t="str">
        <f t="shared" ca="1" si="31"/>
        <v/>
      </c>
      <c r="I119" s="144" t="str">
        <f t="shared" ca="1" si="32"/>
        <v/>
      </c>
      <c r="J119" s="145" t="str">
        <f t="shared" ca="1" si="33"/>
        <v/>
      </c>
      <c r="K119" s="76" t="str">
        <f t="shared" ca="1" si="34"/>
        <v/>
      </c>
      <c r="L119" s="144" t="str">
        <f t="shared" ca="1" si="35"/>
        <v/>
      </c>
      <c r="M119" s="145" t="str">
        <f t="shared" ca="1" si="36"/>
        <v/>
      </c>
      <c r="N119" s="76" t="str">
        <f t="shared" ca="1" si="37"/>
        <v/>
      </c>
      <c r="O119" s="144" t="str">
        <f t="shared" ca="1" si="38"/>
        <v/>
      </c>
    </row>
    <row r="120" spans="1:15" ht="16.5" customHeight="1">
      <c r="A120" s="159">
        <v>23</v>
      </c>
      <c r="B120" s="159" t="str">
        <f>TEXT(투자전략!$G$1+22, "[$-ko-KR]yyyy.mm.dd")</f>
        <v>2021.05.23</v>
      </c>
      <c r="C120" s="138" t="str">
        <f t="shared" ca="1" si="26"/>
        <v/>
      </c>
      <c r="D120" s="142" t="str">
        <f t="shared" ca="1" si="27"/>
        <v/>
      </c>
      <c r="E120" s="77" t="str">
        <f t="shared" ca="1" si="28"/>
        <v/>
      </c>
      <c r="F120" s="140" t="str">
        <f t="shared" ca="1" si="29"/>
        <v/>
      </c>
      <c r="G120" s="142" t="str">
        <f t="shared" ca="1" si="30"/>
        <v/>
      </c>
      <c r="H120" s="77" t="str">
        <f t="shared" ca="1" si="31"/>
        <v/>
      </c>
      <c r="I120" s="140" t="str">
        <f t="shared" ca="1" si="32"/>
        <v/>
      </c>
      <c r="J120" s="142" t="str">
        <f t="shared" ca="1" si="33"/>
        <v/>
      </c>
      <c r="K120" s="77" t="str">
        <f t="shared" ca="1" si="34"/>
        <v/>
      </c>
      <c r="L120" s="140" t="str">
        <f t="shared" ca="1" si="35"/>
        <v/>
      </c>
      <c r="M120" s="142" t="str">
        <f t="shared" ca="1" si="36"/>
        <v/>
      </c>
      <c r="N120" s="77" t="str">
        <f t="shared" ca="1" si="37"/>
        <v/>
      </c>
      <c r="O120" s="140" t="str">
        <f t="shared" ca="1" si="38"/>
        <v/>
      </c>
    </row>
    <row r="121" spans="1:15" ht="16.5" customHeight="1">
      <c r="A121" s="159">
        <v>24</v>
      </c>
      <c r="B121" s="159" t="str">
        <f>TEXT(투자전략!$G$1+23, "[$-ko-KR]yyyy.mm.dd")</f>
        <v>2021.05.24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 ht="16.5" customHeight="1">
      <c r="A122" s="159">
        <v>25</v>
      </c>
      <c r="B122" s="159" t="str">
        <f>TEXT(투자전략!$G$1+24, "[$-ko-KR]yyyy.mm.dd")</f>
        <v>2021.05.25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6.5" customHeight="1">
      <c r="A123" s="159">
        <v>26</v>
      </c>
      <c r="B123" s="159" t="str">
        <f>TEXT(투자전략!$G$1+25, "[$-ko-KR]yyyy.mm.dd")</f>
        <v>2021.05.26</v>
      </c>
      <c r="C123" s="138" t="str">
        <f t="shared" ca="1" si="26"/>
        <v/>
      </c>
      <c r="D123" s="142" t="str">
        <f t="shared" ca="1" si="27"/>
        <v/>
      </c>
      <c r="E123" s="77" t="str">
        <f t="shared" ca="1" si="28"/>
        <v/>
      </c>
      <c r="F123" s="140" t="str">
        <f t="shared" ca="1" si="29"/>
        <v/>
      </c>
      <c r="G123" s="142" t="str">
        <f t="shared" ca="1" si="30"/>
        <v/>
      </c>
      <c r="H123" s="77" t="str">
        <f t="shared" ca="1" si="31"/>
        <v/>
      </c>
      <c r="I123" s="140" t="str">
        <f t="shared" ca="1" si="32"/>
        <v/>
      </c>
      <c r="J123" s="142" t="str">
        <f t="shared" ca="1" si="33"/>
        <v/>
      </c>
      <c r="K123" s="77" t="str">
        <f t="shared" ca="1" si="34"/>
        <v/>
      </c>
      <c r="L123" s="140" t="str">
        <f t="shared" ca="1" si="35"/>
        <v/>
      </c>
      <c r="M123" s="142" t="str">
        <f t="shared" ca="1" si="36"/>
        <v/>
      </c>
      <c r="N123" s="77" t="str">
        <f t="shared" ca="1" si="37"/>
        <v/>
      </c>
      <c r="O123" s="140" t="str">
        <f t="shared" ca="1" si="38"/>
        <v/>
      </c>
    </row>
    <row r="124" spans="1:15" ht="16.5" customHeight="1">
      <c r="A124" s="159">
        <v>27</v>
      </c>
      <c r="B124" s="159" t="str">
        <f>TEXT(투자전략!$G$1+26, "[$-ko-KR]yyyy.mm.dd")</f>
        <v>2021.05.27</v>
      </c>
      <c r="C124" s="138" t="str">
        <f t="shared" ca="1" si="26"/>
        <v/>
      </c>
      <c r="D124" s="142" t="str">
        <f t="shared" ca="1" si="27"/>
        <v/>
      </c>
      <c r="E124" s="77" t="str">
        <f t="shared" ca="1" si="28"/>
        <v/>
      </c>
      <c r="F124" s="140" t="str">
        <f t="shared" ca="1" si="29"/>
        <v/>
      </c>
      <c r="G124" s="142" t="str">
        <f t="shared" ca="1" si="30"/>
        <v/>
      </c>
      <c r="H124" s="77" t="str">
        <f t="shared" ca="1" si="31"/>
        <v/>
      </c>
      <c r="I124" s="140" t="str">
        <f t="shared" ca="1" si="32"/>
        <v/>
      </c>
      <c r="J124" s="142" t="str">
        <f t="shared" ca="1" si="33"/>
        <v/>
      </c>
      <c r="K124" s="77" t="str">
        <f t="shared" ca="1" si="34"/>
        <v/>
      </c>
      <c r="L124" s="140" t="str">
        <f t="shared" ca="1" si="35"/>
        <v/>
      </c>
      <c r="M124" s="142" t="str">
        <f t="shared" ca="1" si="36"/>
        <v/>
      </c>
      <c r="N124" s="77" t="str">
        <f t="shared" ca="1" si="37"/>
        <v/>
      </c>
      <c r="O124" s="140" t="str">
        <f t="shared" ca="1" si="38"/>
        <v/>
      </c>
    </row>
    <row r="125" spans="1:15" ht="16.5" customHeight="1" thickBot="1">
      <c r="A125" s="161">
        <v>28</v>
      </c>
      <c r="B125" s="161" t="str">
        <f>TEXT(투자전략!$G$1+27, "[$-ko-KR]yyyy.mm.dd")</f>
        <v>2021.05.28</v>
      </c>
      <c r="C125" s="139" t="str">
        <f t="shared" ca="1" si="26"/>
        <v/>
      </c>
      <c r="D125" s="143" t="str">
        <f t="shared" ca="1" si="27"/>
        <v/>
      </c>
      <c r="E125" s="79" t="str">
        <f t="shared" ca="1" si="28"/>
        <v/>
      </c>
      <c r="F125" s="141" t="str">
        <f t="shared" ca="1" si="29"/>
        <v/>
      </c>
      <c r="G125" s="143" t="str">
        <f t="shared" ca="1" si="30"/>
        <v/>
      </c>
      <c r="H125" s="79" t="str">
        <f t="shared" ca="1" si="31"/>
        <v/>
      </c>
      <c r="I125" s="141" t="str">
        <f t="shared" ca="1" si="32"/>
        <v/>
      </c>
      <c r="J125" s="143" t="str">
        <f t="shared" ca="1" si="33"/>
        <v/>
      </c>
      <c r="K125" s="79" t="str">
        <f t="shared" ca="1" si="34"/>
        <v/>
      </c>
      <c r="L125" s="141" t="str">
        <f t="shared" ca="1" si="35"/>
        <v/>
      </c>
      <c r="M125" s="143" t="str">
        <f t="shared" ca="1" si="36"/>
        <v/>
      </c>
      <c r="N125" s="79" t="str">
        <f t="shared" ca="1" si="37"/>
        <v/>
      </c>
      <c r="O125" s="141" t="str">
        <f t="shared" ca="1" si="38"/>
        <v/>
      </c>
    </row>
    <row r="126" spans="1:15" ht="16.5" customHeight="1">
      <c r="A126" s="124">
        <v>29</v>
      </c>
      <c r="B126" s="160" t="str">
        <f>TEXT(투자전략!$G$1+28, "[$-ko-KR]yyyy.mm.dd")</f>
        <v>2021.05.29</v>
      </c>
      <c r="C126" s="138" t="str">
        <f t="shared" ca="1" si="26"/>
        <v/>
      </c>
      <c r="D126" s="142" t="str">
        <f t="shared" ca="1" si="27"/>
        <v/>
      </c>
      <c r="E126" s="77" t="str">
        <f t="shared" ca="1" si="28"/>
        <v/>
      </c>
      <c r="F126" s="140" t="str">
        <f t="shared" ca="1" si="29"/>
        <v/>
      </c>
      <c r="G126" s="142" t="str">
        <f t="shared" ca="1" si="30"/>
        <v/>
      </c>
      <c r="H126" s="77" t="str">
        <f t="shared" ca="1" si="31"/>
        <v/>
      </c>
      <c r="I126" s="140" t="str">
        <f t="shared" ca="1" si="32"/>
        <v/>
      </c>
      <c r="J126" s="142" t="str">
        <f t="shared" ca="1" si="33"/>
        <v/>
      </c>
      <c r="K126" s="77" t="str">
        <f t="shared" ca="1" si="34"/>
        <v/>
      </c>
      <c r="L126" s="140" t="str">
        <f t="shared" ca="1" si="35"/>
        <v/>
      </c>
      <c r="M126" s="142" t="str">
        <f t="shared" ca="1" si="36"/>
        <v/>
      </c>
      <c r="N126" s="77" t="str">
        <f t="shared" ca="1" si="37"/>
        <v/>
      </c>
      <c r="O126" s="140" t="str">
        <f t="shared" ca="1" si="38"/>
        <v/>
      </c>
    </row>
    <row r="127" spans="1:15" ht="16.5" customHeight="1">
      <c r="A127" s="124">
        <v>30</v>
      </c>
      <c r="B127" s="159" t="str">
        <f>TEXT(투자전략!$G$1+29, "[$-ko-KR]yyyy.mm.dd")</f>
        <v>2021.05.30</v>
      </c>
      <c r="C127" s="138" t="str">
        <f t="shared" ca="1" si="26"/>
        <v/>
      </c>
      <c r="D127" s="142" t="str">
        <f t="shared" ca="1" si="27"/>
        <v/>
      </c>
      <c r="E127" s="77" t="str">
        <f t="shared" ca="1" si="28"/>
        <v/>
      </c>
      <c r="F127" s="140" t="str">
        <f t="shared" ca="1" si="29"/>
        <v/>
      </c>
      <c r="G127" s="142" t="str">
        <f t="shared" ca="1" si="30"/>
        <v/>
      </c>
      <c r="H127" s="77" t="str">
        <f t="shared" ca="1" si="31"/>
        <v/>
      </c>
      <c r="I127" s="140" t="str">
        <f t="shared" ca="1" si="32"/>
        <v/>
      </c>
      <c r="J127" s="142" t="str">
        <f t="shared" ca="1" si="33"/>
        <v/>
      </c>
      <c r="K127" s="77" t="str">
        <f t="shared" ca="1" si="34"/>
        <v/>
      </c>
      <c r="L127" s="140" t="str">
        <f t="shared" ca="1" si="35"/>
        <v/>
      </c>
      <c r="M127" s="142" t="str">
        <f t="shared" ca="1" si="36"/>
        <v/>
      </c>
      <c r="N127" s="77" t="str">
        <f t="shared" ca="1" si="37"/>
        <v/>
      </c>
      <c r="O127" s="140" t="str">
        <f t="shared" ca="1" si="38"/>
        <v/>
      </c>
    </row>
    <row r="128" spans="1:15" ht="16.5" customHeight="1" thickBot="1">
      <c r="A128" s="124">
        <v>31</v>
      </c>
      <c r="B128" s="159" t="str">
        <f>TEXT(투자전략!$G$1+30, "[$-ko-KR]yyyy.mm.dd")</f>
        <v>2021.05.31</v>
      </c>
      <c r="C128" s="139" t="str">
        <f t="shared" ca="1" si="26"/>
        <v/>
      </c>
      <c r="D128" s="143" t="str">
        <f t="shared" ca="1" si="27"/>
        <v/>
      </c>
      <c r="E128" s="79" t="str">
        <f t="shared" ca="1" si="28"/>
        <v/>
      </c>
      <c r="F128" s="141" t="str">
        <f t="shared" ca="1" si="29"/>
        <v/>
      </c>
      <c r="G128" s="143" t="str">
        <f t="shared" ca="1" si="30"/>
        <v/>
      </c>
      <c r="H128" s="79" t="str">
        <f t="shared" ca="1" si="31"/>
        <v/>
      </c>
      <c r="I128" s="141" t="str">
        <f t="shared" ca="1" si="32"/>
        <v/>
      </c>
      <c r="J128" s="143" t="str">
        <f t="shared" ca="1" si="33"/>
        <v/>
      </c>
      <c r="K128" s="79" t="str">
        <f t="shared" ca="1" si="34"/>
        <v/>
      </c>
      <c r="L128" s="141" t="str">
        <f t="shared" ca="1" si="35"/>
        <v/>
      </c>
      <c r="M128" s="143" t="str">
        <f t="shared" ca="1" si="36"/>
        <v/>
      </c>
      <c r="N128" s="79" t="str">
        <f t="shared" ca="1" si="37"/>
        <v/>
      </c>
      <c r="O128" s="141" t="str">
        <f t="shared" ca="1" si="38"/>
        <v/>
      </c>
    </row>
    <row r="129" spans="1:15" ht="16.5" customHeight="1" thickBot="1">
      <c r="A129" s="221" t="s">
        <v>319</v>
      </c>
      <c r="B129" s="223"/>
      <c r="C129" s="135" t="s">
        <v>314</v>
      </c>
      <c r="D129" s="153" t="s">
        <v>315</v>
      </c>
      <c r="E129" s="154" t="s">
        <v>316</v>
      </c>
      <c r="F129" s="155" t="s">
        <v>317</v>
      </c>
      <c r="G129" s="153" t="s">
        <v>315</v>
      </c>
      <c r="H129" s="154" t="s">
        <v>316</v>
      </c>
      <c r="I129" s="155" t="s">
        <v>317</v>
      </c>
      <c r="J129" s="153" t="s">
        <v>315</v>
      </c>
      <c r="K129" s="154" t="s">
        <v>316</v>
      </c>
      <c r="L129" s="155" t="s">
        <v>317</v>
      </c>
      <c r="M129" s="153" t="s">
        <v>315</v>
      </c>
      <c r="N129" s="154" t="s">
        <v>316</v>
      </c>
      <c r="O129" s="155" t="s">
        <v>317</v>
      </c>
    </row>
    <row r="130" spans="1:15" ht="16.5" customHeight="1" thickBot="1">
      <c r="A130" s="214"/>
      <c r="B130" s="216"/>
      <c r="C130" s="139">
        <f ca="1">SUM(C98:C128)</f>
        <v>33000000</v>
      </c>
      <c r="D130" s="143">
        <f ca="1">SUM(D98:D128)</f>
        <v>33246110.797202479</v>
      </c>
      <c r="E130" s="79">
        <f ca="1">IFERROR(F130 / (SUM($C98:$C128) / COUNT($C98:$C128)), 0)</f>
        <v>5.2205320618708216E-2</v>
      </c>
      <c r="F130" s="141">
        <f ca="1">SUM(F98:F128)</f>
        <v>246110.7972024816</v>
      </c>
      <c r="G130" s="143">
        <f ca="1">SUM(G98:G128)</f>
        <v>33478098.790500492</v>
      </c>
      <c r="H130" s="79">
        <f ca="1">IFERROR(I130 / (SUM($C98:$C128) / COUNT($C98:$C128)), 0)</f>
        <v>0.10141489495464912</v>
      </c>
      <c r="I130" s="141">
        <f ca="1">SUM(I98:I128)</f>
        <v>478098.79050048871</v>
      </c>
      <c r="J130" s="143">
        <f ca="1">SUM(J98:J128)</f>
        <v>33742284.882023379</v>
      </c>
      <c r="K130" s="79">
        <f ca="1">IFERROR(L130 / (SUM($C98:$C128) / COUNT($C98:$C128)), 0)</f>
        <v>0.15745436891405024</v>
      </c>
      <c r="L130" s="141">
        <f ca="1">SUM(L98:L128)</f>
        <v>742284.88202337979</v>
      </c>
      <c r="M130" s="143">
        <f ca="1">SUM(M98:M128)</f>
        <v>33369906.479262818</v>
      </c>
      <c r="N130" s="79">
        <f ca="1">IFERROR(O130 / (SUM($C98:$C128) / COUNT($C98:$C128)), 0)</f>
        <v>7.8465010752718639E-2</v>
      </c>
      <c r="O130" s="141">
        <f ca="1">SUM(O98:O128)</f>
        <v>369906.47926281649</v>
      </c>
    </row>
    <row r="132" spans="1:15" ht="16.5" customHeight="1" thickBot="1"/>
    <row r="133" spans="1:15" ht="16.5" customHeight="1" thickBot="1">
      <c r="A133" s="193" t="str">
        <f>TEXT(투자전략!$G$1, "[$-ko-KR]yyyy년 mm월 ") &amp; "전일대비 상승률 Top20 월말결산"</f>
        <v>2021년 05월 전일대비 상승률 Top20 월말결산</v>
      </c>
      <c r="B133" s="194"/>
      <c r="C133" s="194"/>
      <c r="D133" s="194"/>
      <c r="E133" s="194"/>
      <c r="F133" s="194"/>
      <c r="G133" s="194"/>
      <c r="H133" s="194"/>
      <c r="I133" s="194"/>
      <c r="J133" s="194"/>
      <c r="K133" s="194"/>
      <c r="L133" s="194"/>
      <c r="M133" s="194"/>
      <c r="N133" s="194"/>
      <c r="O133" s="195"/>
    </row>
    <row r="134" spans="1:15" ht="16.5" customHeight="1" thickBot="1">
      <c r="A134" s="237" t="s">
        <v>320</v>
      </c>
      <c r="B134" s="214" t="s">
        <v>318</v>
      </c>
      <c r="C134" s="216"/>
      <c r="D134" s="214" t="s">
        <v>310</v>
      </c>
      <c r="E134" s="215"/>
      <c r="F134" s="216"/>
      <c r="G134" s="214" t="s">
        <v>311</v>
      </c>
      <c r="H134" s="215"/>
      <c r="I134" s="216"/>
      <c r="J134" s="214" t="s">
        <v>312</v>
      </c>
      <c r="K134" s="215"/>
      <c r="L134" s="216"/>
      <c r="M134" s="214" t="s">
        <v>313</v>
      </c>
      <c r="N134" s="215"/>
      <c r="O134" s="216"/>
    </row>
    <row r="135" spans="1:15" ht="16.5" customHeight="1" thickBot="1">
      <c r="A135" s="230"/>
      <c r="B135" s="160" t="s">
        <v>308</v>
      </c>
      <c r="C135" s="160" t="s">
        <v>42</v>
      </c>
      <c r="D135" s="124" t="s">
        <v>309</v>
      </c>
      <c r="E135" s="136" t="s">
        <v>40</v>
      </c>
      <c r="F135" s="162" t="s">
        <v>41</v>
      </c>
      <c r="G135" s="124" t="s">
        <v>309</v>
      </c>
      <c r="H135" s="136" t="s">
        <v>40</v>
      </c>
      <c r="I135" s="162" t="s">
        <v>41</v>
      </c>
      <c r="J135" s="124" t="s">
        <v>309</v>
      </c>
      <c r="K135" s="136" t="s">
        <v>40</v>
      </c>
      <c r="L135" s="162" t="s">
        <v>41</v>
      </c>
      <c r="M135" s="124" t="s">
        <v>309</v>
      </c>
      <c r="N135" s="136" t="s">
        <v>40</v>
      </c>
      <c r="O135" s="162" t="s">
        <v>41</v>
      </c>
    </row>
    <row r="136" spans="1:15" ht="16.5" customHeight="1">
      <c r="A136" s="160">
        <v>1</v>
      </c>
      <c r="B136" s="160" t="str">
        <f>TEXT(투자전략!$G$1+0, "[$-ko-KR]yyyy.mm.dd")</f>
        <v>2021.05.01</v>
      </c>
      <c r="C136" s="137">
        <f ca="1">IFERROR(COUNTA(INDIRECT($B136&amp;"!A98:A117")) * INDIRECT($B136&amp;"!B118"), "")</f>
        <v>6000000</v>
      </c>
      <c r="D136" s="145">
        <f ca="1">IFERROR($C136 * (1 + E136), "")</f>
        <v>6107685.9856206654</v>
      </c>
      <c r="E136" s="76">
        <f ca="1">IFERROR(INDIRECT($B136&amp;"!E118"), "")</f>
        <v>1.7947664270110929E-2</v>
      </c>
      <c r="F136" s="144">
        <f ca="1">IFERROR(INDIRECT($B136&amp;"!F118"), "")</f>
        <v>107685.98562066558</v>
      </c>
      <c r="G136" s="145">
        <f ca="1">IFERROR($C136 * (1 + H136), "")</f>
        <v>6041745.7119217347</v>
      </c>
      <c r="H136" s="76">
        <f ca="1">IFERROR(INDIRECT($B136&amp;"!H118"), "")</f>
        <v>6.9576186536225324E-3</v>
      </c>
      <c r="I136" s="144">
        <f ca="1">IFERROR(INDIRECT($B136&amp;"!I118"), "")</f>
        <v>41745.711921735201</v>
      </c>
      <c r="J136" s="145">
        <f ca="1">IFERROR($C136 * (1 + K136), "")</f>
        <v>6120466.3950530048</v>
      </c>
      <c r="K136" s="76">
        <f ca="1">IFERROR(INDIRECT($B136&amp;"!K118"), "")</f>
        <v>2.0077732508834219E-2</v>
      </c>
      <c r="L136" s="144">
        <f ca="1">IFERROR(INDIRECT($B136&amp;"!L118"), "")</f>
        <v>120466.39505300528</v>
      </c>
      <c r="M136" s="145">
        <f ca="1">IFERROR($C136 * (1 + N136), "")</f>
        <v>6067393.3339623362</v>
      </c>
      <c r="N136" s="76">
        <f ca="1">IFERROR(INDIRECT($B136&amp;"!N118"), "")</f>
        <v>1.1232222327055948E-2</v>
      </c>
      <c r="O136" s="144">
        <f ca="1">IFERROR(INDIRECT($B136&amp;"!O118"), "")</f>
        <v>67393.333962335702</v>
      </c>
    </row>
    <row r="137" spans="1:15" ht="16.5" customHeight="1">
      <c r="A137" s="159">
        <v>2</v>
      </c>
      <c r="B137" s="159" t="str">
        <f>TEXT(투자전략!$G$1+1, "[$-ko-KR]yyyy.mm.dd")</f>
        <v>2021.05.02</v>
      </c>
      <c r="C137" s="138">
        <f t="shared" ref="C137:C166" ca="1" si="39">IFERROR(COUNTA(INDIRECT($B137&amp;"!A98:A117")) * INDIRECT($B137&amp;"!B118"), "")</f>
        <v>6000000</v>
      </c>
      <c r="D137" s="142">
        <f t="shared" ref="D137:D166" ca="1" si="40">IFERROR($C137 * (1 + E137), "")</f>
        <v>6011917.9977196138</v>
      </c>
      <c r="E137" s="77">
        <f t="shared" ref="E137:E166" ca="1" si="41">IFERROR(INDIRECT($B137&amp;"!E118"), "")</f>
        <v>1.9863329532690366E-3</v>
      </c>
      <c r="F137" s="140">
        <f t="shared" ref="F137:F166" ca="1" si="42">IFERROR(INDIRECT($B137&amp;"!F118"), "")</f>
        <v>11917.997719614215</v>
      </c>
      <c r="G137" s="142">
        <f t="shared" ref="G137:G166" ca="1" si="43">IFERROR($C137 * (1 + H137), "")</f>
        <v>6019023.1076206733</v>
      </c>
      <c r="H137" s="77">
        <f t="shared" ref="H137:H166" ca="1" si="44">IFERROR(INDIRECT($B137&amp;"!H118"), "")</f>
        <v>3.1705179367788605E-3</v>
      </c>
      <c r="I137" s="140">
        <f t="shared" ref="I137:I166" ca="1" si="45">IFERROR(INDIRECT($B137&amp;"!I118"), "")</f>
        <v>19023.107620673156</v>
      </c>
      <c r="J137" s="142">
        <f t="shared" ref="J137:J166" ca="1" si="46">IFERROR($C137 * (1 + K137), "")</f>
        <v>6044019.6087034903</v>
      </c>
      <c r="K137" s="77">
        <f t="shared" ref="K137:K166" ca="1" si="47">IFERROR(INDIRECT($B137&amp;"!K118"), "")</f>
        <v>7.3366014505818408E-3</v>
      </c>
      <c r="L137" s="140">
        <f t="shared" ref="L137:L166" ca="1" si="48">IFERROR(INDIRECT($B137&amp;"!L118"), "")</f>
        <v>44019.60870349106</v>
      </c>
      <c r="M137" s="142">
        <f t="shared" ref="M137:M166" ca="1" si="49">IFERROR($C137 * (1 + N137), "")</f>
        <v>6076007.4882986527</v>
      </c>
      <c r="N137" s="77">
        <f t="shared" ref="N137:N166" ca="1" si="50">IFERROR(INDIRECT($B137&amp;"!N118"), "")</f>
        <v>1.2667914716442175E-2</v>
      </c>
      <c r="O137" s="140">
        <f t="shared" ref="O137:O166" ca="1" si="51">IFERROR(INDIRECT($B137&amp;"!O118"), "")</f>
        <v>76007.488298653043</v>
      </c>
    </row>
    <row r="138" spans="1:15" ht="16.5" customHeight="1">
      <c r="A138" s="159">
        <v>3</v>
      </c>
      <c r="B138" s="159" t="str">
        <f>TEXT(투자전략!$G$1+2, "[$-ko-KR]yyyy.mm.dd")</f>
        <v>2021.05.03</v>
      </c>
      <c r="C138" s="138">
        <f t="shared" ca="1" si="39"/>
        <v>6000000</v>
      </c>
      <c r="D138" s="142">
        <f t="shared" ca="1" si="40"/>
        <v>6136832.6590279434</v>
      </c>
      <c r="E138" s="77">
        <f t="shared" ca="1" si="41"/>
        <v>2.2805443171323846E-2</v>
      </c>
      <c r="F138" s="140">
        <f t="shared" ca="1" si="42"/>
        <v>136832.65902794307</v>
      </c>
      <c r="G138" s="142">
        <f t="shared" ca="1" si="43"/>
        <v>6334655.8773899311</v>
      </c>
      <c r="H138" s="77">
        <f t="shared" ca="1" si="44"/>
        <v>5.577597956498849E-2</v>
      </c>
      <c r="I138" s="140">
        <f t="shared" ca="1" si="45"/>
        <v>334655.87738993095</v>
      </c>
      <c r="J138" s="142">
        <f t="shared" ca="1" si="46"/>
        <v>6367425.1025107373</v>
      </c>
      <c r="K138" s="77">
        <f t="shared" ca="1" si="47"/>
        <v>6.1237517085122928E-2</v>
      </c>
      <c r="L138" s="140">
        <f t="shared" ca="1" si="48"/>
        <v>367425.10251073749</v>
      </c>
      <c r="M138" s="142">
        <f t="shared" ca="1" si="49"/>
        <v>6270159.0766257513</v>
      </c>
      <c r="N138" s="77">
        <f t="shared" ca="1" si="50"/>
        <v>4.5026512770958503E-2</v>
      </c>
      <c r="O138" s="140">
        <f t="shared" ca="1" si="51"/>
        <v>270159.07662575098</v>
      </c>
    </row>
    <row r="139" spans="1:15" ht="16.5" customHeight="1">
      <c r="A139" s="159">
        <v>4</v>
      </c>
      <c r="B139" s="159" t="str">
        <f>TEXT(투자전략!$G$1+3, "[$-ko-KR]yyyy.mm.dd")</f>
        <v>2021.05.04</v>
      </c>
      <c r="C139" s="138">
        <f t="shared" ca="1" si="39"/>
        <v>6000000</v>
      </c>
      <c r="D139" s="142">
        <f t="shared" ca="1" si="40"/>
        <v>6206369.8758833455</v>
      </c>
      <c r="E139" s="77">
        <f t="shared" ca="1" si="41"/>
        <v>3.4394979313890843E-2</v>
      </c>
      <c r="F139" s="140">
        <f t="shared" ca="1" si="42"/>
        <v>206369.87588334508</v>
      </c>
      <c r="G139" s="142">
        <f t="shared" ca="1" si="43"/>
        <v>6214257.5310626356</v>
      </c>
      <c r="H139" s="77">
        <f t="shared" ca="1" si="44"/>
        <v>3.5709588510439344E-2</v>
      </c>
      <c r="I139" s="140">
        <f t="shared" ca="1" si="45"/>
        <v>214257.53106263612</v>
      </c>
      <c r="J139" s="142">
        <f t="shared" ca="1" si="46"/>
        <v>6259758.5882178135</v>
      </c>
      <c r="K139" s="77">
        <f t="shared" ca="1" si="47"/>
        <v>4.3293098036302172E-2</v>
      </c>
      <c r="L139" s="140">
        <f t="shared" ca="1" si="48"/>
        <v>259758.58821781303</v>
      </c>
      <c r="M139" s="142">
        <f t="shared" ca="1" si="49"/>
        <v>6057219.917349726</v>
      </c>
      <c r="N139" s="77">
        <f t="shared" ca="1" si="50"/>
        <v>9.5366528916209243E-3</v>
      </c>
      <c r="O139" s="140">
        <f t="shared" ca="1" si="51"/>
        <v>57219.917349725554</v>
      </c>
    </row>
    <row r="140" spans="1:15" ht="16.5" customHeight="1">
      <c r="A140" s="159">
        <v>5</v>
      </c>
      <c r="B140" s="159" t="str">
        <f>TEXT(투자전략!$G$1+4, "[$-ko-KR]yyyy.mm.dd")</f>
        <v>2021.05.05</v>
      </c>
      <c r="C140" s="138">
        <f t="shared" ca="1" si="39"/>
        <v>3000000</v>
      </c>
      <c r="D140" s="142">
        <f t="shared" ca="1" si="40"/>
        <v>3129708.5284158271</v>
      </c>
      <c r="E140" s="77">
        <f t="shared" ca="1" si="41"/>
        <v>4.3236176138609084E-2</v>
      </c>
      <c r="F140" s="140">
        <f t="shared" ca="1" si="42"/>
        <v>129708.52841582726</v>
      </c>
      <c r="G140" s="142">
        <f t="shared" ca="1" si="43"/>
        <v>3104189.9793890109</v>
      </c>
      <c r="H140" s="77">
        <f t="shared" ca="1" si="44"/>
        <v>3.4729993129670386E-2</v>
      </c>
      <c r="I140" s="140">
        <f t="shared" ca="1" si="45"/>
        <v>104189.97938901116</v>
      </c>
      <c r="J140" s="142">
        <f t="shared" ca="1" si="46"/>
        <v>3121031.4371483638</v>
      </c>
      <c r="K140" s="77">
        <f t="shared" ca="1" si="47"/>
        <v>4.0343812382787843E-2</v>
      </c>
      <c r="L140" s="140">
        <f t="shared" ca="1" si="48"/>
        <v>121031.43714836352</v>
      </c>
      <c r="M140" s="142">
        <f t="shared" ca="1" si="49"/>
        <v>3155510.8417207999</v>
      </c>
      <c r="N140" s="77">
        <f t="shared" ca="1" si="50"/>
        <v>5.1836947240266676E-2</v>
      </c>
      <c r="O140" s="140">
        <f t="shared" ca="1" si="51"/>
        <v>155510.84172079997</v>
      </c>
    </row>
    <row r="141" spans="1:15" ht="16.5" customHeight="1">
      <c r="A141" s="159">
        <v>6</v>
      </c>
      <c r="B141" s="159" t="str">
        <f>TEXT(투자전략!$G$1+5, "[$-ko-KR]yyyy.mm.dd")</f>
        <v>2021.05.06</v>
      </c>
      <c r="C141" s="138">
        <f t="shared" ca="1" si="39"/>
        <v>3000000</v>
      </c>
      <c r="D141" s="142">
        <f t="shared" ca="1" si="40"/>
        <v>3254274.7379167019</v>
      </c>
      <c r="E141" s="77">
        <f t="shared" ca="1" si="41"/>
        <v>8.4758245972233914E-2</v>
      </c>
      <c r="F141" s="140">
        <f t="shared" ca="1" si="42"/>
        <v>254274.73791670171</v>
      </c>
      <c r="G141" s="142">
        <f t="shared" ca="1" si="43"/>
        <v>3224069.4838745319</v>
      </c>
      <c r="H141" s="77">
        <f t="shared" ca="1" si="44"/>
        <v>7.4689827958177288E-2</v>
      </c>
      <c r="I141" s="140">
        <f t="shared" ca="1" si="45"/>
        <v>224069.48387453187</v>
      </c>
      <c r="J141" s="142">
        <f t="shared" ca="1" si="46"/>
        <v>3295827.6850731974</v>
      </c>
      <c r="K141" s="77">
        <f t="shared" ca="1" si="47"/>
        <v>9.8609228357732406E-2</v>
      </c>
      <c r="L141" s="140">
        <f t="shared" ca="1" si="48"/>
        <v>295827.68507319718</v>
      </c>
      <c r="M141" s="142">
        <f t="shared" ca="1" si="49"/>
        <v>3348323.467334698</v>
      </c>
      <c r="N141" s="77">
        <f t="shared" ca="1" si="50"/>
        <v>0.11610782244489937</v>
      </c>
      <c r="O141" s="140">
        <f t="shared" ca="1" si="51"/>
        <v>348323.46733469807</v>
      </c>
    </row>
    <row r="142" spans="1:15" ht="16.5" customHeight="1" thickBot="1">
      <c r="A142" s="161">
        <v>7</v>
      </c>
      <c r="B142" s="161" t="str">
        <f>TEXT(투자전략!$G$1+6, "[$-ko-KR]yyyy.mm.dd")</f>
        <v>2021.05.07</v>
      </c>
      <c r="C142" s="138">
        <f t="shared" ca="1" si="39"/>
        <v>3000000</v>
      </c>
      <c r="D142" s="142">
        <f t="shared" ca="1" si="40"/>
        <v>3139394.5491867843</v>
      </c>
      <c r="E142" s="77">
        <f t="shared" ca="1" si="41"/>
        <v>4.6464849728928163E-2</v>
      </c>
      <c r="F142" s="140">
        <f t="shared" ca="1" si="42"/>
        <v>139394.54918678451</v>
      </c>
      <c r="G142" s="142">
        <f t="shared" ca="1" si="43"/>
        <v>3249695.91004832</v>
      </c>
      <c r="H142" s="77">
        <f t="shared" ca="1" si="44"/>
        <v>8.3231970016106507E-2</v>
      </c>
      <c r="I142" s="140">
        <f t="shared" ca="1" si="45"/>
        <v>249695.91004831955</v>
      </c>
      <c r="J142" s="142">
        <f t="shared" ca="1" si="46"/>
        <v>3304484.0968257068</v>
      </c>
      <c r="K142" s="77">
        <f t="shared" ca="1" si="47"/>
        <v>0.10149469894190226</v>
      </c>
      <c r="L142" s="140">
        <f t="shared" ca="1" si="48"/>
        <v>304484.09682570671</v>
      </c>
      <c r="M142" s="142">
        <f t="shared" ca="1" si="49"/>
        <v>3000000</v>
      </c>
      <c r="N142" s="77">
        <f t="shared" ca="1" si="50"/>
        <v>0</v>
      </c>
      <c r="O142" s="140">
        <f t="shared" ca="1" si="51"/>
        <v>0</v>
      </c>
    </row>
    <row r="143" spans="1:15" ht="16.5" customHeight="1">
      <c r="A143" s="160">
        <v>8</v>
      </c>
      <c r="B143" s="160" t="str">
        <f>TEXT(투자전략!$G$1+7, "[$-ko-KR]yyyy.mm.dd")</f>
        <v>2021.05.08</v>
      </c>
      <c r="C143" s="137" t="str">
        <f t="shared" ca="1" si="39"/>
        <v/>
      </c>
      <c r="D143" s="145" t="str">
        <f t="shared" ca="1" si="40"/>
        <v/>
      </c>
      <c r="E143" s="76" t="str">
        <f t="shared" ca="1" si="41"/>
        <v/>
      </c>
      <c r="F143" s="144" t="str">
        <f t="shared" ca="1" si="42"/>
        <v/>
      </c>
      <c r="G143" s="145" t="str">
        <f t="shared" ca="1" si="43"/>
        <v/>
      </c>
      <c r="H143" s="76" t="str">
        <f t="shared" ca="1" si="44"/>
        <v/>
      </c>
      <c r="I143" s="144" t="str">
        <f t="shared" ca="1" si="45"/>
        <v/>
      </c>
      <c r="J143" s="145" t="str">
        <f t="shared" ca="1" si="46"/>
        <v/>
      </c>
      <c r="K143" s="76" t="str">
        <f t="shared" ca="1" si="47"/>
        <v/>
      </c>
      <c r="L143" s="144" t="str">
        <f t="shared" ca="1" si="48"/>
        <v/>
      </c>
      <c r="M143" s="145" t="str">
        <f t="shared" ca="1" si="49"/>
        <v/>
      </c>
      <c r="N143" s="76" t="str">
        <f t="shared" ca="1" si="50"/>
        <v/>
      </c>
      <c r="O143" s="144" t="str">
        <f t="shared" ca="1" si="51"/>
        <v/>
      </c>
    </row>
    <row r="144" spans="1:15" ht="16.5" customHeight="1">
      <c r="A144" s="159">
        <v>9</v>
      </c>
      <c r="B144" s="159" t="str">
        <f>TEXT(투자전략!$G$1+8, "[$-ko-KR]yyyy.mm.dd")</f>
        <v>2021.05.09</v>
      </c>
      <c r="C144" s="138" t="str">
        <f t="shared" ca="1" si="39"/>
        <v/>
      </c>
      <c r="D144" s="142" t="str">
        <f t="shared" ca="1" si="40"/>
        <v/>
      </c>
      <c r="E144" s="77" t="str">
        <f t="shared" ca="1" si="41"/>
        <v/>
      </c>
      <c r="F144" s="140" t="str">
        <f t="shared" ca="1" si="42"/>
        <v/>
      </c>
      <c r="G144" s="142" t="str">
        <f t="shared" ca="1" si="43"/>
        <v/>
      </c>
      <c r="H144" s="77" t="str">
        <f t="shared" ca="1" si="44"/>
        <v/>
      </c>
      <c r="I144" s="140" t="str">
        <f t="shared" ca="1" si="45"/>
        <v/>
      </c>
      <c r="J144" s="142" t="str">
        <f t="shared" ca="1" si="46"/>
        <v/>
      </c>
      <c r="K144" s="77" t="str">
        <f t="shared" ca="1" si="47"/>
        <v/>
      </c>
      <c r="L144" s="140" t="str">
        <f t="shared" ca="1" si="48"/>
        <v/>
      </c>
      <c r="M144" s="142" t="str">
        <f t="shared" ca="1" si="49"/>
        <v/>
      </c>
      <c r="N144" s="77" t="str">
        <f t="shared" ca="1" si="50"/>
        <v/>
      </c>
      <c r="O144" s="140" t="str">
        <f t="shared" ca="1" si="51"/>
        <v/>
      </c>
    </row>
    <row r="145" spans="1:15" ht="16.5" customHeight="1">
      <c r="A145" s="159">
        <v>10</v>
      </c>
      <c r="B145" s="159" t="str">
        <f>TEXT(투자전략!$G$1+9, "[$-ko-KR]yyyy.mm.dd")</f>
        <v>2021.05.10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 ht="16.5" customHeight="1">
      <c r="A146" s="159">
        <v>11</v>
      </c>
      <c r="B146" s="159" t="str">
        <f>TEXT(투자전략!$G$1+10, "[$-ko-KR]yyyy.mm.dd")</f>
        <v>2021.05.11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 ht="16.5" customHeight="1">
      <c r="A147" s="159">
        <v>12</v>
      </c>
      <c r="B147" s="159" t="str">
        <f>TEXT(투자전략!$G$1+11, "[$-ko-KR]yyyy.mm.dd")</f>
        <v>2021.05.12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 ht="16.5" customHeight="1">
      <c r="A148" s="159">
        <v>13</v>
      </c>
      <c r="B148" s="159" t="str">
        <f>TEXT(투자전략!$G$1+12, "[$-ko-KR]yyyy.mm.dd")</f>
        <v>2021.05.13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 ht="16.5" customHeight="1" thickBot="1">
      <c r="A149" s="161">
        <v>14</v>
      </c>
      <c r="B149" s="161" t="str">
        <f>TEXT(투자전략!$G$1+13, "[$-ko-KR]yyyy.mm.dd")</f>
        <v>2021.05.14</v>
      </c>
      <c r="C149" s="139" t="str">
        <f t="shared" ca="1" si="39"/>
        <v/>
      </c>
      <c r="D149" s="143" t="str">
        <f t="shared" ca="1" si="40"/>
        <v/>
      </c>
      <c r="E149" s="79" t="str">
        <f t="shared" ca="1" si="41"/>
        <v/>
      </c>
      <c r="F149" s="141" t="str">
        <f t="shared" ca="1" si="42"/>
        <v/>
      </c>
      <c r="G149" s="143" t="str">
        <f t="shared" ca="1" si="43"/>
        <v/>
      </c>
      <c r="H149" s="79" t="str">
        <f t="shared" ca="1" si="44"/>
        <v/>
      </c>
      <c r="I149" s="141" t="str">
        <f t="shared" ca="1" si="45"/>
        <v/>
      </c>
      <c r="J149" s="143" t="str">
        <f t="shared" ca="1" si="46"/>
        <v/>
      </c>
      <c r="K149" s="79" t="str">
        <f t="shared" ca="1" si="47"/>
        <v/>
      </c>
      <c r="L149" s="141" t="str">
        <f t="shared" ca="1" si="48"/>
        <v/>
      </c>
      <c r="M149" s="143" t="str">
        <f t="shared" ca="1" si="49"/>
        <v/>
      </c>
      <c r="N149" s="79" t="str">
        <f t="shared" ca="1" si="50"/>
        <v/>
      </c>
      <c r="O149" s="141" t="str">
        <f t="shared" ca="1" si="51"/>
        <v/>
      </c>
    </row>
    <row r="150" spans="1:15" ht="16.5" customHeight="1">
      <c r="A150" s="160">
        <v>15</v>
      </c>
      <c r="B150" s="160" t="str">
        <f>TEXT(투자전략!$G$1+14, "[$-ko-KR]yyyy.mm.dd")</f>
        <v>2021.05.15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6.5" customHeight="1">
      <c r="A151" s="159">
        <v>16</v>
      </c>
      <c r="B151" s="159" t="str">
        <f>TEXT(투자전략!$G$1+15, "[$-ko-KR]yyyy.mm.dd")</f>
        <v>2021.05.16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 ht="16.5" customHeight="1">
      <c r="A152" s="159">
        <v>17</v>
      </c>
      <c r="B152" s="159" t="str">
        <f>TEXT(투자전략!$G$1+16, "[$-ko-KR]yyyy.mm.dd")</f>
        <v>2021.05.17</v>
      </c>
      <c r="C152" s="138" t="str">
        <f t="shared" ca="1" si="39"/>
        <v/>
      </c>
      <c r="D152" s="142" t="str">
        <f t="shared" ca="1" si="40"/>
        <v/>
      </c>
      <c r="E152" s="77" t="str">
        <f t="shared" ca="1" si="41"/>
        <v/>
      </c>
      <c r="F152" s="140" t="str">
        <f t="shared" ca="1" si="42"/>
        <v/>
      </c>
      <c r="G152" s="142" t="str">
        <f t="shared" ca="1" si="43"/>
        <v/>
      </c>
      <c r="H152" s="77" t="str">
        <f t="shared" ca="1" si="44"/>
        <v/>
      </c>
      <c r="I152" s="140" t="str">
        <f t="shared" ca="1" si="45"/>
        <v/>
      </c>
      <c r="J152" s="142" t="str">
        <f t="shared" ca="1" si="46"/>
        <v/>
      </c>
      <c r="K152" s="77" t="str">
        <f t="shared" ca="1" si="47"/>
        <v/>
      </c>
      <c r="L152" s="140" t="str">
        <f t="shared" ca="1" si="48"/>
        <v/>
      </c>
      <c r="M152" s="142" t="str">
        <f t="shared" ca="1" si="49"/>
        <v/>
      </c>
      <c r="N152" s="77" t="str">
        <f t="shared" ca="1" si="50"/>
        <v/>
      </c>
      <c r="O152" s="140" t="str">
        <f t="shared" ca="1" si="51"/>
        <v/>
      </c>
    </row>
    <row r="153" spans="1:15" ht="16.5" customHeight="1">
      <c r="A153" s="159">
        <v>18</v>
      </c>
      <c r="B153" s="159" t="str">
        <f>TEXT(투자전략!$G$1+17, "[$-ko-KR]yyyy.mm.dd")</f>
        <v>2021.05.18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 ht="16.5" customHeight="1">
      <c r="A154" s="159">
        <v>19</v>
      </c>
      <c r="B154" s="159" t="str">
        <f>TEXT(투자전략!$G$1+18, "[$-ko-KR]yyyy.mm.dd")</f>
        <v>2021.05.19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 ht="16.5" customHeight="1">
      <c r="A155" s="159">
        <v>20</v>
      </c>
      <c r="B155" s="159" t="str">
        <f>TEXT(투자전략!$G$1+19, "[$-ko-KR]yyyy.mm.dd")</f>
        <v>2021.05.20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 ht="16.5" customHeight="1" thickBot="1">
      <c r="A156" s="161">
        <v>21</v>
      </c>
      <c r="B156" s="161" t="str">
        <f>TEXT(투자전략!$G$1+20, "[$-ko-KR]yyyy.mm.dd")</f>
        <v>2021.05.21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 ht="16.5" customHeight="1">
      <c r="A157" s="160">
        <v>22</v>
      </c>
      <c r="B157" s="160" t="str">
        <f>TEXT(투자전략!$G$1+21, "[$-ko-KR]yyyy.mm.dd")</f>
        <v>2021.05.22</v>
      </c>
      <c r="C157" s="137" t="str">
        <f t="shared" ca="1" si="39"/>
        <v/>
      </c>
      <c r="D157" s="145" t="str">
        <f t="shared" ca="1" si="40"/>
        <v/>
      </c>
      <c r="E157" s="76" t="str">
        <f t="shared" ca="1" si="41"/>
        <v/>
      </c>
      <c r="F157" s="144" t="str">
        <f t="shared" ca="1" si="42"/>
        <v/>
      </c>
      <c r="G157" s="145" t="str">
        <f t="shared" ca="1" si="43"/>
        <v/>
      </c>
      <c r="H157" s="76" t="str">
        <f t="shared" ca="1" si="44"/>
        <v/>
      </c>
      <c r="I157" s="144" t="str">
        <f t="shared" ca="1" si="45"/>
        <v/>
      </c>
      <c r="J157" s="145" t="str">
        <f t="shared" ca="1" si="46"/>
        <v/>
      </c>
      <c r="K157" s="76" t="str">
        <f t="shared" ca="1" si="47"/>
        <v/>
      </c>
      <c r="L157" s="144" t="str">
        <f t="shared" ca="1" si="48"/>
        <v/>
      </c>
      <c r="M157" s="145" t="str">
        <f t="shared" ca="1" si="49"/>
        <v/>
      </c>
      <c r="N157" s="76" t="str">
        <f t="shared" ca="1" si="50"/>
        <v/>
      </c>
      <c r="O157" s="144" t="str">
        <f t="shared" ca="1" si="51"/>
        <v/>
      </c>
    </row>
    <row r="158" spans="1:15" ht="16.5" customHeight="1">
      <c r="A158" s="159">
        <v>23</v>
      </c>
      <c r="B158" s="159" t="str">
        <f>TEXT(투자전략!$G$1+22, "[$-ko-KR]yyyy.mm.dd")</f>
        <v>2021.05.23</v>
      </c>
      <c r="C158" s="138" t="str">
        <f t="shared" ca="1" si="39"/>
        <v/>
      </c>
      <c r="D158" s="142" t="str">
        <f t="shared" ca="1" si="40"/>
        <v/>
      </c>
      <c r="E158" s="77" t="str">
        <f t="shared" ca="1" si="41"/>
        <v/>
      </c>
      <c r="F158" s="140" t="str">
        <f t="shared" ca="1" si="42"/>
        <v/>
      </c>
      <c r="G158" s="142" t="str">
        <f t="shared" ca="1" si="43"/>
        <v/>
      </c>
      <c r="H158" s="77" t="str">
        <f t="shared" ca="1" si="44"/>
        <v/>
      </c>
      <c r="I158" s="140" t="str">
        <f t="shared" ca="1" si="45"/>
        <v/>
      </c>
      <c r="J158" s="142" t="str">
        <f t="shared" ca="1" si="46"/>
        <v/>
      </c>
      <c r="K158" s="77" t="str">
        <f t="shared" ca="1" si="47"/>
        <v/>
      </c>
      <c r="L158" s="140" t="str">
        <f t="shared" ca="1" si="48"/>
        <v/>
      </c>
      <c r="M158" s="142" t="str">
        <f t="shared" ca="1" si="49"/>
        <v/>
      </c>
      <c r="N158" s="77" t="str">
        <f t="shared" ca="1" si="50"/>
        <v/>
      </c>
      <c r="O158" s="140" t="str">
        <f t="shared" ca="1" si="51"/>
        <v/>
      </c>
    </row>
    <row r="159" spans="1:15" ht="16.5" customHeight="1">
      <c r="A159" s="159">
        <v>24</v>
      </c>
      <c r="B159" s="159" t="str">
        <f>TEXT(투자전략!$G$1+23, "[$-ko-KR]yyyy.mm.dd")</f>
        <v>2021.05.24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 ht="16.5" customHeight="1">
      <c r="A160" s="159">
        <v>25</v>
      </c>
      <c r="B160" s="159" t="str">
        <f>TEXT(투자전략!$G$1+24, "[$-ko-KR]yyyy.mm.dd")</f>
        <v>2021.05.25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6.5" customHeight="1">
      <c r="A161" s="159">
        <v>26</v>
      </c>
      <c r="B161" s="159" t="str">
        <f>TEXT(투자전략!$G$1+25, "[$-ko-KR]yyyy.mm.dd")</f>
        <v>2021.05.26</v>
      </c>
      <c r="C161" s="138" t="str">
        <f t="shared" ca="1" si="39"/>
        <v/>
      </c>
      <c r="D161" s="142" t="str">
        <f t="shared" ca="1" si="40"/>
        <v/>
      </c>
      <c r="E161" s="77" t="str">
        <f t="shared" ca="1" si="41"/>
        <v/>
      </c>
      <c r="F161" s="140" t="str">
        <f t="shared" ca="1" si="42"/>
        <v/>
      </c>
      <c r="G161" s="142" t="str">
        <f t="shared" ca="1" si="43"/>
        <v/>
      </c>
      <c r="H161" s="77" t="str">
        <f t="shared" ca="1" si="44"/>
        <v/>
      </c>
      <c r="I161" s="140" t="str">
        <f t="shared" ca="1" si="45"/>
        <v/>
      </c>
      <c r="J161" s="142" t="str">
        <f t="shared" ca="1" si="46"/>
        <v/>
      </c>
      <c r="K161" s="77" t="str">
        <f t="shared" ca="1" si="47"/>
        <v/>
      </c>
      <c r="L161" s="140" t="str">
        <f t="shared" ca="1" si="48"/>
        <v/>
      </c>
      <c r="M161" s="142" t="str">
        <f t="shared" ca="1" si="49"/>
        <v/>
      </c>
      <c r="N161" s="77" t="str">
        <f t="shared" ca="1" si="50"/>
        <v/>
      </c>
      <c r="O161" s="140" t="str">
        <f t="shared" ca="1" si="51"/>
        <v/>
      </c>
    </row>
    <row r="162" spans="1:15" ht="16.5" customHeight="1">
      <c r="A162" s="159">
        <v>27</v>
      </c>
      <c r="B162" s="159" t="str">
        <f>TEXT(투자전략!$G$1+26, "[$-ko-KR]yyyy.mm.dd")</f>
        <v>2021.05.27</v>
      </c>
      <c r="C162" s="138" t="str">
        <f t="shared" ca="1" si="39"/>
        <v/>
      </c>
      <c r="D162" s="142" t="str">
        <f t="shared" ca="1" si="40"/>
        <v/>
      </c>
      <c r="E162" s="77" t="str">
        <f t="shared" ca="1" si="41"/>
        <v/>
      </c>
      <c r="F162" s="140" t="str">
        <f t="shared" ca="1" si="42"/>
        <v/>
      </c>
      <c r="G162" s="142" t="str">
        <f t="shared" ca="1" si="43"/>
        <v/>
      </c>
      <c r="H162" s="77" t="str">
        <f t="shared" ca="1" si="44"/>
        <v/>
      </c>
      <c r="I162" s="140" t="str">
        <f t="shared" ca="1" si="45"/>
        <v/>
      </c>
      <c r="J162" s="142" t="str">
        <f t="shared" ca="1" si="46"/>
        <v/>
      </c>
      <c r="K162" s="77" t="str">
        <f t="shared" ca="1" si="47"/>
        <v/>
      </c>
      <c r="L162" s="140" t="str">
        <f t="shared" ca="1" si="48"/>
        <v/>
      </c>
      <c r="M162" s="142" t="str">
        <f t="shared" ca="1" si="49"/>
        <v/>
      </c>
      <c r="N162" s="77" t="str">
        <f t="shared" ca="1" si="50"/>
        <v/>
      </c>
      <c r="O162" s="140" t="str">
        <f t="shared" ca="1" si="51"/>
        <v/>
      </c>
    </row>
    <row r="163" spans="1:15" ht="16.5" customHeight="1" thickBot="1">
      <c r="A163" s="161">
        <v>28</v>
      </c>
      <c r="B163" s="161" t="str">
        <f>TEXT(투자전략!$G$1+27, "[$-ko-KR]yyyy.mm.dd")</f>
        <v>2021.05.28</v>
      </c>
      <c r="C163" s="139" t="str">
        <f t="shared" ca="1" si="39"/>
        <v/>
      </c>
      <c r="D163" s="143" t="str">
        <f t="shared" ca="1" si="40"/>
        <v/>
      </c>
      <c r="E163" s="79" t="str">
        <f t="shared" ca="1" si="41"/>
        <v/>
      </c>
      <c r="F163" s="141" t="str">
        <f t="shared" ca="1" si="42"/>
        <v/>
      </c>
      <c r="G163" s="143" t="str">
        <f t="shared" ca="1" si="43"/>
        <v/>
      </c>
      <c r="H163" s="79" t="str">
        <f t="shared" ca="1" si="44"/>
        <v/>
      </c>
      <c r="I163" s="141" t="str">
        <f t="shared" ca="1" si="45"/>
        <v/>
      </c>
      <c r="J163" s="143" t="str">
        <f t="shared" ca="1" si="46"/>
        <v/>
      </c>
      <c r="K163" s="79" t="str">
        <f t="shared" ca="1" si="47"/>
        <v/>
      </c>
      <c r="L163" s="141" t="str">
        <f t="shared" ca="1" si="48"/>
        <v/>
      </c>
      <c r="M163" s="143" t="str">
        <f t="shared" ca="1" si="49"/>
        <v/>
      </c>
      <c r="N163" s="79" t="str">
        <f t="shared" ca="1" si="50"/>
        <v/>
      </c>
      <c r="O163" s="141" t="str">
        <f t="shared" ca="1" si="51"/>
        <v/>
      </c>
    </row>
    <row r="164" spans="1:15" ht="16.5" customHeight="1">
      <c r="A164" s="124">
        <v>29</v>
      </c>
      <c r="B164" s="160" t="str">
        <f>TEXT(투자전략!$G$1+28, "[$-ko-KR]yyyy.mm.dd")</f>
        <v>2021.05.29</v>
      </c>
      <c r="C164" s="138" t="str">
        <f t="shared" ca="1" si="39"/>
        <v/>
      </c>
      <c r="D164" s="142" t="str">
        <f t="shared" ca="1" si="40"/>
        <v/>
      </c>
      <c r="E164" s="77" t="str">
        <f t="shared" ca="1" si="41"/>
        <v/>
      </c>
      <c r="F164" s="140" t="str">
        <f t="shared" ca="1" si="42"/>
        <v/>
      </c>
      <c r="G164" s="142" t="str">
        <f t="shared" ca="1" si="43"/>
        <v/>
      </c>
      <c r="H164" s="77" t="str">
        <f t="shared" ca="1" si="44"/>
        <v/>
      </c>
      <c r="I164" s="140" t="str">
        <f t="shared" ca="1" si="45"/>
        <v/>
      </c>
      <c r="J164" s="142" t="str">
        <f t="shared" ca="1" si="46"/>
        <v/>
      </c>
      <c r="K164" s="77" t="str">
        <f t="shared" ca="1" si="47"/>
        <v/>
      </c>
      <c r="L164" s="140" t="str">
        <f t="shared" ca="1" si="48"/>
        <v/>
      </c>
      <c r="M164" s="142" t="str">
        <f t="shared" ca="1" si="49"/>
        <v/>
      </c>
      <c r="N164" s="77" t="str">
        <f t="shared" ca="1" si="50"/>
        <v/>
      </c>
      <c r="O164" s="140" t="str">
        <f t="shared" ca="1" si="51"/>
        <v/>
      </c>
    </row>
    <row r="165" spans="1:15" ht="16.5" customHeight="1">
      <c r="A165" s="124">
        <v>30</v>
      </c>
      <c r="B165" s="159" t="str">
        <f>TEXT(투자전략!$G$1+29, "[$-ko-KR]yyyy.mm.dd")</f>
        <v>2021.05.30</v>
      </c>
      <c r="C165" s="138" t="str">
        <f t="shared" ca="1" si="39"/>
        <v/>
      </c>
      <c r="D165" s="142" t="str">
        <f t="shared" ca="1" si="40"/>
        <v/>
      </c>
      <c r="E165" s="77" t="str">
        <f t="shared" ca="1" si="41"/>
        <v/>
      </c>
      <c r="F165" s="140" t="str">
        <f t="shared" ca="1" si="42"/>
        <v/>
      </c>
      <c r="G165" s="142" t="str">
        <f t="shared" ca="1" si="43"/>
        <v/>
      </c>
      <c r="H165" s="77" t="str">
        <f t="shared" ca="1" si="44"/>
        <v/>
      </c>
      <c r="I165" s="140" t="str">
        <f t="shared" ca="1" si="45"/>
        <v/>
      </c>
      <c r="J165" s="142" t="str">
        <f t="shared" ca="1" si="46"/>
        <v/>
      </c>
      <c r="K165" s="77" t="str">
        <f t="shared" ca="1" si="47"/>
        <v/>
      </c>
      <c r="L165" s="140" t="str">
        <f t="shared" ca="1" si="48"/>
        <v/>
      </c>
      <c r="M165" s="142" t="str">
        <f t="shared" ca="1" si="49"/>
        <v/>
      </c>
      <c r="N165" s="77" t="str">
        <f t="shared" ca="1" si="50"/>
        <v/>
      </c>
      <c r="O165" s="140" t="str">
        <f t="shared" ca="1" si="51"/>
        <v/>
      </c>
    </row>
    <row r="166" spans="1:15" ht="16.5" customHeight="1" thickBot="1">
      <c r="A166" s="124">
        <v>31</v>
      </c>
      <c r="B166" s="159" t="str">
        <f>TEXT(투자전략!$G$1+30, "[$-ko-KR]yyyy.mm.dd")</f>
        <v>2021.05.31</v>
      </c>
      <c r="C166" s="139" t="str">
        <f t="shared" ca="1" si="39"/>
        <v/>
      </c>
      <c r="D166" s="143" t="str">
        <f t="shared" ca="1" si="40"/>
        <v/>
      </c>
      <c r="E166" s="79" t="str">
        <f t="shared" ca="1" si="41"/>
        <v/>
      </c>
      <c r="F166" s="141" t="str">
        <f t="shared" ca="1" si="42"/>
        <v/>
      </c>
      <c r="G166" s="143" t="str">
        <f t="shared" ca="1" si="43"/>
        <v/>
      </c>
      <c r="H166" s="79" t="str">
        <f t="shared" ca="1" si="44"/>
        <v/>
      </c>
      <c r="I166" s="141" t="str">
        <f t="shared" ca="1" si="45"/>
        <v/>
      </c>
      <c r="J166" s="143" t="str">
        <f t="shared" ca="1" si="46"/>
        <v/>
      </c>
      <c r="K166" s="79" t="str">
        <f t="shared" ca="1" si="47"/>
        <v/>
      </c>
      <c r="L166" s="141" t="str">
        <f t="shared" ca="1" si="48"/>
        <v/>
      </c>
      <c r="M166" s="143" t="str">
        <f t="shared" ca="1" si="49"/>
        <v/>
      </c>
      <c r="N166" s="79" t="str">
        <f t="shared" ca="1" si="50"/>
        <v/>
      </c>
      <c r="O166" s="141" t="str">
        <f t="shared" ca="1" si="51"/>
        <v/>
      </c>
    </row>
    <row r="167" spans="1:15" ht="16.5" customHeight="1" thickBot="1">
      <c r="A167" s="221" t="s">
        <v>319</v>
      </c>
      <c r="B167" s="223"/>
      <c r="C167" s="135" t="s">
        <v>314</v>
      </c>
      <c r="D167" s="153" t="s">
        <v>315</v>
      </c>
      <c r="E167" s="154" t="s">
        <v>316</v>
      </c>
      <c r="F167" s="155" t="s">
        <v>317</v>
      </c>
      <c r="G167" s="153" t="s">
        <v>315</v>
      </c>
      <c r="H167" s="154" t="s">
        <v>316</v>
      </c>
      <c r="I167" s="155" t="s">
        <v>317</v>
      </c>
      <c r="J167" s="153" t="s">
        <v>315</v>
      </c>
      <c r="K167" s="154" t="s">
        <v>316</v>
      </c>
      <c r="L167" s="155" t="s">
        <v>317</v>
      </c>
      <c r="M167" s="153" t="s">
        <v>315</v>
      </c>
      <c r="N167" s="154" t="s">
        <v>316</v>
      </c>
      <c r="O167" s="155" t="s">
        <v>317</v>
      </c>
    </row>
    <row r="168" spans="1:15" ht="16.5" customHeight="1" thickBot="1">
      <c r="A168" s="214"/>
      <c r="B168" s="216"/>
      <c r="C168" s="139">
        <f ca="1">SUM(C136:C166)</f>
        <v>33000000</v>
      </c>
      <c r="D168" s="143">
        <f ca="1">SUM(D136:D166)</f>
        <v>33986184.333770871</v>
      </c>
      <c r="E168" s="79">
        <f ca="1">IFERROR(F168 / (SUM($C136:$C166) / COUNT($C136:$C166)), 0)</f>
        <v>0.20919061625442939</v>
      </c>
      <c r="F168" s="141">
        <f ca="1">SUM(F136:F166)</f>
        <v>986184.33377088141</v>
      </c>
      <c r="G168" s="143">
        <f ca="1">SUM(G136:G166)</f>
        <v>34187637.601306841</v>
      </c>
      <c r="H168" s="79">
        <f ca="1">IFERROR(I168 / (SUM($C136:$C166) / COUNT($C136:$C166)), 0)</f>
        <v>0.25192312754993529</v>
      </c>
      <c r="I168" s="141">
        <f ca="1">SUM(I136:I166)</f>
        <v>1187637.601306838</v>
      </c>
      <c r="J168" s="143">
        <f ca="1">SUM(J136:J166)</f>
        <v>34513012.913532309</v>
      </c>
      <c r="K168" s="79">
        <f ca="1">IFERROR(L168 / (SUM($C136:$C166) / COUNT($C136:$C166)), 0)</f>
        <v>0.32094213317352122</v>
      </c>
      <c r="L168" s="141">
        <f ca="1">SUM(L136:L166)</f>
        <v>1513012.9135323144</v>
      </c>
      <c r="M168" s="143">
        <f ca="1">SUM(M136:M166)</f>
        <v>33974614.125291966</v>
      </c>
      <c r="N168" s="79">
        <f ca="1">IFERROR(O168 / (SUM($C136:$C166) / COUNT($C136:$C166)), 0)</f>
        <v>0.20673632960738614</v>
      </c>
      <c r="O168" s="141">
        <f ca="1">SUM(O136:O166)</f>
        <v>974614.12529196334</v>
      </c>
    </row>
    <row r="170" spans="1:15" ht="16.5" customHeight="1" thickBot="1"/>
    <row r="171" spans="1:15" ht="16.5" customHeight="1" thickBot="1">
      <c r="A171" s="193" t="str">
        <f>TEXT(투자전략!$G$1, "[$-ko-KR]yyyy년 mm월 ") &amp; "[엽전코인] 전일대비 상승률 Bottom20 월말결산"</f>
        <v>2021년 05월 [엽전코인] 전일대비 상승률 Bottom20 월말결산</v>
      </c>
      <c r="B171" s="194"/>
      <c r="C171" s="194"/>
      <c r="D171" s="194"/>
      <c r="E171" s="194"/>
      <c r="F171" s="194"/>
      <c r="G171" s="194"/>
      <c r="H171" s="194"/>
      <c r="I171" s="194"/>
      <c r="J171" s="194"/>
      <c r="K171" s="194"/>
      <c r="L171" s="194"/>
      <c r="M171" s="194"/>
      <c r="N171" s="194"/>
      <c r="O171" s="195"/>
    </row>
    <row r="172" spans="1:15" ht="16.5" customHeight="1" thickBot="1">
      <c r="A172" s="237" t="s">
        <v>320</v>
      </c>
      <c r="B172" s="214" t="s">
        <v>318</v>
      </c>
      <c r="C172" s="216"/>
      <c r="D172" s="214" t="s">
        <v>310</v>
      </c>
      <c r="E172" s="215"/>
      <c r="F172" s="216"/>
      <c r="G172" s="214" t="s">
        <v>311</v>
      </c>
      <c r="H172" s="215"/>
      <c r="I172" s="216"/>
      <c r="J172" s="214" t="s">
        <v>312</v>
      </c>
      <c r="K172" s="215"/>
      <c r="L172" s="216"/>
      <c r="M172" s="214" t="s">
        <v>313</v>
      </c>
      <c r="N172" s="215"/>
      <c r="O172" s="216"/>
    </row>
    <row r="173" spans="1:15" ht="16.5" customHeight="1" thickBot="1">
      <c r="A173" s="230"/>
      <c r="B173" s="160" t="s">
        <v>308</v>
      </c>
      <c r="C173" s="160" t="s">
        <v>42</v>
      </c>
      <c r="D173" s="124" t="s">
        <v>309</v>
      </c>
      <c r="E173" s="136" t="s">
        <v>40</v>
      </c>
      <c r="F173" s="162" t="s">
        <v>41</v>
      </c>
      <c r="G173" s="124" t="s">
        <v>309</v>
      </c>
      <c r="H173" s="136" t="s">
        <v>40</v>
      </c>
      <c r="I173" s="162" t="s">
        <v>41</v>
      </c>
      <c r="J173" s="124" t="s">
        <v>309</v>
      </c>
      <c r="K173" s="136" t="s">
        <v>40</v>
      </c>
      <c r="L173" s="162" t="s">
        <v>41</v>
      </c>
      <c r="M173" s="124" t="s">
        <v>309</v>
      </c>
      <c r="N173" s="136" t="s">
        <v>40</v>
      </c>
      <c r="O173" s="162" t="s">
        <v>41</v>
      </c>
    </row>
    <row r="174" spans="1:15" ht="16.5" customHeight="1">
      <c r="A174" s="160">
        <v>1</v>
      </c>
      <c r="B174" s="160" t="str">
        <f>TEXT(투자전략!$G$1+0, "[$-ko-KR]yyyy.mm.dd")</f>
        <v>2021.05.01</v>
      </c>
      <c r="C174" s="137">
        <f ca="1">IFERROR(COUNTA(INDIRECT($B174&amp;"!A125:A144")) * INDIRECT($B174&amp;"!B145"), "")</f>
        <v>5700000</v>
      </c>
      <c r="D174" s="145">
        <f ca="1">IFERROR($C174 * (1 + E174), "")</f>
        <v>5796967.8582712999</v>
      </c>
      <c r="E174" s="76">
        <f ca="1">IFERROR(INDIRECT($B174&amp;"!E145"), "")</f>
        <v>1.7011904959877054E-2</v>
      </c>
      <c r="F174" s="144">
        <f ca="1">IFERROR(INDIRECT($B174&amp;"!F145"), "")</f>
        <v>96967.858271299192</v>
      </c>
      <c r="G174" s="145">
        <f ca="1">IFERROR($C174 * (1 + H174), "")</f>
        <v>5762497.1388724633</v>
      </c>
      <c r="H174" s="76">
        <f ca="1">IFERROR(INDIRECT($B174&amp;"!H145"), "")</f>
        <v>1.0964410328502251E-2</v>
      </c>
      <c r="I174" s="144">
        <f ca="1">IFERROR(INDIRECT($B174&amp;"!I145"), "")</f>
        <v>62497.138872462834</v>
      </c>
      <c r="J174" s="145">
        <f ca="1">IFERROR($C174 * (1 + K174), "")</f>
        <v>5794168.1462707957</v>
      </c>
      <c r="K174" s="76">
        <f ca="1">IFERROR(INDIRECT($B174&amp;"!K145"), "")</f>
        <v>1.6520727415929037E-2</v>
      </c>
      <c r="L174" s="144">
        <f ca="1">IFERROR(INDIRECT($B174&amp;"!L145"), "")</f>
        <v>94168.146270795492</v>
      </c>
      <c r="M174" s="145">
        <f ca="1">IFERROR($C174 * (1 + N174), "")</f>
        <v>5791895.125992734</v>
      </c>
      <c r="N174" s="76">
        <f ca="1">IFERROR(INDIRECT($B174&amp;"!N145"), "")</f>
        <v>1.6121951928549837E-2</v>
      </c>
      <c r="O174" s="144">
        <f ca="1">IFERROR(INDIRECT($B174&amp;"!O145"), "")</f>
        <v>91895.125992734043</v>
      </c>
    </row>
    <row r="175" spans="1:15" ht="16.5" customHeight="1">
      <c r="A175" s="159">
        <v>2</v>
      </c>
      <c r="B175" s="159" t="str">
        <f>TEXT(투자전략!$G$1+1, "[$-ko-KR]yyyy.mm.dd")</f>
        <v>2021.05.02</v>
      </c>
      <c r="C175" s="138">
        <f t="shared" ref="C175:C204" ca="1" si="52">IFERROR(COUNTA(INDIRECT($B175&amp;"!A125:A144")) * INDIRECT($B175&amp;"!B145"), "")</f>
        <v>5700000</v>
      </c>
      <c r="D175" s="142">
        <f t="shared" ref="D175:D204" ca="1" si="53">IFERROR($C175 * (1 + E175), "")</f>
        <v>5690911.4456432778</v>
      </c>
      <c r="E175" s="77">
        <f t="shared" ref="E175:E204" ca="1" si="54">IFERROR(INDIRECT($B175&amp;"!E145"), "")</f>
        <v>-1.594483220477585E-3</v>
      </c>
      <c r="F175" s="140">
        <f t="shared" ref="F175:F204" ca="1" si="55">IFERROR(INDIRECT($B175&amp;"!F145"), "")</f>
        <v>-9088.5543567222303</v>
      </c>
      <c r="G175" s="142">
        <f t="shared" ref="G175:G204" ca="1" si="56">IFERROR($C175 * (1 + H175), "")</f>
        <v>5690498.5045738928</v>
      </c>
      <c r="H175" s="77">
        <f t="shared" ref="H175:H204" ca="1" si="57">IFERROR(INDIRECT($B175&amp;"!H145"), "")</f>
        <v>-1.666929022124089E-3</v>
      </c>
      <c r="I175" s="140">
        <f t="shared" ref="I175:I204" ca="1" si="58">IFERROR(INDIRECT($B175&amp;"!I145"), "")</f>
        <v>-9501.4954261073035</v>
      </c>
      <c r="J175" s="142">
        <f t="shared" ref="J175:J204" ca="1" si="59">IFERROR($C175 * (1 + K175), "")</f>
        <v>5725292.5041279895</v>
      </c>
      <c r="K175" s="77">
        <f t="shared" ref="K175:K204" ca="1" si="60">IFERROR(INDIRECT($B175&amp;"!K145"), "")</f>
        <v>4.437281425962906E-3</v>
      </c>
      <c r="L175" s="140">
        <f t="shared" ref="L175:L204" ca="1" si="61">IFERROR(INDIRECT($B175&amp;"!L145"), "")</f>
        <v>25292.50412798857</v>
      </c>
      <c r="M175" s="142">
        <f t="shared" ref="M175:M204" ca="1" si="62">IFERROR($C175 * (1 + N175), "")</f>
        <v>5763933.8531855056</v>
      </c>
      <c r="N175" s="77">
        <f t="shared" ref="N175:N204" ca="1" si="63">IFERROR(INDIRECT($B175&amp;"!N145"), "")</f>
        <v>1.1216465471141364E-2</v>
      </c>
      <c r="O175" s="140">
        <f t="shared" ref="O175:O204" ca="1" si="64">IFERROR(INDIRECT($B175&amp;"!O145"), "")</f>
        <v>63933.853185505781</v>
      </c>
    </row>
    <row r="176" spans="1:15" ht="16.5" customHeight="1">
      <c r="A176" s="159">
        <v>3</v>
      </c>
      <c r="B176" s="159" t="str">
        <f>TEXT(투자전략!$G$1+2, "[$-ko-KR]yyyy.mm.dd")</f>
        <v>2021.05.03</v>
      </c>
      <c r="C176" s="138">
        <f t="shared" ca="1" si="52"/>
        <v>5400000</v>
      </c>
      <c r="D176" s="142">
        <f t="shared" ca="1" si="53"/>
        <v>5575496.9864295339</v>
      </c>
      <c r="E176" s="77">
        <f t="shared" ca="1" si="54"/>
        <v>3.2499441931395062E-2</v>
      </c>
      <c r="F176" s="140">
        <f t="shared" ca="1" si="55"/>
        <v>175496.9864295334</v>
      </c>
      <c r="G176" s="142">
        <f t="shared" ca="1" si="56"/>
        <v>5618685.4874268863</v>
      </c>
      <c r="H176" s="77">
        <f t="shared" ca="1" si="57"/>
        <v>4.0497312486460504E-2</v>
      </c>
      <c r="I176" s="140">
        <f t="shared" ca="1" si="58"/>
        <v>218685.48742688677</v>
      </c>
      <c r="J176" s="142">
        <f t="shared" ca="1" si="59"/>
        <v>5642781.0931354463</v>
      </c>
      <c r="K176" s="77">
        <f t="shared" ca="1" si="60"/>
        <v>4.4959461691749317E-2</v>
      </c>
      <c r="L176" s="140">
        <f t="shared" ca="1" si="61"/>
        <v>242781.09313544634</v>
      </c>
      <c r="M176" s="142">
        <f t="shared" ca="1" si="62"/>
        <v>5599398.2018607762</v>
      </c>
      <c r="N176" s="77">
        <f t="shared" ca="1" si="63"/>
        <v>3.6925592937180791E-2</v>
      </c>
      <c r="O176" s="140">
        <f t="shared" ca="1" si="64"/>
        <v>199398.20186077629</v>
      </c>
    </row>
    <row r="177" spans="1:15" ht="16.5" customHeight="1">
      <c r="A177" s="159">
        <v>4</v>
      </c>
      <c r="B177" s="159" t="str">
        <f>TEXT(투자전략!$G$1+3, "[$-ko-KR]yyyy.mm.dd")</f>
        <v>2021.05.04</v>
      </c>
      <c r="C177" s="138">
        <f t="shared" ca="1" si="52"/>
        <v>5100000</v>
      </c>
      <c r="D177" s="142">
        <f t="shared" ca="1" si="53"/>
        <v>4913291.8029331751</v>
      </c>
      <c r="E177" s="77">
        <f t="shared" ca="1" si="54"/>
        <v>-3.6609450405259723E-2</v>
      </c>
      <c r="F177" s="140">
        <f t="shared" ca="1" si="55"/>
        <v>-186708.19706682459</v>
      </c>
      <c r="G177" s="142">
        <f t="shared" ca="1" si="56"/>
        <v>4944548.6693847794</v>
      </c>
      <c r="H177" s="77">
        <f t="shared" ca="1" si="57"/>
        <v>-3.0480653061807909E-2</v>
      </c>
      <c r="I177" s="140">
        <f t="shared" ca="1" si="58"/>
        <v>-155451.3306152203</v>
      </c>
      <c r="J177" s="142">
        <f t="shared" ca="1" si="59"/>
        <v>4946341.5860611983</v>
      </c>
      <c r="K177" s="77">
        <f t="shared" ca="1" si="60"/>
        <v>-3.0129100772314142E-2</v>
      </c>
      <c r="L177" s="140">
        <f t="shared" ca="1" si="61"/>
        <v>-153658.41393880208</v>
      </c>
      <c r="M177" s="142">
        <f t="shared" ca="1" si="62"/>
        <v>4753721.9406563118</v>
      </c>
      <c r="N177" s="77">
        <f t="shared" ca="1" si="63"/>
        <v>-6.7897658694840837E-2</v>
      </c>
      <c r="O177" s="140">
        <f t="shared" ca="1" si="64"/>
        <v>-346278.05934368825</v>
      </c>
    </row>
    <row r="178" spans="1:15" ht="16.5" customHeight="1">
      <c r="A178" s="159">
        <v>5</v>
      </c>
      <c r="B178" s="159" t="str">
        <f>TEXT(투자전략!$G$1+4, "[$-ko-KR]yyyy.mm.dd")</f>
        <v>2021.05.05</v>
      </c>
      <c r="C178" s="138">
        <f t="shared" ca="1" si="52"/>
        <v>2550000</v>
      </c>
      <c r="D178" s="142">
        <f t="shared" ca="1" si="53"/>
        <v>2414283.6024819729</v>
      </c>
      <c r="E178" s="77">
        <f t="shared" ca="1" si="54"/>
        <v>-5.3222116673736088E-2</v>
      </c>
      <c r="F178" s="140">
        <f t="shared" ca="1" si="55"/>
        <v>-135716.39751802705</v>
      </c>
      <c r="G178" s="142">
        <f t="shared" ca="1" si="56"/>
        <v>2485506.2944377828</v>
      </c>
      <c r="H178" s="77">
        <f t="shared" ca="1" si="57"/>
        <v>-2.5291649240085156E-2</v>
      </c>
      <c r="I178" s="140">
        <f t="shared" ca="1" si="58"/>
        <v>-64493.705562217161</v>
      </c>
      <c r="J178" s="142">
        <f t="shared" ca="1" si="59"/>
        <v>2450988.7532001613</v>
      </c>
      <c r="K178" s="77">
        <f t="shared" ca="1" si="60"/>
        <v>-3.8827939921505517E-2</v>
      </c>
      <c r="L178" s="140">
        <f t="shared" ca="1" si="61"/>
        <v>-99011.246799839064</v>
      </c>
      <c r="M178" s="142">
        <f t="shared" ca="1" si="62"/>
        <v>2522166.9920933945</v>
      </c>
      <c r="N178" s="77">
        <f t="shared" ca="1" si="63"/>
        <v>-1.0914905061413859E-2</v>
      </c>
      <c r="O178" s="140">
        <f t="shared" ca="1" si="64"/>
        <v>-27833.007906605329</v>
      </c>
    </row>
    <row r="179" spans="1:15" ht="16.5" customHeight="1">
      <c r="A179" s="159">
        <v>6</v>
      </c>
      <c r="B179" s="159" t="str">
        <f>TEXT(투자전략!$G$1+5, "[$-ko-KR]yyyy.mm.dd")</f>
        <v>2021.05.06</v>
      </c>
      <c r="C179" s="138">
        <f t="shared" ca="1" si="52"/>
        <v>2700000</v>
      </c>
      <c r="D179" s="142">
        <f t="shared" ca="1" si="53"/>
        <v>2699243.1196434526</v>
      </c>
      <c r="E179" s="77">
        <f t="shared" ca="1" si="54"/>
        <v>-2.8032605798057489E-4</v>
      </c>
      <c r="F179" s="140">
        <f t="shared" ca="1" si="55"/>
        <v>-756.88035654755151</v>
      </c>
      <c r="G179" s="142">
        <f t="shared" ca="1" si="56"/>
        <v>2688883.5356454668</v>
      </c>
      <c r="H179" s="77">
        <f t="shared" ca="1" si="57"/>
        <v>-4.1172090201973717E-3</v>
      </c>
      <c r="I179" s="140">
        <f t="shared" ca="1" si="58"/>
        <v>-11116.464354532902</v>
      </c>
      <c r="J179" s="142">
        <f t="shared" ca="1" si="59"/>
        <v>2685218.8109180443</v>
      </c>
      <c r="K179" s="77">
        <f t="shared" ca="1" si="60"/>
        <v>-5.4745144747983601E-3</v>
      </c>
      <c r="L179" s="140">
        <f t="shared" ca="1" si="61"/>
        <v>-14781.189081955576</v>
      </c>
      <c r="M179" s="142">
        <f t="shared" ca="1" si="62"/>
        <v>2685739.9606291102</v>
      </c>
      <c r="N179" s="77">
        <f t="shared" ca="1" si="63"/>
        <v>-5.2814960632924903E-3</v>
      </c>
      <c r="O179" s="140">
        <f t="shared" ca="1" si="64"/>
        <v>-14260.03937088973</v>
      </c>
    </row>
    <row r="180" spans="1:15" ht="16.5" customHeight="1" thickBot="1">
      <c r="A180" s="161">
        <v>7</v>
      </c>
      <c r="B180" s="161" t="str">
        <f>TEXT(투자전략!$G$1+6, "[$-ko-KR]yyyy.mm.dd")</f>
        <v>2021.05.07</v>
      </c>
      <c r="C180" s="138">
        <f t="shared" ca="1" si="52"/>
        <v>2850000</v>
      </c>
      <c r="D180" s="142">
        <f t="shared" ca="1" si="53"/>
        <v>2678763.1230948311</v>
      </c>
      <c r="E180" s="77">
        <f t="shared" ca="1" si="54"/>
        <v>-6.0083114703568037E-2</v>
      </c>
      <c r="F180" s="140">
        <f t="shared" ca="1" si="55"/>
        <v>-171236.87690516893</v>
      </c>
      <c r="G180" s="142">
        <f t="shared" ca="1" si="56"/>
        <v>2739890.416816175</v>
      </c>
      <c r="H180" s="77">
        <f t="shared" ca="1" si="57"/>
        <v>-3.8634941468008686E-2</v>
      </c>
      <c r="I180" s="140">
        <f t="shared" ca="1" si="58"/>
        <v>-110109.58318382471</v>
      </c>
      <c r="J180" s="142">
        <f t="shared" ca="1" si="59"/>
        <v>2826150.8225448746</v>
      </c>
      <c r="K180" s="77">
        <f t="shared" ca="1" si="60"/>
        <v>-8.368132440394787E-3</v>
      </c>
      <c r="L180" s="140">
        <f t="shared" ca="1" si="61"/>
        <v>-23849.177455125144</v>
      </c>
      <c r="M180" s="142">
        <f t="shared" ca="1" si="62"/>
        <v>2850000</v>
      </c>
      <c r="N180" s="77">
        <f t="shared" ca="1" si="63"/>
        <v>0</v>
      </c>
      <c r="O180" s="140">
        <f t="shared" ca="1" si="64"/>
        <v>0</v>
      </c>
    </row>
    <row r="181" spans="1:15" ht="16.5" customHeight="1">
      <c r="A181" s="160">
        <v>8</v>
      </c>
      <c r="B181" s="160" t="str">
        <f>TEXT(투자전략!$G$1+7, "[$-ko-KR]yyyy.mm.dd")</f>
        <v>2021.05.08</v>
      </c>
      <c r="C181" s="137" t="str">
        <f t="shared" ca="1" si="52"/>
        <v/>
      </c>
      <c r="D181" s="145" t="str">
        <f t="shared" ca="1" si="53"/>
        <v/>
      </c>
      <c r="E181" s="76" t="str">
        <f t="shared" ca="1" si="54"/>
        <v/>
      </c>
      <c r="F181" s="144" t="str">
        <f t="shared" ca="1" si="55"/>
        <v/>
      </c>
      <c r="G181" s="145" t="str">
        <f t="shared" ca="1" si="56"/>
        <v/>
      </c>
      <c r="H181" s="76" t="str">
        <f t="shared" ca="1" si="57"/>
        <v/>
      </c>
      <c r="I181" s="144" t="str">
        <f t="shared" ca="1" si="58"/>
        <v/>
      </c>
      <c r="J181" s="145" t="str">
        <f t="shared" ca="1" si="59"/>
        <v/>
      </c>
      <c r="K181" s="76" t="str">
        <f t="shared" ca="1" si="60"/>
        <v/>
      </c>
      <c r="L181" s="144" t="str">
        <f t="shared" ca="1" si="61"/>
        <v/>
      </c>
      <c r="M181" s="145" t="str">
        <f t="shared" ca="1" si="62"/>
        <v/>
      </c>
      <c r="N181" s="76" t="str">
        <f t="shared" ca="1" si="63"/>
        <v/>
      </c>
      <c r="O181" s="144" t="str">
        <f t="shared" ca="1" si="64"/>
        <v/>
      </c>
    </row>
    <row r="182" spans="1:15" ht="16.5" customHeight="1">
      <c r="A182" s="159">
        <v>9</v>
      </c>
      <c r="B182" s="159" t="str">
        <f>TEXT(투자전략!$G$1+8, "[$-ko-KR]yyyy.mm.dd")</f>
        <v>2021.05.09</v>
      </c>
      <c r="C182" s="138" t="str">
        <f t="shared" ca="1" si="52"/>
        <v/>
      </c>
      <c r="D182" s="142" t="str">
        <f t="shared" ca="1" si="53"/>
        <v/>
      </c>
      <c r="E182" s="77" t="str">
        <f t="shared" ca="1" si="54"/>
        <v/>
      </c>
      <c r="F182" s="140" t="str">
        <f t="shared" ca="1" si="55"/>
        <v/>
      </c>
      <c r="G182" s="142" t="str">
        <f t="shared" ca="1" si="56"/>
        <v/>
      </c>
      <c r="H182" s="77" t="str">
        <f t="shared" ca="1" si="57"/>
        <v/>
      </c>
      <c r="I182" s="140" t="str">
        <f t="shared" ca="1" si="58"/>
        <v/>
      </c>
      <c r="J182" s="142" t="str">
        <f t="shared" ca="1" si="59"/>
        <v/>
      </c>
      <c r="K182" s="77" t="str">
        <f t="shared" ca="1" si="60"/>
        <v/>
      </c>
      <c r="L182" s="140" t="str">
        <f t="shared" ca="1" si="61"/>
        <v/>
      </c>
      <c r="M182" s="142" t="str">
        <f t="shared" ca="1" si="62"/>
        <v/>
      </c>
      <c r="N182" s="77" t="str">
        <f t="shared" ca="1" si="63"/>
        <v/>
      </c>
      <c r="O182" s="140" t="str">
        <f t="shared" ca="1" si="64"/>
        <v/>
      </c>
    </row>
    <row r="183" spans="1:15" ht="16.5" customHeight="1">
      <c r="A183" s="159">
        <v>10</v>
      </c>
      <c r="B183" s="159" t="str">
        <f>TEXT(투자전략!$G$1+9, "[$-ko-KR]yyyy.mm.dd")</f>
        <v>2021.05.10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 ht="16.5" customHeight="1">
      <c r="A184" s="159">
        <v>11</v>
      </c>
      <c r="B184" s="159" t="str">
        <f>TEXT(투자전략!$G$1+10, "[$-ko-KR]yyyy.mm.dd")</f>
        <v>2021.05.11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 ht="16.5" customHeight="1">
      <c r="A185" s="159">
        <v>12</v>
      </c>
      <c r="B185" s="159" t="str">
        <f>TEXT(투자전략!$G$1+11, "[$-ko-KR]yyyy.mm.dd")</f>
        <v>2021.05.12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 ht="16.5" customHeight="1">
      <c r="A186" s="159">
        <v>13</v>
      </c>
      <c r="B186" s="159" t="str">
        <f>TEXT(투자전략!$G$1+12, "[$-ko-KR]yyyy.mm.dd")</f>
        <v>2021.05.13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 ht="16.5" customHeight="1" thickBot="1">
      <c r="A187" s="161">
        <v>14</v>
      </c>
      <c r="B187" s="161" t="str">
        <f>TEXT(투자전략!$G$1+13, "[$-ko-KR]yyyy.mm.dd")</f>
        <v>2021.05.14</v>
      </c>
      <c r="C187" s="139" t="str">
        <f t="shared" ca="1" si="52"/>
        <v/>
      </c>
      <c r="D187" s="143" t="str">
        <f t="shared" ca="1" si="53"/>
        <v/>
      </c>
      <c r="E187" s="79" t="str">
        <f t="shared" ca="1" si="54"/>
        <v/>
      </c>
      <c r="F187" s="141" t="str">
        <f t="shared" ca="1" si="55"/>
        <v/>
      </c>
      <c r="G187" s="143" t="str">
        <f t="shared" ca="1" si="56"/>
        <v/>
      </c>
      <c r="H187" s="79" t="str">
        <f t="shared" ca="1" si="57"/>
        <v/>
      </c>
      <c r="I187" s="141" t="str">
        <f t="shared" ca="1" si="58"/>
        <v/>
      </c>
      <c r="J187" s="143" t="str">
        <f t="shared" ca="1" si="59"/>
        <v/>
      </c>
      <c r="K187" s="79" t="str">
        <f t="shared" ca="1" si="60"/>
        <v/>
      </c>
      <c r="L187" s="141" t="str">
        <f t="shared" ca="1" si="61"/>
        <v/>
      </c>
      <c r="M187" s="143" t="str">
        <f t="shared" ca="1" si="62"/>
        <v/>
      </c>
      <c r="N187" s="79" t="str">
        <f t="shared" ca="1" si="63"/>
        <v/>
      </c>
      <c r="O187" s="141" t="str">
        <f t="shared" ca="1" si="64"/>
        <v/>
      </c>
    </row>
    <row r="188" spans="1:15" ht="16.5" customHeight="1">
      <c r="A188" s="160">
        <v>15</v>
      </c>
      <c r="B188" s="160" t="str">
        <f>TEXT(투자전략!$G$1+14, "[$-ko-KR]yyyy.mm.dd")</f>
        <v>2021.05.15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6.5" customHeight="1">
      <c r="A189" s="159">
        <v>16</v>
      </c>
      <c r="B189" s="159" t="str">
        <f>TEXT(투자전략!$G$1+15, "[$-ko-KR]yyyy.mm.dd")</f>
        <v>2021.05.16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 ht="16.5" customHeight="1">
      <c r="A190" s="159">
        <v>17</v>
      </c>
      <c r="B190" s="159" t="str">
        <f>TEXT(투자전략!$G$1+16, "[$-ko-KR]yyyy.mm.dd")</f>
        <v>2021.05.17</v>
      </c>
      <c r="C190" s="138" t="str">
        <f t="shared" ca="1" si="52"/>
        <v/>
      </c>
      <c r="D190" s="142" t="str">
        <f t="shared" ca="1" si="53"/>
        <v/>
      </c>
      <c r="E190" s="77" t="str">
        <f t="shared" ca="1" si="54"/>
        <v/>
      </c>
      <c r="F190" s="140" t="str">
        <f t="shared" ca="1" si="55"/>
        <v/>
      </c>
      <c r="G190" s="142" t="str">
        <f t="shared" ca="1" si="56"/>
        <v/>
      </c>
      <c r="H190" s="77" t="str">
        <f t="shared" ca="1" si="57"/>
        <v/>
      </c>
      <c r="I190" s="140" t="str">
        <f t="shared" ca="1" si="58"/>
        <v/>
      </c>
      <c r="J190" s="142" t="str">
        <f t="shared" ca="1" si="59"/>
        <v/>
      </c>
      <c r="K190" s="77" t="str">
        <f t="shared" ca="1" si="60"/>
        <v/>
      </c>
      <c r="L190" s="140" t="str">
        <f t="shared" ca="1" si="61"/>
        <v/>
      </c>
      <c r="M190" s="142" t="str">
        <f t="shared" ca="1" si="62"/>
        <v/>
      </c>
      <c r="N190" s="77" t="str">
        <f t="shared" ca="1" si="63"/>
        <v/>
      </c>
      <c r="O190" s="140" t="str">
        <f t="shared" ca="1" si="64"/>
        <v/>
      </c>
    </row>
    <row r="191" spans="1:15" ht="16.5" customHeight="1">
      <c r="A191" s="159">
        <v>18</v>
      </c>
      <c r="B191" s="159" t="str">
        <f>TEXT(투자전략!$G$1+17, "[$-ko-KR]yyyy.mm.dd")</f>
        <v>2021.05.18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 ht="16.5" customHeight="1">
      <c r="A192" s="159">
        <v>19</v>
      </c>
      <c r="B192" s="159" t="str">
        <f>TEXT(투자전략!$G$1+18, "[$-ko-KR]yyyy.mm.dd")</f>
        <v>2021.05.19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 ht="16.5" customHeight="1">
      <c r="A193" s="159">
        <v>20</v>
      </c>
      <c r="B193" s="159" t="str">
        <f>TEXT(투자전략!$G$1+19, "[$-ko-KR]yyyy.mm.dd")</f>
        <v>2021.05.20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 ht="16.5" customHeight="1" thickBot="1">
      <c r="A194" s="161">
        <v>21</v>
      </c>
      <c r="B194" s="161" t="str">
        <f>TEXT(투자전략!$G$1+20, "[$-ko-KR]yyyy.mm.dd")</f>
        <v>2021.05.21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 ht="16.5" customHeight="1">
      <c r="A195" s="160">
        <v>22</v>
      </c>
      <c r="B195" s="160" t="str">
        <f>TEXT(투자전략!$G$1+21, "[$-ko-KR]yyyy.mm.dd")</f>
        <v>2021.05.22</v>
      </c>
      <c r="C195" s="137" t="str">
        <f t="shared" ca="1" si="52"/>
        <v/>
      </c>
      <c r="D195" s="145" t="str">
        <f t="shared" ca="1" si="53"/>
        <v/>
      </c>
      <c r="E195" s="76" t="str">
        <f t="shared" ca="1" si="54"/>
        <v/>
      </c>
      <c r="F195" s="144" t="str">
        <f t="shared" ca="1" si="55"/>
        <v/>
      </c>
      <c r="G195" s="145" t="str">
        <f t="shared" ca="1" si="56"/>
        <v/>
      </c>
      <c r="H195" s="76" t="str">
        <f t="shared" ca="1" si="57"/>
        <v/>
      </c>
      <c r="I195" s="144" t="str">
        <f t="shared" ca="1" si="58"/>
        <v/>
      </c>
      <c r="J195" s="145" t="str">
        <f t="shared" ca="1" si="59"/>
        <v/>
      </c>
      <c r="K195" s="76" t="str">
        <f t="shared" ca="1" si="60"/>
        <v/>
      </c>
      <c r="L195" s="144" t="str">
        <f t="shared" ca="1" si="61"/>
        <v/>
      </c>
      <c r="M195" s="145" t="str">
        <f t="shared" ca="1" si="62"/>
        <v/>
      </c>
      <c r="N195" s="76" t="str">
        <f t="shared" ca="1" si="63"/>
        <v/>
      </c>
      <c r="O195" s="144" t="str">
        <f t="shared" ca="1" si="64"/>
        <v/>
      </c>
    </row>
    <row r="196" spans="1:15" ht="16.5" customHeight="1">
      <c r="A196" s="159">
        <v>23</v>
      </c>
      <c r="B196" s="159" t="str">
        <f>TEXT(투자전략!$G$1+22, "[$-ko-KR]yyyy.mm.dd")</f>
        <v>2021.05.23</v>
      </c>
      <c r="C196" s="138" t="str">
        <f t="shared" ca="1" si="52"/>
        <v/>
      </c>
      <c r="D196" s="142" t="str">
        <f t="shared" ca="1" si="53"/>
        <v/>
      </c>
      <c r="E196" s="77" t="str">
        <f t="shared" ca="1" si="54"/>
        <v/>
      </c>
      <c r="F196" s="140" t="str">
        <f t="shared" ca="1" si="55"/>
        <v/>
      </c>
      <c r="G196" s="142" t="str">
        <f t="shared" ca="1" si="56"/>
        <v/>
      </c>
      <c r="H196" s="77" t="str">
        <f t="shared" ca="1" si="57"/>
        <v/>
      </c>
      <c r="I196" s="140" t="str">
        <f t="shared" ca="1" si="58"/>
        <v/>
      </c>
      <c r="J196" s="142" t="str">
        <f t="shared" ca="1" si="59"/>
        <v/>
      </c>
      <c r="K196" s="77" t="str">
        <f t="shared" ca="1" si="60"/>
        <v/>
      </c>
      <c r="L196" s="140" t="str">
        <f t="shared" ca="1" si="61"/>
        <v/>
      </c>
      <c r="M196" s="142" t="str">
        <f t="shared" ca="1" si="62"/>
        <v/>
      </c>
      <c r="N196" s="77" t="str">
        <f t="shared" ca="1" si="63"/>
        <v/>
      </c>
      <c r="O196" s="140" t="str">
        <f t="shared" ca="1" si="64"/>
        <v/>
      </c>
    </row>
    <row r="197" spans="1:15" ht="16.5" customHeight="1">
      <c r="A197" s="159">
        <v>24</v>
      </c>
      <c r="B197" s="159" t="str">
        <f>TEXT(투자전략!$G$1+23, "[$-ko-KR]yyyy.mm.dd")</f>
        <v>2021.05.24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 ht="16.5" customHeight="1">
      <c r="A198" s="159">
        <v>25</v>
      </c>
      <c r="B198" s="159" t="str">
        <f>TEXT(투자전략!$G$1+24, "[$-ko-KR]yyyy.mm.dd")</f>
        <v>2021.05.25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6.5" customHeight="1">
      <c r="A199" s="159">
        <v>26</v>
      </c>
      <c r="B199" s="159" t="str">
        <f>TEXT(투자전략!$G$1+25, "[$-ko-KR]yyyy.mm.dd")</f>
        <v>2021.05.26</v>
      </c>
      <c r="C199" s="138" t="str">
        <f t="shared" ca="1" si="52"/>
        <v/>
      </c>
      <c r="D199" s="142" t="str">
        <f t="shared" ca="1" si="53"/>
        <v/>
      </c>
      <c r="E199" s="77" t="str">
        <f t="shared" ca="1" si="54"/>
        <v/>
      </c>
      <c r="F199" s="140" t="str">
        <f t="shared" ca="1" si="55"/>
        <v/>
      </c>
      <c r="G199" s="142" t="str">
        <f t="shared" ca="1" si="56"/>
        <v/>
      </c>
      <c r="H199" s="77" t="str">
        <f t="shared" ca="1" si="57"/>
        <v/>
      </c>
      <c r="I199" s="140" t="str">
        <f t="shared" ca="1" si="58"/>
        <v/>
      </c>
      <c r="J199" s="142" t="str">
        <f t="shared" ca="1" si="59"/>
        <v/>
      </c>
      <c r="K199" s="77" t="str">
        <f t="shared" ca="1" si="60"/>
        <v/>
      </c>
      <c r="L199" s="140" t="str">
        <f t="shared" ca="1" si="61"/>
        <v/>
      </c>
      <c r="M199" s="142" t="str">
        <f t="shared" ca="1" si="62"/>
        <v/>
      </c>
      <c r="N199" s="77" t="str">
        <f t="shared" ca="1" si="63"/>
        <v/>
      </c>
      <c r="O199" s="140" t="str">
        <f t="shared" ca="1" si="64"/>
        <v/>
      </c>
    </row>
    <row r="200" spans="1:15" ht="16.5" customHeight="1">
      <c r="A200" s="159">
        <v>27</v>
      </c>
      <c r="B200" s="159" t="str">
        <f>TEXT(투자전략!$G$1+26, "[$-ko-KR]yyyy.mm.dd")</f>
        <v>2021.05.27</v>
      </c>
      <c r="C200" s="138" t="str">
        <f t="shared" ca="1" si="52"/>
        <v/>
      </c>
      <c r="D200" s="142" t="str">
        <f t="shared" ca="1" si="53"/>
        <v/>
      </c>
      <c r="E200" s="77" t="str">
        <f t="shared" ca="1" si="54"/>
        <v/>
      </c>
      <c r="F200" s="140" t="str">
        <f t="shared" ca="1" si="55"/>
        <v/>
      </c>
      <c r="G200" s="142" t="str">
        <f t="shared" ca="1" si="56"/>
        <v/>
      </c>
      <c r="H200" s="77" t="str">
        <f t="shared" ca="1" si="57"/>
        <v/>
      </c>
      <c r="I200" s="140" t="str">
        <f t="shared" ca="1" si="58"/>
        <v/>
      </c>
      <c r="J200" s="142" t="str">
        <f t="shared" ca="1" si="59"/>
        <v/>
      </c>
      <c r="K200" s="77" t="str">
        <f t="shared" ca="1" si="60"/>
        <v/>
      </c>
      <c r="L200" s="140" t="str">
        <f t="shared" ca="1" si="61"/>
        <v/>
      </c>
      <c r="M200" s="142" t="str">
        <f t="shared" ca="1" si="62"/>
        <v/>
      </c>
      <c r="N200" s="77" t="str">
        <f t="shared" ca="1" si="63"/>
        <v/>
      </c>
      <c r="O200" s="140" t="str">
        <f t="shared" ca="1" si="64"/>
        <v/>
      </c>
    </row>
    <row r="201" spans="1:15" ht="16.5" customHeight="1" thickBot="1">
      <c r="A201" s="161">
        <v>28</v>
      </c>
      <c r="B201" s="161" t="str">
        <f>TEXT(투자전략!$G$1+27, "[$-ko-KR]yyyy.mm.dd")</f>
        <v>2021.05.28</v>
      </c>
      <c r="C201" s="139" t="str">
        <f t="shared" ca="1" si="52"/>
        <v/>
      </c>
      <c r="D201" s="143" t="str">
        <f t="shared" ca="1" si="53"/>
        <v/>
      </c>
      <c r="E201" s="79" t="str">
        <f t="shared" ca="1" si="54"/>
        <v/>
      </c>
      <c r="F201" s="141" t="str">
        <f t="shared" ca="1" si="55"/>
        <v/>
      </c>
      <c r="G201" s="143" t="str">
        <f t="shared" ca="1" si="56"/>
        <v/>
      </c>
      <c r="H201" s="79" t="str">
        <f t="shared" ca="1" si="57"/>
        <v/>
      </c>
      <c r="I201" s="141" t="str">
        <f t="shared" ca="1" si="58"/>
        <v/>
      </c>
      <c r="J201" s="143" t="str">
        <f t="shared" ca="1" si="59"/>
        <v/>
      </c>
      <c r="K201" s="79" t="str">
        <f t="shared" ca="1" si="60"/>
        <v/>
      </c>
      <c r="L201" s="141" t="str">
        <f t="shared" ca="1" si="61"/>
        <v/>
      </c>
      <c r="M201" s="143" t="str">
        <f t="shared" ca="1" si="62"/>
        <v/>
      </c>
      <c r="N201" s="79" t="str">
        <f t="shared" ca="1" si="63"/>
        <v/>
      </c>
      <c r="O201" s="141" t="str">
        <f t="shared" ca="1" si="64"/>
        <v/>
      </c>
    </row>
    <row r="202" spans="1:15" ht="16.5" customHeight="1">
      <c r="A202" s="124">
        <v>29</v>
      </c>
      <c r="B202" s="160" t="str">
        <f>TEXT(투자전략!$G$1+28, "[$-ko-KR]yyyy.mm.dd")</f>
        <v>2021.05.29</v>
      </c>
      <c r="C202" s="138" t="str">
        <f t="shared" ca="1" si="52"/>
        <v/>
      </c>
      <c r="D202" s="142" t="str">
        <f t="shared" ca="1" si="53"/>
        <v/>
      </c>
      <c r="E202" s="77" t="str">
        <f t="shared" ca="1" si="54"/>
        <v/>
      </c>
      <c r="F202" s="140" t="str">
        <f t="shared" ca="1" si="55"/>
        <v/>
      </c>
      <c r="G202" s="142" t="str">
        <f t="shared" ca="1" si="56"/>
        <v/>
      </c>
      <c r="H202" s="77" t="str">
        <f t="shared" ca="1" si="57"/>
        <v/>
      </c>
      <c r="I202" s="140" t="str">
        <f t="shared" ca="1" si="58"/>
        <v/>
      </c>
      <c r="J202" s="142" t="str">
        <f t="shared" ca="1" si="59"/>
        <v/>
      </c>
      <c r="K202" s="77" t="str">
        <f t="shared" ca="1" si="60"/>
        <v/>
      </c>
      <c r="L202" s="140" t="str">
        <f t="shared" ca="1" si="61"/>
        <v/>
      </c>
      <c r="M202" s="142" t="str">
        <f t="shared" ca="1" si="62"/>
        <v/>
      </c>
      <c r="N202" s="77" t="str">
        <f t="shared" ca="1" si="63"/>
        <v/>
      </c>
      <c r="O202" s="140" t="str">
        <f t="shared" ca="1" si="64"/>
        <v/>
      </c>
    </row>
    <row r="203" spans="1:15" ht="16.5" customHeight="1">
      <c r="A203" s="124">
        <v>30</v>
      </c>
      <c r="B203" s="159" t="str">
        <f>TEXT(투자전략!$G$1+29, "[$-ko-KR]yyyy.mm.dd")</f>
        <v>2021.05.30</v>
      </c>
      <c r="C203" s="138" t="str">
        <f t="shared" ca="1" si="52"/>
        <v/>
      </c>
      <c r="D203" s="142" t="str">
        <f t="shared" ca="1" si="53"/>
        <v/>
      </c>
      <c r="E203" s="77" t="str">
        <f t="shared" ca="1" si="54"/>
        <v/>
      </c>
      <c r="F203" s="140" t="str">
        <f t="shared" ca="1" si="55"/>
        <v/>
      </c>
      <c r="G203" s="142" t="str">
        <f t="shared" ca="1" si="56"/>
        <v/>
      </c>
      <c r="H203" s="77" t="str">
        <f t="shared" ca="1" si="57"/>
        <v/>
      </c>
      <c r="I203" s="140" t="str">
        <f t="shared" ca="1" si="58"/>
        <v/>
      </c>
      <c r="J203" s="142" t="str">
        <f t="shared" ca="1" si="59"/>
        <v/>
      </c>
      <c r="K203" s="77" t="str">
        <f t="shared" ca="1" si="60"/>
        <v/>
      </c>
      <c r="L203" s="140" t="str">
        <f t="shared" ca="1" si="61"/>
        <v/>
      </c>
      <c r="M203" s="142" t="str">
        <f t="shared" ca="1" si="62"/>
        <v/>
      </c>
      <c r="N203" s="77" t="str">
        <f t="shared" ca="1" si="63"/>
        <v/>
      </c>
      <c r="O203" s="140" t="str">
        <f t="shared" ca="1" si="64"/>
        <v/>
      </c>
    </row>
    <row r="204" spans="1:15" ht="16.5" customHeight="1" thickBot="1">
      <c r="A204" s="124">
        <v>31</v>
      </c>
      <c r="B204" s="159" t="str">
        <f>TEXT(투자전략!$G$1+30, "[$-ko-KR]yyyy.mm.dd")</f>
        <v>2021.05.31</v>
      </c>
      <c r="C204" s="139" t="str">
        <f t="shared" ca="1" si="52"/>
        <v/>
      </c>
      <c r="D204" s="143" t="str">
        <f t="shared" ca="1" si="53"/>
        <v/>
      </c>
      <c r="E204" s="79" t="str">
        <f t="shared" ca="1" si="54"/>
        <v/>
      </c>
      <c r="F204" s="141" t="str">
        <f t="shared" ca="1" si="55"/>
        <v/>
      </c>
      <c r="G204" s="143" t="str">
        <f t="shared" ca="1" si="56"/>
        <v/>
      </c>
      <c r="H204" s="79" t="str">
        <f t="shared" ca="1" si="57"/>
        <v/>
      </c>
      <c r="I204" s="141" t="str">
        <f t="shared" ca="1" si="58"/>
        <v/>
      </c>
      <c r="J204" s="143" t="str">
        <f t="shared" ca="1" si="59"/>
        <v/>
      </c>
      <c r="K204" s="79" t="str">
        <f t="shared" ca="1" si="60"/>
        <v/>
      </c>
      <c r="L204" s="141" t="str">
        <f t="shared" ca="1" si="61"/>
        <v/>
      </c>
      <c r="M204" s="143" t="str">
        <f t="shared" ca="1" si="62"/>
        <v/>
      </c>
      <c r="N204" s="79" t="str">
        <f t="shared" ca="1" si="63"/>
        <v/>
      </c>
      <c r="O204" s="141" t="str">
        <f t="shared" ca="1" si="64"/>
        <v/>
      </c>
    </row>
    <row r="205" spans="1:15" ht="16.5" customHeight="1" thickBot="1">
      <c r="A205" s="221" t="s">
        <v>319</v>
      </c>
      <c r="B205" s="223"/>
      <c r="C205" s="135" t="s">
        <v>314</v>
      </c>
      <c r="D205" s="153" t="s">
        <v>315</v>
      </c>
      <c r="E205" s="154" t="s">
        <v>316</v>
      </c>
      <c r="F205" s="155" t="s">
        <v>317</v>
      </c>
      <c r="G205" s="153" t="s">
        <v>315</v>
      </c>
      <c r="H205" s="154" t="s">
        <v>316</v>
      </c>
      <c r="I205" s="155" t="s">
        <v>317</v>
      </c>
      <c r="J205" s="153" t="s">
        <v>315</v>
      </c>
      <c r="K205" s="154" t="s">
        <v>316</v>
      </c>
      <c r="L205" s="155" t="s">
        <v>317</v>
      </c>
      <c r="M205" s="153" t="s">
        <v>315</v>
      </c>
      <c r="N205" s="154" t="s">
        <v>316</v>
      </c>
      <c r="O205" s="155" t="s">
        <v>317</v>
      </c>
    </row>
    <row r="206" spans="1:15" ht="16.5" customHeight="1" thickBot="1">
      <c r="A206" s="214"/>
      <c r="B206" s="216"/>
      <c r="C206" s="139">
        <f ca="1">SUM(C174:C204)</f>
        <v>30000000</v>
      </c>
      <c r="D206" s="143">
        <f ca="1">SUM(D174:D204)</f>
        <v>29768957.938497543</v>
      </c>
      <c r="E206" s="79">
        <f ca="1">IFERROR(F206 / (SUM($C174:$C204) / COUNT($C174:$C204)), 0)</f>
        <v>-5.390981435057348E-2</v>
      </c>
      <c r="F206" s="141">
        <f ca="1">SUM(F174:F204)</f>
        <v>-231042.06150245777</v>
      </c>
      <c r="G206" s="143">
        <f ca="1">SUM(G174:G204)</f>
        <v>29930510.04715744</v>
      </c>
      <c r="H206" s="79">
        <f ca="1">IFERROR(I206 / (SUM($C174:$C204) / COUNT($C174:$C204)), 0)</f>
        <v>-1.6214322329928987E-2</v>
      </c>
      <c r="I206" s="141">
        <f ca="1">SUM(I174:I204)</f>
        <v>-69489.952842552797</v>
      </c>
      <c r="J206" s="143">
        <f ca="1">SUM(J174:J204)</f>
        <v>30070941.716258511</v>
      </c>
      <c r="K206" s="79">
        <f ca="1">IFERROR(L206 / (SUM($C174:$C204) / COUNT($C174:$C204)), 0)</f>
        <v>1.6553067126985326E-2</v>
      </c>
      <c r="L206" s="141">
        <f ca="1">SUM(L174:L204)</f>
        <v>70941.716258508532</v>
      </c>
      <c r="M206" s="143">
        <f ca="1">SUM(M174:M204)</f>
        <v>29966856.07441783</v>
      </c>
      <c r="N206" s="79">
        <f ca="1">IFERROR(O206 / (SUM($C174:$C204) / COUNT($C174:$C204)), 0)</f>
        <v>-7.7335826358390135E-3</v>
      </c>
      <c r="O206" s="141">
        <f ca="1">SUM(O174:O204)</f>
        <v>-33143.925582167198</v>
      </c>
    </row>
    <row r="208" spans="1:15" ht="16.5" customHeight="1" thickBot="1"/>
    <row r="209" spans="1:15" ht="16.5" customHeight="1" thickBot="1">
      <c r="A209" s="193" t="str">
        <f>TEXT(투자전략!$G$1, "[$-ko-KR]yyyy년 mm월 ") &amp; "[동전코인] 전일대비 상승률 Bottom20 월말결산"</f>
        <v>2021년 05월 [동전코인] 전일대비 상승률 Bottom20 월말결산</v>
      </c>
      <c r="B209" s="194"/>
      <c r="C209" s="194"/>
      <c r="D209" s="194"/>
      <c r="E209" s="194"/>
      <c r="F209" s="194"/>
      <c r="G209" s="194"/>
      <c r="H209" s="194"/>
      <c r="I209" s="194"/>
      <c r="J209" s="194"/>
      <c r="K209" s="194"/>
      <c r="L209" s="194"/>
      <c r="M209" s="194"/>
      <c r="N209" s="194"/>
      <c r="O209" s="195"/>
    </row>
    <row r="210" spans="1:15" ht="16.5" customHeight="1" thickBot="1">
      <c r="A210" s="237" t="s">
        <v>320</v>
      </c>
      <c r="B210" s="214" t="s">
        <v>318</v>
      </c>
      <c r="C210" s="216"/>
      <c r="D210" s="214" t="s">
        <v>310</v>
      </c>
      <c r="E210" s="215"/>
      <c r="F210" s="216"/>
      <c r="G210" s="214" t="s">
        <v>311</v>
      </c>
      <c r="H210" s="215"/>
      <c r="I210" s="216"/>
      <c r="J210" s="214" t="s">
        <v>312</v>
      </c>
      <c r="K210" s="215"/>
      <c r="L210" s="216"/>
      <c r="M210" s="214" t="s">
        <v>313</v>
      </c>
      <c r="N210" s="215"/>
      <c r="O210" s="216"/>
    </row>
    <row r="211" spans="1:15" ht="16.5" customHeight="1" thickBot="1">
      <c r="A211" s="230"/>
      <c r="B211" s="160" t="s">
        <v>308</v>
      </c>
      <c r="C211" s="160" t="s">
        <v>42</v>
      </c>
      <c r="D211" s="124" t="s">
        <v>309</v>
      </c>
      <c r="E211" s="136" t="s">
        <v>40</v>
      </c>
      <c r="F211" s="162" t="s">
        <v>41</v>
      </c>
      <c r="G211" s="124" t="s">
        <v>309</v>
      </c>
      <c r="H211" s="136" t="s">
        <v>40</v>
      </c>
      <c r="I211" s="162" t="s">
        <v>41</v>
      </c>
      <c r="J211" s="124" t="s">
        <v>309</v>
      </c>
      <c r="K211" s="136" t="s">
        <v>40</v>
      </c>
      <c r="L211" s="162" t="s">
        <v>41</v>
      </c>
      <c r="M211" s="124" t="s">
        <v>309</v>
      </c>
      <c r="N211" s="136" t="s">
        <v>40</v>
      </c>
      <c r="O211" s="162" t="s">
        <v>41</v>
      </c>
    </row>
    <row r="212" spans="1:15" ht="16.5" customHeight="1">
      <c r="A212" s="160">
        <v>1</v>
      </c>
      <c r="B212" s="160" t="str">
        <f>TEXT(투자전략!$G$1+0, "[$-ko-KR]yyyy.mm.dd")</f>
        <v>2021.05.01</v>
      </c>
      <c r="C212" s="137">
        <f ca="1">IFERROR(COUNTA(INDIRECT($B212&amp;"!A152:A171")) * INDIRECT($B212&amp;"!B172"), "")</f>
        <v>6000000</v>
      </c>
      <c r="D212" s="145">
        <f ca="1">IFERROR($C212 * (1 + E212), "")</f>
        <v>6124643.8078743648</v>
      </c>
      <c r="E212" s="76">
        <f ca="1">IFERROR(INDIRECT($B212&amp;"!E172"), "")</f>
        <v>2.0773967979060941E-2</v>
      </c>
      <c r="F212" s="144">
        <f ca="1">IFERROR(INDIRECT($B212&amp;"!F172"), "")</f>
        <v>124643.80787436568</v>
      </c>
      <c r="G212" s="145">
        <f ca="1">IFERROR($C212 * (1 + H212), "")</f>
        <v>6105413.1165179126</v>
      </c>
      <c r="H212" s="76">
        <f ca="1">IFERROR(INDIRECT($B212&amp;"!H172"), "")</f>
        <v>1.7568852752985451E-2</v>
      </c>
      <c r="I212" s="144">
        <f ca="1">IFERROR(INDIRECT($B212&amp;"!I172"), "")</f>
        <v>105413.11651791273</v>
      </c>
      <c r="J212" s="145">
        <f ca="1">IFERROR($C212 * (1 + K212), "")</f>
        <v>6163717.9750172189</v>
      </c>
      <c r="K212" s="76">
        <f ca="1">IFERROR(INDIRECT($B212&amp;"!K172"), "")</f>
        <v>2.7286329169536477E-2</v>
      </c>
      <c r="L212" s="144">
        <f ca="1">IFERROR(INDIRECT($B212&amp;"!L172"), "")</f>
        <v>163717.97501721897</v>
      </c>
      <c r="M212" s="145">
        <f ca="1">IFERROR($C212 * (1 + N212), "")</f>
        <v>6157901.8330953205</v>
      </c>
      <c r="N212" s="76">
        <f ca="1">IFERROR(INDIRECT($B212&amp;"!N172"), "")</f>
        <v>2.6316972182553383E-2</v>
      </c>
      <c r="O212" s="144">
        <f ca="1">IFERROR(INDIRECT($B212&amp;"!O172"), "")</f>
        <v>157901.8330953203</v>
      </c>
    </row>
    <row r="213" spans="1:15" ht="16.5" customHeight="1">
      <c r="A213" s="159">
        <v>2</v>
      </c>
      <c r="B213" s="159" t="str">
        <f>TEXT(투자전략!$G$1+1, "[$-ko-KR]yyyy.mm.dd")</f>
        <v>2021.05.02</v>
      </c>
      <c r="C213" s="138">
        <f t="shared" ref="C213:C242" ca="1" si="65">IFERROR(COUNTA(INDIRECT($B213&amp;"!A152:A171")) * INDIRECT($B213&amp;"!B172"), "")</f>
        <v>6000000</v>
      </c>
      <c r="D213" s="142">
        <f t="shared" ref="D213:D242" ca="1" si="66">IFERROR($C213 * (1 + E213), "")</f>
        <v>5961370.5070159072</v>
      </c>
      <c r="E213" s="77">
        <f t="shared" ref="E213:E242" ca="1" si="67">IFERROR(INDIRECT($B213&amp;"!E172"), "")</f>
        <v>-6.4382488306821582E-3</v>
      </c>
      <c r="F213" s="140">
        <f t="shared" ref="F213:F242" ca="1" si="68">IFERROR(INDIRECT($B213&amp;"!F172"), "")</f>
        <v>-38629.492984092954</v>
      </c>
      <c r="G213" s="142">
        <f t="shared" ref="G213:G242" ca="1" si="69">IFERROR($C213 * (1 + H213), "")</f>
        <v>5966190.2954432806</v>
      </c>
      <c r="H213" s="77">
        <f t="shared" ref="H213:H242" ca="1" si="70">IFERROR(INDIRECT($B213&amp;"!H172"), "")</f>
        <v>-5.6349507594533142E-3</v>
      </c>
      <c r="I213" s="140">
        <f t="shared" ref="I213:I242" ca="1" si="71">IFERROR(INDIRECT($B213&amp;"!I172"), "")</f>
        <v>-33809.704556719887</v>
      </c>
      <c r="J213" s="142">
        <f t="shared" ref="J213:J242" ca="1" si="72">IFERROR($C213 * (1 + K213), "")</f>
        <v>6004574.4043603446</v>
      </c>
      <c r="K213" s="77">
        <f t="shared" ref="K213:K242" ca="1" si="73">IFERROR(INDIRECT($B213&amp;"!K172"), "")</f>
        <v>7.6240072672426322E-4</v>
      </c>
      <c r="L213" s="140">
        <f t="shared" ref="L213:L242" ca="1" si="74">IFERROR(INDIRECT($B213&amp;"!L172"), "")</f>
        <v>4574.404360345583</v>
      </c>
      <c r="M213" s="142">
        <f t="shared" ref="M213:M242" ca="1" si="75">IFERROR($C213 * (1 + N213), "")</f>
        <v>6066987.4722006135</v>
      </c>
      <c r="N213" s="77">
        <f t="shared" ref="N213:N242" ca="1" si="76">IFERROR(INDIRECT($B213&amp;"!N172"), "")</f>
        <v>1.1164578700102153E-2</v>
      </c>
      <c r="O213" s="140">
        <f t="shared" ref="O213:O242" ca="1" si="77">IFERROR(INDIRECT($B213&amp;"!O172"), "")</f>
        <v>66987.472200612887</v>
      </c>
    </row>
    <row r="214" spans="1:15" ht="16.5" customHeight="1">
      <c r="A214" s="159">
        <v>3</v>
      </c>
      <c r="B214" s="159" t="str">
        <f>TEXT(투자전략!$G$1+2, "[$-ko-KR]yyyy.mm.dd")</f>
        <v>2021.05.03</v>
      </c>
      <c r="C214" s="138">
        <f t="shared" ca="1" si="65"/>
        <v>6000000</v>
      </c>
      <c r="D214" s="142">
        <f t="shared" ca="1" si="66"/>
        <v>6128356.0662969947</v>
      </c>
      <c r="E214" s="77">
        <f t="shared" ca="1" si="67"/>
        <v>2.1392677716165733E-2</v>
      </c>
      <c r="F214" s="140">
        <f t="shared" ca="1" si="68"/>
        <v>128356.06629699441</v>
      </c>
      <c r="G214" s="142">
        <f t="shared" ca="1" si="69"/>
        <v>6240631.5506008863</v>
      </c>
      <c r="H214" s="77">
        <f t="shared" ca="1" si="70"/>
        <v>4.010525843348102E-2</v>
      </c>
      <c r="I214" s="140">
        <f t="shared" ca="1" si="71"/>
        <v>240631.55060088605</v>
      </c>
      <c r="J214" s="142">
        <f t="shared" ca="1" si="72"/>
        <v>6248225.5412954725</v>
      </c>
      <c r="K214" s="77">
        <f t="shared" ca="1" si="73"/>
        <v>4.1370923549245493E-2</v>
      </c>
      <c r="L214" s="140">
        <f t="shared" ca="1" si="74"/>
        <v>248225.541295473</v>
      </c>
      <c r="M214" s="142">
        <f t="shared" ca="1" si="75"/>
        <v>6222210.6952812904</v>
      </c>
      <c r="N214" s="77">
        <f t="shared" ca="1" si="76"/>
        <v>3.7035115880215207E-2</v>
      </c>
      <c r="O214" s="140">
        <f t="shared" ca="1" si="77"/>
        <v>222210.69528129121</v>
      </c>
    </row>
    <row r="215" spans="1:15" ht="16.5" customHeight="1">
      <c r="A215" s="159">
        <v>4</v>
      </c>
      <c r="B215" s="159" t="str">
        <f>TEXT(투자전략!$G$1+3, "[$-ko-KR]yyyy.mm.dd")</f>
        <v>2021.05.04</v>
      </c>
      <c r="C215" s="138">
        <f t="shared" ca="1" si="65"/>
        <v>6000000</v>
      </c>
      <c r="D215" s="142">
        <f t="shared" ca="1" si="66"/>
        <v>5752840.7580823554</v>
      </c>
      <c r="E215" s="77">
        <f t="shared" ca="1" si="67"/>
        <v>-4.1193206986274031E-2</v>
      </c>
      <c r="F215" s="140">
        <f t="shared" ca="1" si="68"/>
        <v>-247159.24191764425</v>
      </c>
      <c r="G215" s="142">
        <f t="shared" ca="1" si="69"/>
        <v>5793742.7243329585</v>
      </c>
      <c r="H215" s="77">
        <f t="shared" ca="1" si="70"/>
        <v>-3.4376212611173518E-2</v>
      </c>
      <c r="I215" s="140">
        <f t="shared" ca="1" si="71"/>
        <v>-206257.27566704105</v>
      </c>
      <c r="J215" s="142">
        <f t="shared" ca="1" si="72"/>
        <v>5765221.5588728925</v>
      </c>
      <c r="K215" s="77">
        <f t="shared" ca="1" si="73"/>
        <v>-3.9129740187851314E-2</v>
      </c>
      <c r="L215" s="140">
        <f t="shared" ca="1" si="74"/>
        <v>-234778.441127108</v>
      </c>
      <c r="M215" s="142">
        <f t="shared" ca="1" si="75"/>
        <v>5573575.2806062503</v>
      </c>
      <c r="N215" s="77">
        <f t="shared" ca="1" si="76"/>
        <v>-7.1070786565624905E-2</v>
      </c>
      <c r="O215" s="140">
        <f t="shared" ca="1" si="77"/>
        <v>-426424.71939374949</v>
      </c>
    </row>
    <row r="216" spans="1:15" ht="16.5" customHeight="1">
      <c r="A216" s="159">
        <v>5</v>
      </c>
      <c r="B216" s="159" t="str">
        <f>TEXT(투자전략!$G$1+4, "[$-ko-KR]yyyy.mm.dd")</f>
        <v>2021.05.05</v>
      </c>
      <c r="C216" s="138">
        <f t="shared" ca="1" si="65"/>
        <v>3000000</v>
      </c>
      <c r="D216" s="142">
        <f t="shared" ca="1" si="66"/>
        <v>2859213.9310296546</v>
      </c>
      <c r="E216" s="77">
        <f t="shared" ca="1" si="67"/>
        <v>-4.6928689656781777E-2</v>
      </c>
      <c r="F216" s="140">
        <f t="shared" ca="1" si="68"/>
        <v>-140786.06897034537</v>
      </c>
      <c r="G216" s="142">
        <f t="shared" ca="1" si="69"/>
        <v>2903434.1887083645</v>
      </c>
      <c r="H216" s="77">
        <f t="shared" ca="1" si="70"/>
        <v>-3.2188603763878595E-2</v>
      </c>
      <c r="I216" s="140">
        <f t="shared" ca="1" si="71"/>
        <v>-96565.811291635808</v>
      </c>
      <c r="J216" s="142">
        <f t="shared" ca="1" si="72"/>
        <v>2859883.4321260368</v>
      </c>
      <c r="K216" s="77">
        <f t="shared" ca="1" si="73"/>
        <v>-4.6705522624654335E-2</v>
      </c>
      <c r="L216" s="140">
        <f t="shared" ca="1" si="74"/>
        <v>-140116.56787396301</v>
      </c>
      <c r="M216" s="142">
        <f t="shared" ca="1" si="75"/>
        <v>2910276.6014548303</v>
      </c>
      <c r="N216" s="77">
        <f t="shared" ca="1" si="76"/>
        <v>-2.9907799515056555E-2</v>
      </c>
      <c r="O216" s="140">
        <f t="shared" ca="1" si="77"/>
        <v>-89723.398545169664</v>
      </c>
    </row>
    <row r="217" spans="1:15" ht="16.5" customHeight="1">
      <c r="A217" s="159">
        <v>6</v>
      </c>
      <c r="B217" s="159" t="str">
        <f>TEXT(투자전략!$G$1+5, "[$-ko-KR]yyyy.mm.dd")</f>
        <v>2021.05.06</v>
      </c>
      <c r="C217" s="138">
        <f t="shared" ca="1" si="65"/>
        <v>3000000</v>
      </c>
      <c r="D217" s="142">
        <f t="shared" ca="1" si="66"/>
        <v>3051209.0012251437</v>
      </c>
      <c r="E217" s="77">
        <f t="shared" ca="1" si="67"/>
        <v>1.7069667075047916E-2</v>
      </c>
      <c r="F217" s="140">
        <f t="shared" ca="1" si="68"/>
        <v>51209.001225143751</v>
      </c>
      <c r="G217" s="142">
        <f t="shared" ca="1" si="69"/>
        <v>3039003.1049177893</v>
      </c>
      <c r="H217" s="77">
        <f t="shared" ca="1" si="70"/>
        <v>1.300103497259641E-2</v>
      </c>
      <c r="I217" s="140">
        <f t="shared" ca="1" si="71"/>
        <v>39003.104917789227</v>
      </c>
      <c r="J217" s="142">
        <f t="shared" ca="1" si="72"/>
        <v>3029908.0315797902</v>
      </c>
      <c r="K217" s="77">
        <f t="shared" ca="1" si="73"/>
        <v>9.9693438599300147E-3</v>
      </c>
      <c r="L217" s="140">
        <f t="shared" ca="1" si="74"/>
        <v>29908.031579790048</v>
      </c>
      <c r="M217" s="142">
        <f t="shared" ca="1" si="75"/>
        <v>3007956.3399408925</v>
      </c>
      <c r="N217" s="77">
        <f t="shared" ca="1" si="76"/>
        <v>2.6521133136307622E-3</v>
      </c>
      <c r="O217" s="140">
        <f t="shared" ca="1" si="77"/>
        <v>7956.3399408922869</v>
      </c>
    </row>
    <row r="218" spans="1:15" ht="16.5" customHeight="1" thickBot="1">
      <c r="A218" s="161">
        <v>7</v>
      </c>
      <c r="B218" s="161" t="str">
        <f>TEXT(투자전략!$G$1+6, "[$-ko-KR]yyyy.mm.dd")</f>
        <v>2021.05.07</v>
      </c>
      <c r="C218" s="138">
        <f t="shared" ca="1" si="65"/>
        <v>3000000</v>
      </c>
      <c r="D218" s="142">
        <f t="shared" ca="1" si="66"/>
        <v>2805375.8685839912</v>
      </c>
      <c r="E218" s="77">
        <f t="shared" ca="1" si="67"/>
        <v>-6.4874710472002869E-2</v>
      </c>
      <c r="F218" s="140">
        <f t="shared" ca="1" si="68"/>
        <v>-194624.13141600866</v>
      </c>
      <c r="G218" s="142">
        <f t="shared" ca="1" si="69"/>
        <v>2851711.8765159096</v>
      </c>
      <c r="H218" s="77">
        <f t="shared" ca="1" si="70"/>
        <v>-4.9429374494696816E-2</v>
      </c>
      <c r="I218" s="140">
        <f t="shared" ca="1" si="71"/>
        <v>-148288.12348409035</v>
      </c>
      <c r="J218" s="142">
        <f t="shared" ca="1" si="72"/>
        <v>2947203.4301671609</v>
      </c>
      <c r="K218" s="77">
        <f t="shared" ca="1" si="73"/>
        <v>-1.7598856610946283E-2</v>
      </c>
      <c r="L218" s="140">
        <f t="shared" ca="1" si="74"/>
        <v>-52796.569832838817</v>
      </c>
      <c r="M218" s="142">
        <f t="shared" ca="1" si="75"/>
        <v>3000000</v>
      </c>
      <c r="N218" s="77">
        <f t="shared" ca="1" si="76"/>
        <v>0</v>
      </c>
      <c r="O218" s="140">
        <f t="shared" ca="1" si="77"/>
        <v>0</v>
      </c>
    </row>
    <row r="219" spans="1:15" ht="16.5" customHeight="1">
      <c r="A219" s="160">
        <v>8</v>
      </c>
      <c r="B219" s="160" t="str">
        <f>TEXT(투자전략!$G$1+7, "[$-ko-KR]yyyy.mm.dd")</f>
        <v>2021.05.08</v>
      </c>
      <c r="C219" s="137" t="str">
        <f t="shared" ca="1" si="65"/>
        <v/>
      </c>
      <c r="D219" s="145" t="str">
        <f t="shared" ca="1" si="66"/>
        <v/>
      </c>
      <c r="E219" s="76" t="str">
        <f t="shared" ca="1" si="67"/>
        <v/>
      </c>
      <c r="F219" s="144" t="str">
        <f t="shared" ca="1" si="68"/>
        <v/>
      </c>
      <c r="G219" s="145" t="str">
        <f t="shared" ca="1" si="69"/>
        <v/>
      </c>
      <c r="H219" s="76" t="str">
        <f t="shared" ca="1" si="70"/>
        <v/>
      </c>
      <c r="I219" s="144" t="str">
        <f t="shared" ca="1" si="71"/>
        <v/>
      </c>
      <c r="J219" s="145" t="str">
        <f t="shared" ca="1" si="72"/>
        <v/>
      </c>
      <c r="K219" s="76" t="str">
        <f t="shared" ca="1" si="73"/>
        <v/>
      </c>
      <c r="L219" s="144" t="str">
        <f t="shared" ca="1" si="74"/>
        <v/>
      </c>
      <c r="M219" s="145" t="str">
        <f t="shared" ca="1" si="75"/>
        <v/>
      </c>
      <c r="N219" s="76" t="str">
        <f t="shared" ca="1" si="76"/>
        <v/>
      </c>
      <c r="O219" s="144" t="str">
        <f t="shared" ca="1" si="77"/>
        <v/>
      </c>
    </row>
    <row r="220" spans="1:15" ht="16.5" customHeight="1">
      <c r="A220" s="159">
        <v>9</v>
      </c>
      <c r="B220" s="159" t="str">
        <f>TEXT(투자전략!$G$1+8, "[$-ko-KR]yyyy.mm.dd")</f>
        <v>2021.05.09</v>
      </c>
      <c r="C220" s="138" t="str">
        <f t="shared" ca="1" si="65"/>
        <v/>
      </c>
      <c r="D220" s="142" t="str">
        <f t="shared" ca="1" si="66"/>
        <v/>
      </c>
      <c r="E220" s="77" t="str">
        <f t="shared" ca="1" si="67"/>
        <v/>
      </c>
      <c r="F220" s="140" t="str">
        <f t="shared" ca="1" si="68"/>
        <v/>
      </c>
      <c r="G220" s="142" t="str">
        <f t="shared" ca="1" si="69"/>
        <v/>
      </c>
      <c r="H220" s="77" t="str">
        <f t="shared" ca="1" si="70"/>
        <v/>
      </c>
      <c r="I220" s="140" t="str">
        <f t="shared" ca="1" si="71"/>
        <v/>
      </c>
      <c r="J220" s="142" t="str">
        <f t="shared" ca="1" si="72"/>
        <v/>
      </c>
      <c r="K220" s="77" t="str">
        <f t="shared" ca="1" si="73"/>
        <v/>
      </c>
      <c r="L220" s="140" t="str">
        <f t="shared" ca="1" si="74"/>
        <v/>
      </c>
      <c r="M220" s="142" t="str">
        <f t="shared" ca="1" si="75"/>
        <v/>
      </c>
      <c r="N220" s="77" t="str">
        <f t="shared" ca="1" si="76"/>
        <v/>
      </c>
      <c r="O220" s="140" t="str">
        <f t="shared" ca="1" si="77"/>
        <v/>
      </c>
    </row>
    <row r="221" spans="1:15" ht="16.5" customHeight="1">
      <c r="A221" s="159">
        <v>10</v>
      </c>
      <c r="B221" s="159" t="str">
        <f>TEXT(투자전략!$G$1+9, "[$-ko-KR]yyyy.mm.dd")</f>
        <v>2021.05.10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 ht="16.5" customHeight="1">
      <c r="A222" s="159">
        <v>11</v>
      </c>
      <c r="B222" s="159" t="str">
        <f>TEXT(투자전략!$G$1+10, "[$-ko-KR]yyyy.mm.dd")</f>
        <v>2021.05.11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 ht="16.5" customHeight="1">
      <c r="A223" s="159">
        <v>12</v>
      </c>
      <c r="B223" s="159" t="str">
        <f>TEXT(투자전략!$G$1+11, "[$-ko-KR]yyyy.mm.dd")</f>
        <v>2021.05.12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 ht="16.5" customHeight="1">
      <c r="A224" s="159">
        <v>13</v>
      </c>
      <c r="B224" s="159" t="str">
        <f>TEXT(투자전략!$G$1+12, "[$-ko-KR]yyyy.mm.dd")</f>
        <v>2021.05.13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 ht="16.5" customHeight="1" thickBot="1">
      <c r="A225" s="161">
        <v>14</v>
      </c>
      <c r="B225" s="161" t="str">
        <f>TEXT(투자전략!$G$1+13, "[$-ko-KR]yyyy.mm.dd")</f>
        <v>2021.05.14</v>
      </c>
      <c r="C225" s="139" t="str">
        <f t="shared" ca="1" si="65"/>
        <v/>
      </c>
      <c r="D225" s="143" t="str">
        <f t="shared" ca="1" si="66"/>
        <v/>
      </c>
      <c r="E225" s="79" t="str">
        <f t="shared" ca="1" si="67"/>
        <v/>
      </c>
      <c r="F225" s="141" t="str">
        <f t="shared" ca="1" si="68"/>
        <v/>
      </c>
      <c r="G225" s="143" t="str">
        <f t="shared" ca="1" si="69"/>
        <v/>
      </c>
      <c r="H225" s="79" t="str">
        <f t="shared" ca="1" si="70"/>
        <v/>
      </c>
      <c r="I225" s="141" t="str">
        <f t="shared" ca="1" si="71"/>
        <v/>
      </c>
      <c r="J225" s="143" t="str">
        <f t="shared" ca="1" si="72"/>
        <v/>
      </c>
      <c r="K225" s="79" t="str">
        <f t="shared" ca="1" si="73"/>
        <v/>
      </c>
      <c r="L225" s="141" t="str">
        <f t="shared" ca="1" si="74"/>
        <v/>
      </c>
      <c r="M225" s="143" t="str">
        <f t="shared" ca="1" si="75"/>
        <v/>
      </c>
      <c r="N225" s="79" t="str">
        <f t="shared" ca="1" si="76"/>
        <v/>
      </c>
      <c r="O225" s="141" t="str">
        <f t="shared" ca="1" si="77"/>
        <v/>
      </c>
    </row>
    <row r="226" spans="1:15" ht="16.5" customHeight="1">
      <c r="A226" s="160">
        <v>15</v>
      </c>
      <c r="B226" s="160" t="str">
        <f>TEXT(투자전략!$G$1+14, "[$-ko-KR]yyyy.mm.dd")</f>
        <v>2021.05.15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6.5" customHeight="1">
      <c r="A227" s="159">
        <v>16</v>
      </c>
      <c r="B227" s="159" t="str">
        <f>TEXT(투자전략!$G$1+15, "[$-ko-KR]yyyy.mm.dd")</f>
        <v>2021.05.16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 ht="16.5" customHeight="1">
      <c r="A228" s="159">
        <v>17</v>
      </c>
      <c r="B228" s="159" t="str">
        <f>TEXT(투자전략!$G$1+16, "[$-ko-KR]yyyy.mm.dd")</f>
        <v>2021.05.17</v>
      </c>
      <c r="C228" s="138" t="str">
        <f t="shared" ca="1" si="65"/>
        <v/>
      </c>
      <c r="D228" s="142" t="str">
        <f t="shared" ca="1" si="66"/>
        <v/>
      </c>
      <c r="E228" s="77" t="str">
        <f t="shared" ca="1" si="67"/>
        <v/>
      </c>
      <c r="F228" s="140" t="str">
        <f t="shared" ca="1" si="68"/>
        <v/>
      </c>
      <c r="G228" s="142" t="str">
        <f t="shared" ca="1" si="69"/>
        <v/>
      </c>
      <c r="H228" s="77" t="str">
        <f t="shared" ca="1" si="70"/>
        <v/>
      </c>
      <c r="I228" s="140" t="str">
        <f t="shared" ca="1" si="71"/>
        <v/>
      </c>
      <c r="J228" s="142" t="str">
        <f t="shared" ca="1" si="72"/>
        <v/>
      </c>
      <c r="K228" s="77" t="str">
        <f t="shared" ca="1" si="73"/>
        <v/>
      </c>
      <c r="L228" s="140" t="str">
        <f t="shared" ca="1" si="74"/>
        <v/>
      </c>
      <c r="M228" s="142" t="str">
        <f t="shared" ca="1" si="75"/>
        <v/>
      </c>
      <c r="N228" s="77" t="str">
        <f t="shared" ca="1" si="76"/>
        <v/>
      </c>
      <c r="O228" s="140" t="str">
        <f t="shared" ca="1" si="77"/>
        <v/>
      </c>
    </row>
    <row r="229" spans="1:15" ht="16.5" customHeight="1">
      <c r="A229" s="159">
        <v>18</v>
      </c>
      <c r="B229" s="159" t="str">
        <f>TEXT(투자전략!$G$1+17, "[$-ko-KR]yyyy.mm.dd")</f>
        <v>2021.05.18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 ht="16.5" customHeight="1">
      <c r="A230" s="159">
        <v>19</v>
      </c>
      <c r="B230" s="159" t="str">
        <f>TEXT(투자전략!$G$1+18, "[$-ko-KR]yyyy.mm.dd")</f>
        <v>2021.05.19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 ht="16.5" customHeight="1">
      <c r="A231" s="159">
        <v>20</v>
      </c>
      <c r="B231" s="159" t="str">
        <f>TEXT(투자전략!$G$1+19, "[$-ko-KR]yyyy.mm.dd")</f>
        <v>2021.05.20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 ht="16.5" customHeight="1" thickBot="1">
      <c r="A232" s="161">
        <v>21</v>
      </c>
      <c r="B232" s="161" t="str">
        <f>TEXT(투자전략!$G$1+20, "[$-ko-KR]yyyy.mm.dd")</f>
        <v>2021.05.21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 ht="16.5" customHeight="1">
      <c r="A233" s="160">
        <v>22</v>
      </c>
      <c r="B233" s="160" t="str">
        <f>TEXT(투자전략!$G$1+21, "[$-ko-KR]yyyy.mm.dd")</f>
        <v>2021.05.22</v>
      </c>
      <c r="C233" s="137" t="str">
        <f t="shared" ca="1" si="65"/>
        <v/>
      </c>
      <c r="D233" s="145" t="str">
        <f t="shared" ca="1" si="66"/>
        <v/>
      </c>
      <c r="E233" s="76" t="str">
        <f t="shared" ca="1" si="67"/>
        <v/>
      </c>
      <c r="F233" s="144" t="str">
        <f t="shared" ca="1" si="68"/>
        <v/>
      </c>
      <c r="G233" s="145" t="str">
        <f t="shared" ca="1" si="69"/>
        <v/>
      </c>
      <c r="H233" s="76" t="str">
        <f t="shared" ca="1" si="70"/>
        <v/>
      </c>
      <c r="I233" s="144" t="str">
        <f t="shared" ca="1" si="71"/>
        <v/>
      </c>
      <c r="J233" s="145" t="str">
        <f t="shared" ca="1" si="72"/>
        <v/>
      </c>
      <c r="K233" s="76" t="str">
        <f t="shared" ca="1" si="73"/>
        <v/>
      </c>
      <c r="L233" s="144" t="str">
        <f t="shared" ca="1" si="74"/>
        <v/>
      </c>
      <c r="M233" s="145" t="str">
        <f t="shared" ca="1" si="75"/>
        <v/>
      </c>
      <c r="N233" s="76" t="str">
        <f t="shared" ca="1" si="76"/>
        <v/>
      </c>
      <c r="O233" s="144" t="str">
        <f t="shared" ca="1" si="77"/>
        <v/>
      </c>
    </row>
    <row r="234" spans="1:15" ht="16.5" customHeight="1">
      <c r="A234" s="159">
        <v>23</v>
      </c>
      <c r="B234" s="159" t="str">
        <f>TEXT(투자전략!$G$1+22, "[$-ko-KR]yyyy.mm.dd")</f>
        <v>2021.05.23</v>
      </c>
      <c r="C234" s="138" t="str">
        <f t="shared" ca="1" si="65"/>
        <v/>
      </c>
      <c r="D234" s="142" t="str">
        <f t="shared" ca="1" si="66"/>
        <v/>
      </c>
      <c r="E234" s="77" t="str">
        <f t="shared" ca="1" si="67"/>
        <v/>
      </c>
      <c r="F234" s="140" t="str">
        <f t="shared" ca="1" si="68"/>
        <v/>
      </c>
      <c r="G234" s="142" t="str">
        <f t="shared" ca="1" si="69"/>
        <v/>
      </c>
      <c r="H234" s="77" t="str">
        <f t="shared" ca="1" si="70"/>
        <v/>
      </c>
      <c r="I234" s="140" t="str">
        <f t="shared" ca="1" si="71"/>
        <v/>
      </c>
      <c r="J234" s="142" t="str">
        <f t="shared" ca="1" si="72"/>
        <v/>
      </c>
      <c r="K234" s="77" t="str">
        <f t="shared" ca="1" si="73"/>
        <v/>
      </c>
      <c r="L234" s="140" t="str">
        <f t="shared" ca="1" si="74"/>
        <v/>
      </c>
      <c r="M234" s="142" t="str">
        <f t="shared" ca="1" si="75"/>
        <v/>
      </c>
      <c r="N234" s="77" t="str">
        <f t="shared" ca="1" si="76"/>
        <v/>
      </c>
      <c r="O234" s="140" t="str">
        <f t="shared" ca="1" si="77"/>
        <v/>
      </c>
    </row>
    <row r="235" spans="1:15" ht="16.5" customHeight="1">
      <c r="A235" s="159">
        <v>24</v>
      </c>
      <c r="B235" s="159" t="str">
        <f>TEXT(투자전략!$G$1+23, "[$-ko-KR]yyyy.mm.dd")</f>
        <v>2021.05.24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 ht="16.5" customHeight="1">
      <c r="A236" s="159">
        <v>25</v>
      </c>
      <c r="B236" s="159" t="str">
        <f>TEXT(투자전략!$G$1+24, "[$-ko-KR]yyyy.mm.dd")</f>
        <v>2021.05.25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6.5" customHeight="1">
      <c r="A237" s="159">
        <v>26</v>
      </c>
      <c r="B237" s="159" t="str">
        <f>TEXT(투자전략!$G$1+25, "[$-ko-KR]yyyy.mm.dd")</f>
        <v>2021.05.26</v>
      </c>
      <c r="C237" s="138" t="str">
        <f t="shared" ca="1" si="65"/>
        <v/>
      </c>
      <c r="D237" s="142" t="str">
        <f t="shared" ca="1" si="66"/>
        <v/>
      </c>
      <c r="E237" s="77" t="str">
        <f t="shared" ca="1" si="67"/>
        <v/>
      </c>
      <c r="F237" s="140" t="str">
        <f t="shared" ca="1" si="68"/>
        <v/>
      </c>
      <c r="G237" s="142" t="str">
        <f t="shared" ca="1" si="69"/>
        <v/>
      </c>
      <c r="H237" s="77" t="str">
        <f t="shared" ca="1" si="70"/>
        <v/>
      </c>
      <c r="I237" s="140" t="str">
        <f t="shared" ca="1" si="71"/>
        <v/>
      </c>
      <c r="J237" s="142" t="str">
        <f t="shared" ca="1" si="72"/>
        <v/>
      </c>
      <c r="K237" s="77" t="str">
        <f t="shared" ca="1" si="73"/>
        <v/>
      </c>
      <c r="L237" s="140" t="str">
        <f t="shared" ca="1" si="74"/>
        <v/>
      </c>
      <c r="M237" s="142" t="str">
        <f t="shared" ca="1" si="75"/>
        <v/>
      </c>
      <c r="N237" s="77" t="str">
        <f t="shared" ca="1" si="76"/>
        <v/>
      </c>
      <c r="O237" s="140" t="str">
        <f t="shared" ca="1" si="77"/>
        <v/>
      </c>
    </row>
    <row r="238" spans="1:15" ht="16.5" customHeight="1">
      <c r="A238" s="159">
        <v>27</v>
      </c>
      <c r="B238" s="159" t="str">
        <f>TEXT(투자전략!$G$1+26, "[$-ko-KR]yyyy.mm.dd")</f>
        <v>2021.05.27</v>
      </c>
      <c r="C238" s="138" t="str">
        <f t="shared" ca="1" si="65"/>
        <v/>
      </c>
      <c r="D238" s="142" t="str">
        <f t="shared" ca="1" si="66"/>
        <v/>
      </c>
      <c r="E238" s="77" t="str">
        <f t="shared" ca="1" si="67"/>
        <v/>
      </c>
      <c r="F238" s="140" t="str">
        <f t="shared" ca="1" si="68"/>
        <v/>
      </c>
      <c r="G238" s="142" t="str">
        <f t="shared" ca="1" si="69"/>
        <v/>
      </c>
      <c r="H238" s="77" t="str">
        <f t="shared" ca="1" si="70"/>
        <v/>
      </c>
      <c r="I238" s="140" t="str">
        <f t="shared" ca="1" si="71"/>
        <v/>
      </c>
      <c r="J238" s="142" t="str">
        <f t="shared" ca="1" si="72"/>
        <v/>
      </c>
      <c r="K238" s="77" t="str">
        <f t="shared" ca="1" si="73"/>
        <v/>
      </c>
      <c r="L238" s="140" t="str">
        <f t="shared" ca="1" si="74"/>
        <v/>
      </c>
      <c r="M238" s="142" t="str">
        <f t="shared" ca="1" si="75"/>
        <v/>
      </c>
      <c r="N238" s="77" t="str">
        <f t="shared" ca="1" si="76"/>
        <v/>
      </c>
      <c r="O238" s="140" t="str">
        <f t="shared" ca="1" si="77"/>
        <v/>
      </c>
    </row>
    <row r="239" spans="1:15" ht="16.5" customHeight="1" thickBot="1">
      <c r="A239" s="161">
        <v>28</v>
      </c>
      <c r="B239" s="161" t="str">
        <f>TEXT(투자전략!$G$1+27, "[$-ko-KR]yyyy.mm.dd")</f>
        <v>2021.05.28</v>
      </c>
      <c r="C239" s="139" t="str">
        <f t="shared" ca="1" si="65"/>
        <v/>
      </c>
      <c r="D239" s="143" t="str">
        <f t="shared" ca="1" si="66"/>
        <v/>
      </c>
      <c r="E239" s="79" t="str">
        <f t="shared" ca="1" si="67"/>
        <v/>
      </c>
      <c r="F239" s="141" t="str">
        <f t="shared" ca="1" si="68"/>
        <v/>
      </c>
      <c r="G239" s="143" t="str">
        <f t="shared" ca="1" si="69"/>
        <v/>
      </c>
      <c r="H239" s="79" t="str">
        <f t="shared" ca="1" si="70"/>
        <v/>
      </c>
      <c r="I239" s="141" t="str">
        <f t="shared" ca="1" si="71"/>
        <v/>
      </c>
      <c r="J239" s="143" t="str">
        <f t="shared" ca="1" si="72"/>
        <v/>
      </c>
      <c r="K239" s="79" t="str">
        <f t="shared" ca="1" si="73"/>
        <v/>
      </c>
      <c r="L239" s="141" t="str">
        <f t="shared" ca="1" si="74"/>
        <v/>
      </c>
      <c r="M239" s="143" t="str">
        <f t="shared" ca="1" si="75"/>
        <v/>
      </c>
      <c r="N239" s="79" t="str">
        <f t="shared" ca="1" si="76"/>
        <v/>
      </c>
      <c r="O239" s="141" t="str">
        <f t="shared" ca="1" si="77"/>
        <v/>
      </c>
    </row>
    <row r="240" spans="1:15" ht="16.5" customHeight="1">
      <c r="A240" s="124">
        <v>29</v>
      </c>
      <c r="B240" s="160" t="str">
        <f>TEXT(투자전략!$G$1+28, "[$-ko-KR]yyyy.mm.dd")</f>
        <v>2021.05.29</v>
      </c>
      <c r="C240" s="138" t="str">
        <f t="shared" ca="1" si="65"/>
        <v/>
      </c>
      <c r="D240" s="142" t="str">
        <f t="shared" ca="1" si="66"/>
        <v/>
      </c>
      <c r="E240" s="77" t="str">
        <f t="shared" ca="1" si="67"/>
        <v/>
      </c>
      <c r="F240" s="140" t="str">
        <f t="shared" ca="1" si="68"/>
        <v/>
      </c>
      <c r="G240" s="142" t="str">
        <f t="shared" ca="1" si="69"/>
        <v/>
      </c>
      <c r="H240" s="77" t="str">
        <f t="shared" ca="1" si="70"/>
        <v/>
      </c>
      <c r="I240" s="140" t="str">
        <f t="shared" ca="1" si="71"/>
        <v/>
      </c>
      <c r="J240" s="142" t="str">
        <f t="shared" ca="1" si="72"/>
        <v/>
      </c>
      <c r="K240" s="77" t="str">
        <f t="shared" ca="1" si="73"/>
        <v/>
      </c>
      <c r="L240" s="140" t="str">
        <f t="shared" ca="1" si="74"/>
        <v/>
      </c>
      <c r="M240" s="142" t="str">
        <f t="shared" ca="1" si="75"/>
        <v/>
      </c>
      <c r="N240" s="77" t="str">
        <f t="shared" ca="1" si="76"/>
        <v/>
      </c>
      <c r="O240" s="140" t="str">
        <f t="shared" ca="1" si="77"/>
        <v/>
      </c>
    </row>
    <row r="241" spans="1:15" ht="16.5" customHeight="1">
      <c r="A241" s="124">
        <v>30</v>
      </c>
      <c r="B241" s="159" t="str">
        <f>TEXT(투자전략!$G$1+29, "[$-ko-KR]yyyy.mm.dd")</f>
        <v>2021.05.30</v>
      </c>
      <c r="C241" s="138" t="str">
        <f t="shared" ca="1" si="65"/>
        <v/>
      </c>
      <c r="D241" s="142" t="str">
        <f t="shared" ca="1" si="66"/>
        <v/>
      </c>
      <c r="E241" s="77" t="str">
        <f t="shared" ca="1" si="67"/>
        <v/>
      </c>
      <c r="F241" s="140" t="str">
        <f t="shared" ca="1" si="68"/>
        <v/>
      </c>
      <c r="G241" s="142" t="str">
        <f t="shared" ca="1" si="69"/>
        <v/>
      </c>
      <c r="H241" s="77" t="str">
        <f t="shared" ca="1" si="70"/>
        <v/>
      </c>
      <c r="I241" s="140" t="str">
        <f t="shared" ca="1" si="71"/>
        <v/>
      </c>
      <c r="J241" s="142" t="str">
        <f t="shared" ca="1" si="72"/>
        <v/>
      </c>
      <c r="K241" s="77" t="str">
        <f t="shared" ca="1" si="73"/>
        <v/>
      </c>
      <c r="L241" s="140" t="str">
        <f t="shared" ca="1" si="74"/>
        <v/>
      </c>
      <c r="M241" s="142" t="str">
        <f t="shared" ca="1" si="75"/>
        <v/>
      </c>
      <c r="N241" s="77" t="str">
        <f t="shared" ca="1" si="76"/>
        <v/>
      </c>
      <c r="O241" s="140" t="str">
        <f t="shared" ca="1" si="77"/>
        <v/>
      </c>
    </row>
    <row r="242" spans="1:15" ht="16.5" customHeight="1" thickBot="1">
      <c r="A242" s="124">
        <v>31</v>
      </c>
      <c r="B242" s="159" t="str">
        <f>TEXT(투자전략!$G$1+30, "[$-ko-KR]yyyy.mm.dd")</f>
        <v>2021.05.31</v>
      </c>
      <c r="C242" s="139" t="str">
        <f t="shared" ca="1" si="65"/>
        <v/>
      </c>
      <c r="D242" s="143" t="str">
        <f t="shared" ca="1" si="66"/>
        <v/>
      </c>
      <c r="E242" s="79" t="str">
        <f t="shared" ca="1" si="67"/>
        <v/>
      </c>
      <c r="F242" s="141" t="str">
        <f t="shared" ca="1" si="68"/>
        <v/>
      </c>
      <c r="G242" s="143" t="str">
        <f t="shared" ca="1" si="69"/>
        <v/>
      </c>
      <c r="H242" s="79" t="str">
        <f t="shared" ca="1" si="70"/>
        <v/>
      </c>
      <c r="I242" s="141" t="str">
        <f t="shared" ca="1" si="71"/>
        <v/>
      </c>
      <c r="J242" s="143" t="str">
        <f t="shared" ca="1" si="72"/>
        <v/>
      </c>
      <c r="K242" s="79" t="str">
        <f t="shared" ca="1" si="73"/>
        <v/>
      </c>
      <c r="L242" s="141" t="str">
        <f t="shared" ca="1" si="74"/>
        <v/>
      </c>
      <c r="M242" s="143" t="str">
        <f t="shared" ca="1" si="75"/>
        <v/>
      </c>
      <c r="N242" s="79" t="str">
        <f t="shared" ca="1" si="76"/>
        <v/>
      </c>
      <c r="O242" s="141" t="str">
        <f t="shared" ca="1" si="77"/>
        <v/>
      </c>
    </row>
    <row r="243" spans="1:15" ht="16.5" customHeight="1" thickBot="1">
      <c r="A243" s="221" t="s">
        <v>319</v>
      </c>
      <c r="B243" s="223"/>
      <c r="C243" s="135" t="s">
        <v>314</v>
      </c>
      <c r="D243" s="153" t="s">
        <v>315</v>
      </c>
      <c r="E243" s="154" t="s">
        <v>316</v>
      </c>
      <c r="F243" s="155" t="s">
        <v>317</v>
      </c>
      <c r="G243" s="153" t="s">
        <v>315</v>
      </c>
      <c r="H243" s="154" t="s">
        <v>316</v>
      </c>
      <c r="I243" s="155" t="s">
        <v>317</v>
      </c>
      <c r="J243" s="153" t="s">
        <v>315</v>
      </c>
      <c r="K243" s="154" t="s">
        <v>316</v>
      </c>
      <c r="L243" s="155" t="s">
        <v>317</v>
      </c>
      <c r="M243" s="153" t="s">
        <v>315</v>
      </c>
      <c r="N243" s="154" t="s">
        <v>316</v>
      </c>
      <c r="O243" s="155" t="s">
        <v>317</v>
      </c>
    </row>
    <row r="244" spans="1:15" ht="16.5" customHeight="1" thickBot="1">
      <c r="A244" s="214"/>
      <c r="B244" s="216"/>
      <c r="C244" s="139">
        <f ca="1">SUM(C212:C242)</f>
        <v>33000000</v>
      </c>
      <c r="D244" s="143">
        <f ca="1">SUM(D212:D242)</f>
        <v>32683009.940108415</v>
      </c>
      <c r="E244" s="79">
        <f ca="1">IFERROR(F244 / (SUM($C212:$C242) / COUNT($C212:$C242)), 0)</f>
        <v>-6.7240315734579129E-2</v>
      </c>
      <c r="F244" s="141">
        <f ca="1">SUM(F212:F242)</f>
        <v>-316990.05989158736</v>
      </c>
      <c r="G244" s="143">
        <f ca="1">SUM(G212:G242)</f>
        <v>32900126.857037105</v>
      </c>
      <c r="H244" s="79">
        <f ca="1">IFERROR(I244 / (SUM($C212:$C242) / COUNT($C212:$C242)), 0)</f>
        <v>-2.1185212143645257E-2</v>
      </c>
      <c r="I244" s="141">
        <f ca="1">SUM(I212:I242)</f>
        <v>-99873.142962899074</v>
      </c>
      <c r="J244" s="143">
        <f ca="1">SUM(J212:J242)</f>
        <v>33018734.373418916</v>
      </c>
      <c r="K244" s="79">
        <f ca="1">IFERROR(L244 / (SUM($C212:$C242) / COUNT($C212:$C242)), 0)</f>
        <v>3.9739579979522514E-3</v>
      </c>
      <c r="L244" s="141">
        <f ca="1">SUM(L212:L242)</f>
        <v>18734.373418917756</v>
      </c>
      <c r="M244" s="143">
        <f ca="1">SUM(M212:M242)</f>
        <v>32938908.222579196</v>
      </c>
      <c r="N244" s="79">
        <f ca="1">IFERROR(O244 / (SUM($C212:$C242) / COUNT($C212:$C242)), 0)</f>
        <v>-1.2958861877139913E-2</v>
      </c>
      <c r="O244" s="141">
        <f ca="1">SUM(O212:O242)</f>
        <v>-61091.777420802449</v>
      </c>
    </row>
    <row r="246" spans="1:15" ht="16.5" customHeight="1" thickBot="1"/>
    <row r="247" spans="1:15" ht="16.5" customHeight="1" thickBot="1">
      <c r="A247" s="193" t="str">
        <f>TEXT(투자전략!$G$1, "[$-ko-KR]yyyy년 mm월 ") &amp; "전일대비 상승률 Bottom20 월말결산"</f>
        <v>2021년 05월 전일대비 상승률 Bottom20 월말결산</v>
      </c>
      <c r="B247" s="194"/>
      <c r="C247" s="194"/>
      <c r="D247" s="194"/>
      <c r="E247" s="194"/>
      <c r="F247" s="194"/>
      <c r="G247" s="194"/>
      <c r="H247" s="194"/>
      <c r="I247" s="194"/>
      <c r="J247" s="194"/>
      <c r="K247" s="194"/>
      <c r="L247" s="194"/>
      <c r="M247" s="194"/>
      <c r="N247" s="194"/>
      <c r="O247" s="195"/>
    </row>
    <row r="248" spans="1:15" ht="16.5" customHeight="1" thickBot="1">
      <c r="A248" s="237" t="s">
        <v>320</v>
      </c>
      <c r="B248" s="214" t="s">
        <v>318</v>
      </c>
      <c r="C248" s="216"/>
      <c r="D248" s="214" t="s">
        <v>310</v>
      </c>
      <c r="E248" s="215"/>
      <c r="F248" s="216"/>
      <c r="G248" s="214" t="s">
        <v>311</v>
      </c>
      <c r="H248" s="215"/>
      <c r="I248" s="216"/>
      <c r="J248" s="214" t="s">
        <v>312</v>
      </c>
      <c r="K248" s="215"/>
      <c r="L248" s="216"/>
      <c r="M248" s="214" t="s">
        <v>313</v>
      </c>
      <c r="N248" s="215"/>
      <c r="O248" s="216"/>
    </row>
    <row r="249" spans="1:15" ht="16.5" customHeight="1" thickBot="1">
      <c r="A249" s="230"/>
      <c r="B249" s="160" t="s">
        <v>308</v>
      </c>
      <c r="C249" s="160" t="s">
        <v>42</v>
      </c>
      <c r="D249" s="124" t="s">
        <v>309</v>
      </c>
      <c r="E249" s="136" t="s">
        <v>40</v>
      </c>
      <c r="F249" s="162" t="s">
        <v>41</v>
      </c>
      <c r="G249" s="124" t="s">
        <v>309</v>
      </c>
      <c r="H249" s="136" t="s">
        <v>40</v>
      </c>
      <c r="I249" s="162" t="s">
        <v>41</v>
      </c>
      <c r="J249" s="124" t="s">
        <v>309</v>
      </c>
      <c r="K249" s="136" t="s">
        <v>40</v>
      </c>
      <c r="L249" s="162" t="s">
        <v>41</v>
      </c>
      <c r="M249" s="124" t="s">
        <v>309</v>
      </c>
      <c r="N249" s="136" t="s">
        <v>40</v>
      </c>
      <c r="O249" s="162" t="s">
        <v>41</v>
      </c>
    </row>
    <row r="250" spans="1:15" ht="16.5" customHeight="1">
      <c r="A250" s="160">
        <v>1</v>
      </c>
      <c r="B250" s="160" t="str">
        <f>TEXT(투자전략!$G$1+0, "[$-ko-KR]yyyy.mm.dd")</f>
        <v>2021.05.01</v>
      </c>
      <c r="C250" s="137">
        <f ca="1">IFERROR(COUNTA(INDIRECT($B250&amp;"!A179:A198")) * INDIRECT($B250&amp;"!B199"), "")</f>
        <v>6000000</v>
      </c>
      <c r="D250" s="145">
        <f ca="1">IFERROR($C250 * (1 + E250), "")</f>
        <v>6025352.5779671101</v>
      </c>
      <c r="E250" s="76">
        <f ca="1">IFERROR(INDIRECT($B250&amp;"!E199"), "")</f>
        <v>4.225429661185073E-3</v>
      </c>
      <c r="F250" s="144">
        <f ca="1">IFERROR(INDIRECT($B250&amp;"!F199"), "")</f>
        <v>25352.577967110439</v>
      </c>
      <c r="G250" s="145">
        <f ca="1">IFERROR($C250 * (1 + H250), "")</f>
        <v>5996980.6855061799</v>
      </c>
      <c r="H250" s="76">
        <f ca="1">IFERROR(INDIRECT($B250&amp;"!H199"), "")</f>
        <v>-5.0321908230329965E-4</v>
      </c>
      <c r="I250" s="144">
        <f ca="1">IFERROR(INDIRECT($B250&amp;"!I199"), "")</f>
        <v>-3019.3144938197966</v>
      </c>
      <c r="J250" s="145">
        <f ca="1">IFERROR($C250 * (1 + K250), "")</f>
        <v>6034904.925586124</v>
      </c>
      <c r="K250" s="76">
        <f ca="1">IFERROR(INDIRECT($B250&amp;"!K199"), "")</f>
        <v>5.8174875976873385E-3</v>
      </c>
      <c r="L250" s="144">
        <f ca="1">IFERROR(INDIRECT($B250&amp;"!L199"), "")</f>
        <v>34904.925586124016</v>
      </c>
      <c r="M250" s="145">
        <f ca="1">IFERROR($C250 * (1 + N250), "")</f>
        <v>6031271.9438245064</v>
      </c>
      <c r="N250" s="76">
        <f ca="1">IFERROR(INDIRECT($B250&amp;"!N199"), "")</f>
        <v>5.2119906374178248E-3</v>
      </c>
      <c r="O250" s="144">
        <f ca="1">IFERROR(INDIRECT($B250&amp;"!O199"), "")</f>
        <v>31271.943824506943</v>
      </c>
    </row>
    <row r="251" spans="1:15" ht="16.5" customHeight="1">
      <c r="A251" s="159">
        <v>2</v>
      </c>
      <c r="B251" s="159" t="str">
        <f>TEXT(투자전략!$G$1+1, "[$-ko-KR]yyyy.mm.dd")</f>
        <v>2021.05.02</v>
      </c>
      <c r="C251" s="138">
        <f t="shared" ref="C251:C280" ca="1" si="78">IFERROR(COUNTA(INDIRECT($B251&amp;"!A179:A198")) * INDIRECT($B251&amp;"!B199"), "")</f>
        <v>6000000</v>
      </c>
      <c r="D251" s="142">
        <f t="shared" ref="D251:D280" ca="1" si="79">IFERROR($C251 * (1 + E251), "")</f>
        <v>5959697.9038826097</v>
      </c>
      <c r="E251" s="77">
        <f t="shared" ref="E251:E280" ca="1" si="80">IFERROR(INDIRECT($B251&amp;"!E199"), "")</f>
        <v>-6.7170160195650138E-3</v>
      </c>
      <c r="F251" s="140">
        <f t="shared" ref="F251:F280" ca="1" si="81">IFERROR(INDIRECT($B251&amp;"!F199"), "")</f>
        <v>-40302.096117390087</v>
      </c>
      <c r="G251" s="142">
        <f t="shared" ref="G251:G280" ca="1" si="82">IFERROR($C251 * (1 + H251), "")</f>
        <v>5959870.4826934347</v>
      </c>
      <c r="H251" s="77">
        <f t="shared" ref="H251:H280" ca="1" si="83">IFERROR(INDIRECT($B251&amp;"!H199"), "")</f>
        <v>-6.6882528844275577E-3</v>
      </c>
      <c r="I251" s="140">
        <f t="shared" ref="I251:I280" ca="1" si="84">IFERROR(INDIRECT($B251&amp;"!I199"), "")</f>
        <v>-40129.517306565351</v>
      </c>
      <c r="J251" s="142">
        <f t="shared" ref="J251:J280" ca="1" si="85">IFERROR($C251 * (1 + K251), "")</f>
        <v>5994027.282291309</v>
      </c>
      <c r="K251" s="77">
        <f t="shared" ref="K251:K280" ca="1" si="86">IFERROR(INDIRECT($B251&amp;"!K199"), "")</f>
        <v>-9.9545295144856704E-4</v>
      </c>
      <c r="L251" s="140">
        <f t="shared" ref="L251:L280" ca="1" si="87">IFERROR(INDIRECT($B251&amp;"!L199"), "")</f>
        <v>-5972.7177086913989</v>
      </c>
      <c r="M251" s="142">
        <f t="shared" ref="M251:M280" ca="1" si="88">IFERROR($C251 * (1 + N251), "")</f>
        <v>6026319.5175636429</v>
      </c>
      <c r="N251" s="77">
        <f t="shared" ref="N251:N280" ca="1" si="89">IFERROR(INDIRECT($B251&amp;"!N199"), "")</f>
        <v>4.3865862606072333E-3</v>
      </c>
      <c r="O251" s="140">
        <f t="shared" ref="O251:O280" ca="1" si="90">IFERROR(INDIRECT($B251&amp;"!O199"), "")</f>
        <v>26319.517563643429</v>
      </c>
    </row>
    <row r="252" spans="1:15" ht="16.5" customHeight="1">
      <c r="A252" s="159">
        <v>3</v>
      </c>
      <c r="B252" s="159" t="str">
        <f>TEXT(투자전략!$G$1+2, "[$-ko-KR]yyyy.mm.dd")</f>
        <v>2021.05.03</v>
      </c>
      <c r="C252" s="138">
        <f t="shared" ca="1" si="78"/>
        <v>6000000</v>
      </c>
      <c r="D252" s="142">
        <f t="shared" ca="1" si="79"/>
        <v>6071850.281338485</v>
      </c>
      <c r="E252" s="77">
        <f t="shared" ca="1" si="80"/>
        <v>1.1975046889747402E-2</v>
      </c>
      <c r="F252" s="140">
        <f t="shared" ca="1" si="81"/>
        <v>71850.281338484405</v>
      </c>
      <c r="G252" s="142">
        <f t="shared" ca="1" si="82"/>
        <v>6151029.5048125805</v>
      </c>
      <c r="H252" s="77">
        <f t="shared" ca="1" si="83"/>
        <v>2.5171584135429977E-2</v>
      </c>
      <c r="I252" s="140">
        <f t="shared" ca="1" si="84"/>
        <v>151029.50481257981</v>
      </c>
      <c r="J252" s="142">
        <f t="shared" ca="1" si="85"/>
        <v>6162494.5289060026</v>
      </c>
      <c r="K252" s="77">
        <f t="shared" ca="1" si="86"/>
        <v>2.7082421484333614E-2</v>
      </c>
      <c r="L252" s="140">
        <f t="shared" ca="1" si="87"/>
        <v>162494.52890600168</v>
      </c>
      <c r="M252" s="142">
        <f t="shared" ca="1" si="88"/>
        <v>6130557.5460285367</v>
      </c>
      <c r="N252" s="77">
        <f t="shared" ca="1" si="89"/>
        <v>2.1759591004756114E-2</v>
      </c>
      <c r="O252" s="140">
        <f t="shared" ca="1" si="90"/>
        <v>130557.54602853667</v>
      </c>
    </row>
    <row r="253" spans="1:15" ht="16.5" customHeight="1">
      <c r="A253" s="159">
        <v>4</v>
      </c>
      <c r="B253" s="159" t="str">
        <f>TEXT(투자전략!$G$1+3, "[$-ko-KR]yyyy.mm.dd")</f>
        <v>2021.05.04</v>
      </c>
      <c r="C253" s="138">
        <f t="shared" ca="1" si="78"/>
        <v>6000000</v>
      </c>
      <c r="D253" s="142">
        <f t="shared" ca="1" si="79"/>
        <v>5762140.4655281333</v>
      </c>
      <c r="E253" s="77">
        <f t="shared" ca="1" si="80"/>
        <v>-3.9643255745311128E-2</v>
      </c>
      <c r="F253" s="140">
        <f t="shared" ca="1" si="81"/>
        <v>-237859.53447186679</v>
      </c>
      <c r="G253" s="142">
        <f t="shared" ca="1" si="82"/>
        <v>5824763.0404309658</v>
      </c>
      <c r="H253" s="77">
        <f t="shared" ca="1" si="83"/>
        <v>-2.9206159928172278E-2</v>
      </c>
      <c r="I253" s="140">
        <f t="shared" ca="1" si="84"/>
        <v>-175236.95956903361</v>
      </c>
      <c r="J253" s="142">
        <f t="shared" ca="1" si="85"/>
        <v>5788235.523084146</v>
      </c>
      <c r="K253" s="77">
        <f t="shared" ca="1" si="86"/>
        <v>-3.5294079485975779E-2</v>
      </c>
      <c r="L253" s="140">
        <f t="shared" ca="1" si="87"/>
        <v>-211764.47691585461</v>
      </c>
      <c r="M253" s="142">
        <f t="shared" ca="1" si="88"/>
        <v>5596409.9469873086</v>
      </c>
      <c r="N253" s="77">
        <f t="shared" ca="1" si="89"/>
        <v>-6.7265008835448475E-2</v>
      </c>
      <c r="O253" s="140">
        <f t="shared" ca="1" si="90"/>
        <v>-403590.05301269086</v>
      </c>
    </row>
    <row r="254" spans="1:15" ht="16.5" customHeight="1">
      <c r="A254" s="159">
        <v>5</v>
      </c>
      <c r="B254" s="159" t="str">
        <f>TEXT(투자전략!$G$1+4, "[$-ko-KR]yyyy.mm.dd")</f>
        <v>2021.05.05</v>
      </c>
      <c r="C254" s="138">
        <f t="shared" ca="1" si="78"/>
        <v>3000000</v>
      </c>
      <c r="D254" s="142">
        <f t="shared" ca="1" si="79"/>
        <v>2857823.9727074876</v>
      </c>
      <c r="E254" s="77">
        <f t="shared" ca="1" si="80"/>
        <v>-4.7392009097504052E-2</v>
      </c>
      <c r="F254" s="140">
        <f t="shared" ca="1" si="81"/>
        <v>-142176.02729251215</v>
      </c>
      <c r="G254" s="142">
        <f t="shared" ca="1" si="82"/>
        <v>2914503.427127427</v>
      </c>
      <c r="H254" s="77">
        <f t="shared" ca="1" si="83"/>
        <v>-2.8498857624190993E-2</v>
      </c>
      <c r="I254" s="140">
        <f t="shared" ca="1" si="84"/>
        <v>-85496.572872572986</v>
      </c>
      <c r="J254" s="142">
        <f t="shared" ca="1" si="85"/>
        <v>2881248.0135192964</v>
      </c>
      <c r="K254" s="77">
        <f t="shared" ca="1" si="86"/>
        <v>-3.9583995493567829E-2</v>
      </c>
      <c r="L254" s="140">
        <f t="shared" ca="1" si="87"/>
        <v>-118751.98648070348</v>
      </c>
      <c r="M254" s="142">
        <f t="shared" ca="1" si="88"/>
        <v>2949129.973231947</v>
      </c>
      <c r="N254" s="77">
        <f t="shared" ca="1" si="89"/>
        <v>-1.6956675589350954E-2</v>
      </c>
      <c r="O254" s="140">
        <f t="shared" ca="1" si="90"/>
        <v>-50870.026768052856</v>
      </c>
    </row>
    <row r="255" spans="1:15" ht="16.5" customHeight="1">
      <c r="A255" s="159">
        <v>6</v>
      </c>
      <c r="B255" s="159" t="str">
        <f>TEXT(투자전략!$G$1+5, "[$-ko-KR]yyyy.mm.dd")</f>
        <v>2021.05.06</v>
      </c>
      <c r="C255" s="138">
        <f t="shared" ca="1" si="78"/>
        <v>3000000</v>
      </c>
      <c r="D255" s="142">
        <f t="shared" ca="1" si="79"/>
        <v>3032923.5696568191</v>
      </c>
      <c r="E255" s="77">
        <f t="shared" ca="1" si="80"/>
        <v>1.0974523218939785E-2</v>
      </c>
      <c r="F255" s="140">
        <f t="shared" ca="1" si="81"/>
        <v>32923.56965681936</v>
      </c>
      <c r="G255" s="142">
        <f t="shared" ca="1" si="82"/>
        <v>3029173.7488214332</v>
      </c>
      <c r="H255" s="77">
        <f t="shared" ca="1" si="83"/>
        <v>9.7245829404777676E-3</v>
      </c>
      <c r="I255" s="140">
        <f t="shared" ca="1" si="84"/>
        <v>29173.748821433299</v>
      </c>
      <c r="J255" s="142">
        <f t="shared" ca="1" si="85"/>
        <v>3037321.7469989774</v>
      </c>
      <c r="K255" s="77">
        <f t="shared" ca="1" si="86"/>
        <v>1.2440582332992497E-2</v>
      </c>
      <c r="L255" s="140">
        <f t="shared" ca="1" si="87"/>
        <v>37321.746998977498</v>
      </c>
      <c r="M255" s="142">
        <f t="shared" ca="1" si="88"/>
        <v>3001063.6822244455</v>
      </c>
      <c r="N255" s="77">
        <f t="shared" ca="1" si="89"/>
        <v>3.5456074148180057E-4</v>
      </c>
      <c r="O255" s="140">
        <f t="shared" ca="1" si="90"/>
        <v>1063.6822244454038</v>
      </c>
    </row>
    <row r="256" spans="1:15" ht="16.5" customHeight="1" thickBot="1">
      <c r="A256" s="161">
        <v>7</v>
      </c>
      <c r="B256" s="161" t="str">
        <f>TEXT(투자전략!$G$1+6, "[$-ko-KR]yyyy.mm.dd")</f>
        <v>2021.05.07</v>
      </c>
      <c r="C256" s="138">
        <f t="shared" ca="1" si="78"/>
        <v>3000000</v>
      </c>
      <c r="D256" s="142">
        <f t="shared" ca="1" si="79"/>
        <v>2780552.1730083278</v>
      </c>
      <c r="E256" s="77">
        <f t="shared" ca="1" si="80"/>
        <v>-7.3149275663890678E-2</v>
      </c>
      <c r="F256" s="140">
        <f t="shared" ca="1" si="81"/>
        <v>-219447.82699167202</v>
      </c>
      <c r="G256" s="142">
        <f t="shared" ca="1" si="82"/>
        <v>2836638.1312083574</v>
      </c>
      <c r="H256" s="77">
        <f t="shared" ca="1" si="83"/>
        <v>-5.4453956263880873E-2</v>
      </c>
      <c r="I256" s="140">
        <f t="shared" ca="1" si="84"/>
        <v>-163361.8687916426</v>
      </c>
      <c r="J256" s="142">
        <f t="shared" ca="1" si="85"/>
        <v>2940004.2227224642</v>
      </c>
      <c r="K256" s="77">
        <f t="shared" ca="1" si="86"/>
        <v>-1.9998592425845285E-2</v>
      </c>
      <c r="L256" s="140">
        <f t="shared" ca="1" si="87"/>
        <v>-59995.777277535846</v>
      </c>
      <c r="M256" s="142">
        <f t="shared" ca="1" si="88"/>
        <v>3000000</v>
      </c>
      <c r="N256" s="77">
        <f t="shared" ca="1" si="89"/>
        <v>0</v>
      </c>
      <c r="O256" s="140">
        <f t="shared" ca="1" si="90"/>
        <v>0</v>
      </c>
    </row>
    <row r="257" spans="1:15" ht="16.5" customHeight="1">
      <c r="A257" s="160">
        <v>8</v>
      </c>
      <c r="B257" s="160" t="str">
        <f>TEXT(투자전략!$G$1+7, "[$-ko-KR]yyyy.mm.dd")</f>
        <v>2021.05.08</v>
      </c>
      <c r="C257" s="137" t="str">
        <f t="shared" ca="1" si="78"/>
        <v/>
      </c>
      <c r="D257" s="145" t="str">
        <f t="shared" ca="1" si="79"/>
        <v/>
      </c>
      <c r="E257" s="76" t="str">
        <f t="shared" ca="1" si="80"/>
        <v/>
      </c>
      <c r="F257" s="144" t="str">
        <f t="shared" ca="1" si="81"/>
        <v/>
      </c>
      <c r="G257" s="145" t="str">
        <f t="shared" ca="1" si="82"/>
        <v/>
      </c>
      <c r="H257" s="76" t="str">
        <f t="shared" ca="1" si="83"/>
        <v/>
      </c>
      <c r="I257" s="144" t="str">
        <f t="shared" ca="1" si="84"/>
        <v/>
      </c>
      <c r="J257" s="145" t="str">
        <f t="shared" ca="1" si="85"/>
        <v/>
      </c>
      <c r="K257" s="76" t="str">
        <f t="shared" ca="1" si="86"/>
        <v/>
      </c>
      <c r="L257" s="144" t="str">
        <f t="shared" ca="1" si="87"/>
        <v/>
      </c>
      <c r="M257" s="145" t="str">
        <f t="shared" ca="1" si="88"/>
        <v/>
      </c>
      <c r="N257" s="76" t="str">
        <f t="shared" ca="1" si="89"/>
        <v/>
      </c>
      <c r="O257" s="144" t="str">
        <f t="shared" ca="1" si="90"/>
        <v/>
      </c>
    </row>
    <row r="258" spans="1:15" ht="16.5" customHeight="1">
      <c r="A258" s="159">
        <v>9</v>
      </c>
      <c r="B258" s="159" t="str">
        <f>TEXT(투자전략!$G$1+8, "[$-ko-KR]yyyy.mm.dd")</f>
        <v>2021.05.09</v>
      </c>
      <c r="C258" s="138" t="str">
        <f t="shared" ca="1" si="78"/>
        <v/>
      </c>
      <c r="D258" s="142" t="str">
        <f t="shared" ca="1" si="79"/>
        <v/>
      </c>
      <c r="E258" s="77" t="str">
        <f t="shared" ca="1" si="80"/>
        <v/>
      </c>
      <c r="F258" s="140" t="str">
        <f t="shared" ca="1" si="81"/>
        <v/>
      </c>
      <c r="G258" s="142" t="str">
        <f t="shared" ca="1" si="82"/>
        <v/>
      </c>
      <c r="H258" s="77" t="str">
        <f t="shared" ca="1" si="83"/>
        <v/>
      </c>
      <c r="I258" s="140" t="str">
        <f t="shared" ca="1" si="84"/>
        <v/>
      </c>
      <c r="J258" s="142" t="str">
        <f t="shared" ca="1" si="85"/>
        <v/>
      </c>
      <c r="K258" s="77" t="str">
        <f t="shared" ca="1" si="86"/>
        <v/>
      </c>
      <c r="L258" s="140" t="str">
        <f t="shared" ca="1" si="87"/>
        <v/>
      </c>
      <c r="M258" s="142" t="str">
        <f t="shared" ca="1" si="88"/>
        <v/>
      </c>
      <c r="N258" s="77" t="str">
        <f t="shared" ca="1" si="89"/>
        <v/>
      </c>
      <c r="O258" s="140" t="str">
        <f t="shared" ca="1" si="90"/>
        <v/>
      </c>
    </row>
    <row r="259" spans="1:15" ht="16.5" customHeight="1">
      <c r="A259" s="159">
        <v>10</v>
      </c>
      <c r="B259" s="159" t="str">
        <f>TEXT(투자전략!$G$1+9, "[$-ko-KR]yyyy.mm.dd")</f>
        <v>2021.05.10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 ht="16.5" customHeight="1">
      <c r="A260" s="159">
        <v>11</v>
      </c>
      <c r="B260" s="159" t="str">
        <f>TEXT(투자전략!$G$1+10, "[$-ko-KR]yyyy.mm.dd")</f>
        <v>2021.05.11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 ht="16.5" customHeight="1">
      <c r="A261" s="159">
        <v>12</v>
      </c>
      <c r="B261" s="159" t="str">
        <f>TEXT(투자전략!$G$1+11, "[$-ko-KR]yyyy.mm.dd")</f>
        <v>2021.05.12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 ht="16.5" customHeight="1">
      <c r="A262" s="159">
        <v>13</v>
      </c>
      <c r="B262" s="159" t="str">
        <f>TEXT(투자전략!$G$1+12, "[$-ko-KR]yyyy.mm.dd")</f>
        <v>2021.05.13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 ht="16.5" customHeight="1" thickBot="1">
      <c r="A263" s="161">
        <v>14</v>
      </c>
      <c r="B263" s="161" t="str">
        <f>TEXT(투자전략!$G$1+13, "[$-ko-KR]yyyy.mm.dd")</f>
        <v>2021.05.14</v>
      </c>
      <c r="C263" s="139" t="str">
        <f t="shared" ca="1" si="78"/>
        <v/>
      </c>
      <c r="D263" s="143" t="str">
        <f t="shared" ca="1" si="79"/>
        <v/>
      </c>
      <c r="E263" s="79" t="str">
        <f t="shared" ca="1" si="80"/>
        <v/>
      </c>
      <c r="F263" s="141" t="str">
        <f t="shared" ca="1" si="81"/>
        <v/>
      </c>
      <c r="G263" s="143" t="str">
        <f t="shared" ca="1" si="82"/>
        <v/>
      </c>
      <c r="H263" s="79" t="str">
        <f t="shared" ca="1" si="83"/>
        <v/>
      </c>
      <c r="I263" s="141" t="str">
        <f t="shared" ca="1" si="84"/>
        <v/>
      </c>
      <c r="J263" s="143" t="str">
        <f t="shared" ca="1" si="85"/>
        <v/>
      </c>
      <c r="K263" s="79" t="str">
        <f t="shared" ca="1" si="86"/>
        <v/>
      </c>
      <c r="L263" s="141" t="str">
        <f t="shared" ca="1" si="87"/>
        <v/>
      </c>
      <c r="M263" s="143" t="str">
        <f t="shared" ca="1" si="88"/>
        <v/>
      </c>
      <c r="N263" s="79" t="str">
        <f t="shared" ca="1" si="89"/>
        <v/>
      </c>
      <c r="O263" s="141" t="str">
        <f t="shared" ca="1" si="90"/>
        <v/>
      </c>
    </row>
    <row r="264" spans="1:15" ht="16.5" customHeight="1">
      <c r="A264" s="160">
        <v>15</v>
      </c>
      <c r="B264" s="160" t="str">
        <f>TEXT(투자전략!$G$1+14, "[$-ko-KR]yyyy.mm.dd")</f>
        <v>2021.05.15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6.5" customHeight="1">
      <c r="A265" s="159">
        <v>16</v>
      </c>
      <c r="B265" s="159" t="str">
        <f>TEXT(투자전략!$G$1+15, "[$-ko-KR]yyyy.mm.dd")</f>
        <v>2021.05.16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 ht="16.5" customHeight="1">
      <c r="A266" s="159">
        <v>17</v>
      </c>
      <c r="B266" s="159" t="str">
        <f>TEXT(투자전략!$G$1+16, "[$-ko-KR]yyyy.mm.dd")</f>
        <v>2021.05.17</v>
      </c>
      <c r="C266" s="138" t="str">
        <f t="shared" ca="1" si="78"/>
        <v/>
      </c>
      <c r="D266" s="142" t="str">
        <f t="shared" ca="1" si="79"/>
        <v/>
      </c>
      <c r="E266" s="77" t="str">
        <f t="shared" ca="1" si="80"/>
        <v/>
      </c>
      <c r="F266" s="140" t="str">
        <f t="shared" ca="1" si="81"/>
        <v/>
      </c>
      <c r="G266" s="142" t="str">
        <f t="shared" ca="1" si="82"/>
        <v/>
      </c>
      <c r="H266" s="77" t="str">
        <f t="shared" ca="1" si="83"/>
        <v/>
      </c>
      <c r="I266" s="140" t="str">
        <f t="shared" ca="1" si="84"/>
        <v/>
      </c>
      <c r="J266" s="142" t="str">
        <f t="shared" ca="1" si="85"/>
        <v/>
      </c>
      <c r="K266" s="77" t="str">
        <f t="shared" ca="1" si="86"/>
        <v/>
      </c>
      <c r="L266" s="140" t="str">
        <f t="shared" ca="1" si="87"/>
        <v/>
      </c>
      <c r="M266" s="142" t="str">
        <f t="shared" ca="1" si="88"/>
        <v/>
      </c>
      <c r="N266" s="77" t="str">
        <f t="shared" ca="1" si="89"/>
        <v/>
      </c>
      <c r="O266" s="140" t="str">
        <f t="shared" ca="1" si="90"/>
        <v/>
      </c>
    </row>
    <row r="267" spans="1:15" ht="16.5" customHeight="1">
      <c r="A267" s="159">
        <v>18</v>
      </c>
      <c r="B267" s="159" t="str">
        <f>TEXT(투자전략!$G$1+17, "[$-ko-KR]yyyy.mm.dd")</f>
        <v>2021.05.18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 ht="16.5" customHeight="1">
      <c r="A268" s="159">
        <v>19</v>
      </c>
      <c r="B268" s="159" t="str">
        <f>TEXT(투자전략!$G$1+18, "[$-ko-KR]yyyy.mm.dd")</f>
        <v>2021.05.19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 ht="16.5" customHeight="1">
      <c r="A269" s="159">
        <v>20</v>
      </c>
      <c r="B269" s="159" t="str">
        <f>TEXT(투자전략!$G$1+19, "[$-ko-KR]yyyy.mm.dd")</f>
        <v>2021.05.20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 ht="16.5" customHeight="1" thickBot="1">
      <c r="A270" s="161">
        <v>21</v>
      </c>
      <c r="B270" s="161" t="str">
        <f>TEXT(투자전략!$G$1+20, "[$-ko-KR]yyyy.mm.dd")</f>
        <v>2021.05.21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 ht="16.5" customHeight="1">
      <c r="A271" s="160">
        <v>22</v>
      </c>
      <c r="B271" s="160" t="str">
        <f>TEXT(투자전략!$G$1+21, "[$-ko-KR]yyyy.mm.dd")</f>
        <v>2021.05.22</v>
      </c>
      <c r="C271" s="137" t="str">
        <f t="shared" ca="1" si="78"/>
        <v/>
      </c>
      <c r="D271" s="145" t="str">
        <f t="shared" ca="1" si="79"/>
        <v/>
      </c>
      <c r="E271" s="76" t="str">
        <f t="shared" ca="1" si="80"/>
        <v/>
      </c>
      <c r="F271" s="144" t="str">
        <f t="shared" ca="1" si="81"/>
        <v/>
      </c>
      <c r="G271" s="145" t="str">
        <f t="shared" ca="1" si="82"/>
        <v/>
      </c>
      <c r="H271" s="76" t="str">
        <f t="shared" ca="1" si="83"/>
        <v/>
      </c>
      <c r="I271" s="144" t="str">
        <f t="shared" ca="1" si="84"/>
        <v/>
      </c>
      <c r="J271" s="145" t="str">
        <f t="shared" ca="1" si="85"/>
        <v/>
      </c>
      <c r="K271" s="76" t="str">
        <f t="shared" ca="1" si="86"/>
        <v/>
      </c>
      <c r="L271" s="144" t="str">
        <f t="shared" ca="1" si="87"/>
        <v/>
      </c>
      <c r="M271" s="145" t="str">
        <f t="shared" ca="1" si="88"/>
        <v/>
      </c>
      <c r="N271" s="76" t="str">
        <f t="shared" ca="1" si="89"/>
        <v/>
      </c>
      <c r="O271" s="144" t="str">
        <f t="shared" ca="1" si="90"/>
        <v/>
      </c>
    </row>
    <row r="272" spans="1:15" ht="16.5" customHeight="1">
      <c r="A272" s="159">
        <v>23</v>
      </c>
      <c r="B272" s="159" t="str">
        <f>TEXT(투자전략!$G$1+22, "[$-ko-KR]yyyy.mm.dd")</f>
        <v>2021.05.23</v>
      </c>
      <c r="C272" s="138" t="str">
        <f t="shared" ca="1" si="78"/>
        <v/>
      </c>
      <c r="D272" s="142" t="str">
        <f t="shared" ca="1" si="79"/>
        <v/>
      </c>
      <c r="E272" s="77" t="str">
        <f t="shared" ca="1" si="80"/>
        <v/>
      </c>
      <c r="F272" s="140" t="str">
        <f t="shared" ca="1" si="81"/>
        <v/>
      </c>
      <c r="G272" s="142" t="str">
        <f t="shared" ca="1" si="82"/>
        <v/>
      </c>
      <c r="H272" s="77" t="str">
        <f t="shared" ca="1" si="83"/>
        <v/>
      </c>
      <c r="I272" s="140" t="str">
        <f t="shared" ca="1" si="84"/>
        <v/>
      </c>
      <c r="J272" s="142" t="str">
        <f t="shared" ca="1" si="85"/>
        <v/>
      </c>
      <c r="K272" s="77" t="str">
        <f t="shared" ca="1" si="86"/>
        <v/>
      </c>
      <c r="L272" s="140" t="str">
        <f t="shared" ca="1" si="87"/>
        <v/>
      </c>
      <c r="M272" s="142" t="str">
        <f t="shared" ca="1" si="88"/>
        <v/>
      </c>
      <c r="N272" s="77" t="str">
        <f t="shared" ca="1" si="89"/>
        <v/>
      </c>
      <c r="O272" s="140" t="str">
        <f t="shared" ca="1" si="90"/>
        <v/>
      </c>
    </row>
    <row r="273" spans="1:15" ht="16.5" customHeight="1">
      <c r="A273" s="159">
        <v>24</v>
      </c>
      <c r="B273" s="159" t="str">
        <f>TEXT(투자전략!$G$1+23, "[$-ko-KR]yyyy.mm.dd")</f>
        <v>2021.05.24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 ht="16.5" customHeight="1">
      <c r="A274" s="159">
        <v>25</v>
      </c>
      <c r="B274" s="159" t="str">
        <f>TEXT(투자전략!$G$1+24, "[$-ko-KR]yyyy.mm.dd")</f>
        <v>2021.05.25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6.5" customHeight="1">
      <c r="A275" s="159">
        <v>26</v>
      </c>
      <c r="B275" s="159" t="str">
        <f>TEXT(투자전략!$G$1+25, "[$-ko-KR]yyyy.mm.dd")</f>
        <v>2021.05.26</v>
      </c>
      <c r="C275" s="138" t="str">
        <f t="shared" ca="1" si="78"/>
        <v/>
      </c>
      <c r="D275" s="142" t="str">
        <f t="shared" ca="1" si="79"/>
        <v/>
      </c>
      <c r="E275" s="77" t="str">
        <f t="shared" ca="1" si="80"/>
        <v/>
      </c>
      <c r="F275" s="140" t="str">
        <f t="shared" ca="1" si="81"/>
        <v/>
      </c>
      <c r="G275" s="142" t="str">
        <f t="shared" ca="1" si="82"/>
        <v/>
      </c>
      <c r="H275" s="77" t="str">
        <f t="shared" ca="1" si="83"/>
        <v/>
      </c>
      <c r="I275" s="140" t="str">
        <f t="shared" ca="1" si="84"/>
        <v/>
      </c>
      <c r="J275" s="142" t="str">
        <f t="shared" ca="1" si="85"/>
        <v/>
      </c>
      <c r="K275" s="77" t="str">
        <f t="shared" ca="1" si="86"/>
        <v/>
      </c>
      <c r="L275" s="140" t="str">
        <f t="shared" ca="1" si="87"/>
        <v/>
      </c>
      <c r="M275" s="142" t="str">
        <f t="shared" ca="1" si="88"/>
        <v/>
      </c>
      <c r="N275" s="77" t="str">
        <f t="shared" ca="1" si="89"/>
        <v/>
      </c>
      <c r="O275" s="140" t="str">
        <f t="shared" ca="1" si="90"/>
        <v/>
      </c>
    </row>
    <row r="276" spans="1:15" ht="16.5" customHeight="1">
      <c r="A276" s="159">
        <v>27</v>
      </c>
      <c r="B276" s="159" t="str">
        <f>TEXT(투자전략!$G$1+26, "[$-ko-KR]yyyy.mm.dd")</f>
        <v>2021.05.27</v>
      </c>
      <c r="C276" s="138" t="str">
        <f t="shared" ca="1" si="78"/>
        <v/>
      </c>
      <c r="D276" s="142" t="str">
        <f t="shared" ca="1" si="79"/>
        <v/>
      </c>
      <c r="E276" s="77" t="str">
        <f t="shared" ca="1" si="80"/>
        <v/>
      </c>
      <c r="F276" s="140" t="str">
        <f t="shared" ca="1" si="81"/>
        <v/>
      </c>
      <c r="G276" s="142" t="str">
        <f t="shared" ca="1" si="82"/>
        <v/>
      </c>
      <c r="H276" s="77" t="str">
        <f t="shared" ca="1" si="83"/>
        <v/>
      </c>
      <c r="I276" s="140" t="str">
        <f t="shared" ca="1" si="84"/>
        <v/>
      </c>
      <c r="J276" s="142" t="str">
        <f t="shared" ca="1" si="85"/>
        <v/>
      </c>
      <c r="K276" s="77" t="str">
        <f t="shared" ca="1" si="86"/>
        <v/>
      </c>
      <c r="L276" s="140" t="str">
        <f t="shared" ca="1" si="87"/>
        <v/>
      </c>
      <c r="M276" s="142" t="str">
        <f t="shared" ca="1" si="88"/>
        <v/>
      </c>
      <c r="N276" s="77" t="str">
        <f t="shared" ca="1" si="89"/>
        <v/>
      </c>
      <c r="O276" s="140" t="str">
        <f t="shared" ca="1" si="90"/>
        <v/>
      </c>
    </row>
    <row r="277" spans="1:15" ht="16.5" customHeight="1" thickBot="1">
      <c r="A277" s="161">
        <v>28</v>
      </c>
      <c r="B277" s="161" t="str">
        <f>TEXT(투자전략!$G$1+27, "[$-ko-KR]yyyy.mm.dd")</f>
        <v>2021.05.28</v>
      </c>
      <c r="C277" s="139" t="str">
        <f t="shared" ca="1" si="78"/>
        <v/>
      </c>
      <c r="D277" s="143" t="str">
        <f t="shared" ca="1" si="79"/>
        <v/>
      </c>
      <c r="E277" s="79" t="str">
        <f t="shared" ca="1" si="80"/>
        <v/>
      </c>
      <c r="F277" s="141" t="str">
        <f t="shared" ca="1" si="81"/>
        <v/>
      </c>
      <c r="G277" s="143" t="str">
        <f t="shared" ca="1" si="82"/>
        <v/>
      </c>
      <c r="H277" s="79" t="str">
        <f t="shared" ca="1" si="83"/>
        <v/>
      </c>
      <c r="I277" s="141" t="str">
        <f t="shared" ca="1" si="84"/>
        <v/>
      </c>
      <c r="J277" s="143" t="str">
        <f t="shared" ca="1" si="85"/>
        <v/>
      </c>
      <c r="K277" s="79" t="str">
        <f t="shared" ca="1" si="86"/>
        <v/>
      </c>
      <c r="L277" s="141" t="str">
        <f t="shared" ca="1" si="87"/>
        <v/>
      </c>
      <c r="M277" s="143" t="str">
        <f t="shared" ca="1" si="88"/>
        <v/>
      </c>
      <c r="N277" s="79" t="str">
        <f t="shared" ca="1" si="89"/>
        <v/>
      </c>
      <c r="O277" s="141" t="str">
        <f t="shared" ca="1" si="90"/>
        <v/>
      </c>
    </row>
    <row r="278" spans="1:15" ht="16.5" customHeight="1">
      <c r="A278" s="124">
        <v>29</v>
      </c>
      <c r="B278" s="160" t="str">
        <f>TEXT(투자전략!$G$1+28, "[$-ko-KR]yyyy.mm.dd")</f>
        <v>2021.05.29</v>
      </c>
      <c r="C278" s="138" t="str">
        <f t="shared" ca="1" si="78"/>
        <v/>
      </c>
      <c r="D278" s="142" t="str">
        <f t="shared" ca="1" si="79"/>
        <v/>
      </c>
      <c r="E278" s="77" t="str">
        <f t="shared" ca="1" si="80"/>
        <v/>
      </c>
      <c r="F278" s="140" t="str">
        <f t="shared" ca="1" si="81"/>
        <v/>
      </c>
      <c r="G278" s="142" t="str">
        <f t="shared" ca="1" si="82"/>
        <v/>
      </c>
      <c r="H278" s="77" t="str">
        <f t="shared" ca="1" si="83"/>
        <v/>
      </c>
      <c r="I278" s="140" t="str">
        <f t="shared" ca="1" si="84"/>
        <v/>
      </c>
      <c r="J278" s="142" t="str">
        <f t="shared" ca="1" si="85"/>
        <v/>
      </c>
      <c r="K278" s="77" t="str">
        <f t="shared" ca="1" si="86"/>
        <v/>
      </c>
      <c r="L278" s="140" t="str">
        <f t="shared" ca="1" si="87"/>
        <v/>
      </c>
      <c r="M278" s="142" t="str">
        <f t="shared" ca="1" si="88"/>
        <v/>
      </c>
      <c r="N278" s="77" t="str">
        <f t="shared" ca="1" si="89"/>
        <v/>
      </c>
      <c r="O278" s="140" t="str">
        <f t="shared" ca="1" si="90"/>
        <v/>
      </c>
    </row>
    <row r="279" spans="1:15" ht="16.5" customHeight="1">
      <c r="A279" s="124">
        <v>30</v>
      </c>
      <c r="B279" s="159" t="str">
        <f>TEXT(투자전략!$G$1+29, "[$-ko-KR]yyyy.mm.dd")</f>
        <v>2021.05.30</v>
      </c>
      <c r="C279" s="138" t="str">
        <f t="shared" ca="1" si="78"/>
        <v/>
      </c>
      <c r="D279" s="142" t="str">
        <f t="shared" ca="1" si="79"/>
        <v/>
      </c>
      <c r="E279" s="77" t="str">
        <f t="shared" ca="1" si="80"/>
        <v/>
      </c>
      <c r="F279" s="140" t="str">
        <f t="shared" ca="1" si="81"/>
        <v/>
      </c>
      <c r="G279" s="142" t="str">
        <f t="shared" ca="1" si="82"/>
        <v/>
      </c>
      <c r="H279" s="77" t="str">
        <f t="shared" ca="1" si="83"/>
        <v/>
      </c>
      <c r="I279" s="140" t="str">
        <f t="shared" ca="1" si="84"/>
        <v/>
      </c>
      <c r="J279" s="142" t="str">
        <f t="shared" ca="1" si="85"/>
        <v/>
      </c>
      <c r="K279" s="77" t="str">
        <f t="shared" ca="1" si="86"/>
        <v/>
      </c>
      <c r="L279" s="140" t="str">
        <f t="shared" ca="1" si="87"/>
        <v/>
      </c>
      <c r="M279" s="142" t="str">
        <f t="shared" ca="1" si="88"/>
        <v/>
      </c>
      <c r="N279" s="77" t="str">
        <f t="shared" ca="1" si="89"/>
        <v/>
      </c>
      <c r="O279" s="140" t="str">
        <f t="shared" ca="1" si="90"/>
        <v/>
      </c>
    </row>
    <row r="280" spans="1:15" ht="16.5" customHeight="1" thickBot="1">
      <c r="A280" s="124">
        <v>31</v>
      </c>
      <c r="B280" s="159" t="str">
        <f>TEXT(투자전략!$G$1+30, "[$-ko-KR]yyyy.mm.dd")</f>
        <v>2021.05.31</v>
      </c>
      <c r="C280" s="139" t="str">
        <f t="shared" ca="1" si="78"/>
        <v/>
      </c>
      <c r="D280" s="143" t="str">
        <f t="shared" ca="1" si="79"/>
        <v/>
      </c>
      <c r="E280" s="79" t="str">
        <f t="shared" ca="1" si="80"/>
        <v/>
      </c>
      <c r="F280" s="141" t="str">
        <f t="shared" ca="1" si="81"/>
        <v/>
      </c>
      <c r="G280" s="143" t="str">
        <f t="shared" ca="1" si="82"/>
        <v/>
      </c>
      <c r="H280" s="79" t="str">
        <f t="shared" ca="1" si="83"/>
        <v/>
      </c>
      <c r="I280" s="141" t="str">
        <f t="shared" ca="1" si="84"/>
        <v/>
      </c>
      <c r="J280" s="143" t="str">
        <f t="shared" ca="1" si="85"/>
        <v/>
      </c>
      <c r="K280" s="79" t="str">
        <f t="shared" ca="1" si="86"/>
        <v/>
      </c>
      <c r="L280" s="141" t="str">
        <f t="shared" ca="1" si="87"/>
        <v/>
      </c>
      <c r="M280" s="143" t="str">
        <f t="shared" ca="1" si="88"/>
        <v/>
      </c>
      <c r="N280" s="79" t="str">
        <f t="shared" ca="1" si="89"/>
        <v/>
      </c>
      <c r="O280" s="141" t="str">
        <f t="shared" ca="1" si="90"/>
        <v/>
      </c>
    </row>
    <row r="281" spans="1:15" ht="16.5" customHeight="1" thickBot="1">
      <c r="A281" s="221" t="s">
        <v>319</v>
      </c>
      <c r="B281" s="223"/>
      <c r="C281" s="135" t="s">
        <v>314</v>
      </c>
      <c r="D281" s="153" t="s">
        <v>315</v>
      </c>
      <c r="E281" s="154" t="s">
        <v>316</v>
      </c>
      <c r="F281" s="155" t="s">
        <v>317</v>
      </c>
      <c r="G281" s="153" t="s">
        <v>315</v>
      </c>
      <c r="H281" s="154" t="s">
        <v>316</v>
      </c>
      <c r="I281" s="155" t="s">
        <v>317</v>
      </c>
      <c r="J281" s="153" t="s">
        <v>315</v>
      </c>
      <c r="K281" s="154" t="s">
        <v>316</v>
      </c>
      <c r="L281" s="155" t="s">
        <v>317</v>
      </c>
      <c r="M281" s="153" t="s">
        <v>315</v>
      </c>
      <c r="N281" s="154" t="s">
        <v>316</v>
      </c>
      <c r="O281" s="155" t="s">
        <v>317</v>
      </c>
    </row>
    <row r="282" spans="1:15" ht="16.5" customHeight="1" thickBot="1">
      <c r="A282" s="214"/>
      <c r="B282" s="216"/>
      <c r="C282" s="139">
        <f ca="1">SUM(C250:C280)</f>
        <v>33000000</v>
      </c>
      <c r="D282" s="143">
        <f ca="1">SUM(D250:D280)</f>
        <v>32490340.944088973</v>
      </c>
      <c r="E282" s="79">
        <f ca="1">IFERROR(F282 / (SUM($C250:$C280) / COUNT($C250:$C280)), 0)</f>
        <v>-0.10810949670839964</v>
      </c>
      <c r="F282" s="141">
        <f ca="1">SUM(F250:F280)</f>
        <v>-509659.0559110269</v>
      </c>
      <c r="G282" s="143">
        <f ca="1">SUM(G250:G280)</f>
        <v>32712959.020600379</v>
      </c>
      <c r="H282" s="79">
        <f ca="1">IFERROR(I282 / (SUM($C250:$C280) / COUNT($C250:$C280)), 0)</f>
        <v>-6.0887480478707533E-2</v>
      </c>
      <c r="I282" s="141">
        <f ca="1">SUM(I250:I280)</f>
        <v>-287040.97939962125</v>
      </c>
      <c r="J282" s="143">
        <f ca="1">SUM(J250:J280)</f>
        <v>32838236.243108321</v>
      </c>
      <c r="K282" s="79">
        <f ca="1">IFERROR(L282 / (SUM($C250:$C280) / COUNT($C250:$C280)), 0)</f>
        <v>-3.4313524189144691E-2</v>
      </c>
      <c r="L282" s="141">
        <f ca="1">SUM(L250:L280)</f>
        <v>-161763.75689168213</v>
      </c>
      <c r="M282" s="143">
        <f ca="1">SUM(M250:M280)</f>
        <v>32734752.609860383</v>
      </c>
      <c r="N282" s="79">
        <f ca="1">IFERROR(O282 / (SUM($C250:$C280) / COUNT($C250:$C280)), 0)</f>
        <v>-5.6264597908402388E-2</v>
      </c>
      <c r="O282" s="141">
        <f ca="1">SUM(O250:O280)</f>
        <v>-265247.39013961126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497" priority="323">
      <formula>$E$54 &gt; 0</formula>
    </cfRule>
    <cfRule type="expression" dxfId="1496" priority="324">
      <formula>$E$54 = 0</formula>
    </cfRule>
    <cfRule type="expression" dxfId="1495" priority="325">
      <formula>$E$54 &lt; 0</formula>
    </cfRule>
  </conditionalFormatting>
  <conditionalFormatting sqref="G20:I21 H54:I54">
    <cfRule type="expression" dxfId="1494" priority="320">
      <formula>$H$54 &gt; 0</formula>
    </cfRule>
    <cfRule type="expression" dxfId="1493" priority="321">
      <formula>$H$54 = 0</formula>
    </cfRule>
    <cfRule type="expression" dxfId="1492" priority="322">
      <formula>$H$54 &lt; 0</formula>
    </cfRule>
  </conditionalFormatting>
  <conditionalFormatting sqref="J20:L21 K54:L54">
    <cfRule type="expression" dxfId="1491" priority="317">
      <formula>$K$54 &gt; 0</formula>
    </cfRule>
    <cfRule type="expression" dxfId="1490" priority="318">
      <formula>$K$54 = 0</formula>
    </cfRule>
    <cfRule type="expression" dxfId="1489" priority="319">
      <formula>$K$54 &lt; 0</formula>
    </cfRule>
  </conditionalFormatting>
  <conditionalFormatting sqref="M20:O21 N54:O54">
    <cfRule type="expression" dxfId="1488" priority="314">
      <formula>$N$54 &gt; 0</formula>
    </cfRule>
    <cfRule type="expression" dxfId="1487" priority="315">
      <formula>$N$54 = 0</formula>
    </cfRule>
    <cfRule type="expression" dxfId="1486" priority="316">
      <formula>$N$54 &lt; 0</formula>
    </cfRule>
  </conditionalFormatting>
  <conditionalFormatting sqref="D22:F52">
    <cfRule type="expression" dxfId="1485" priority="299">
      <formula>AND($E22 &gt; 0, ISNUMBER($E22))</formula>
    </cfRule>
    <cfRule type="expression" dxfId="1484" priority="300">
      <formula>AND($E22 = 0, ISNUMBER($E22))</formula>
    </cfRule>
    <cfRule type="expression" dxfId="1483" priority="301">
      <formula>AND($E22 &lt; 0, ISNUMBER($E22))</formula>
    </cfRule>
  </conditionalFormatting>
  <conditionalFormatting sqref="G22:I52">
    <cfRule type="expression" dxfId="1482" priority="296">
      <formula>AND($H22 &gt; 0, ISNUMBER($H22))</formula>
    </cfRule>
    <cfRule type="expression" dxfId="1481" priority="297">
      <formula>AND($H22 = 0, ISNUMBER($H22))</formula>
    </cfRule>
    <cfRule type="expression" dxfId="1480" priority="298">
      <formula>AND($H22 &lt; 0, ISNUMBER($H22))</formula>
    </cfRule>
  </conditionalFormatting>
  <conditionalFormatting sqref="J22:L52">
    <cfRule type="expression" dxfId="1479" priority="293">
      <formula>AND($K22 &gt; 0, ISNUMBER($K22))</formula>
    </cfRule>
    <cfRule type="expression" dxfId="1478" priority="294">
      <formula>AND($K22 = 0, ISNUMBER($K22))</formula>
    </cfRule>
    <cfRule type="expression" dxfId="1477" priority="295">
      <formula>AND($K22 &lt; 0, ISNUMBER($K22))</formula>
    </cfRule>
  </conditionalFormatting>
  <conditionalFormatting sqref="M22:O52">
    <cfRule type="expression" dxfId="1476" priority="290">
      <formula>AND($N22 &gt; 0, ISNUMBER($N22))</formula>
    </cfRule>
    <cfRule type="expression" dxfId="1475" priority="291">
      <formula>AND($N22 = 0, ISNUMBER($N22))</formula>
    </cfRule>
    <cfRule type="expression" dxfId="1474" priority="292">
      <formula>AND($N22 &lt; 0, ISNUMBER($N22))</formula>
    </cfRule>
  </conditionalFormatting>
  <conditionalFormatting sqref="D58:F59 E92:F92">
    <cfRule type="expression" dxfId="1473" priority="287">
      <formula>$E$92 &gt; 0</formula>
    </cfRule>
    <cfRule type="expression" dxfId="1472" priority="288">
      <formula>$E$92 = 0</formula>
    </cfRule>
    <cfRule type="expression" dxfId="1471" priority="289">
      <formula>$E$92 &lt; 0</formula>
    </cfRule>
  </conditionalFormatting>
  <conditionalFormatting sqref="G58:I59 H92:I92">
    <cfRule type="expression" dxfId="1470" priority="284">
      <formula>$H$92 &gt; 0</formula>
    </cfRule>
    <cfRule type="expression" dxfId="1469" priority="285">
      <formula>$H$92 = 0</formula>
    </cfRule>
    <cfRule type="expression" dxfId="1468" priority="286">
      <formula>$H$92 &lt; 0</formula>
    </cfRule>
  </conditionalFormatting>
  <conditionalFormatting sqref="J58:L59 K92:L92">
    <cfRule type="expression" dxfId="1467" priority="281">
      <formula>$K$92 &gt; 0</formula>
    </cfRule>
    <cfRule type="expression" dxfId="1466" priority="282">
      <formula>$K$92 = 0</formula>
    </cfRule>
    <cfRule type="expression" dxfId="1465" priority="283">
      <formula>$K$92 &lt; 0</formula>
    </cfRule>
  </conditionalFormatting>
  <conditionalFormatting sqref="M58:O59 N92:O92">
    <cfRule type="expression" dxfId="1464" priority="278">
      <formula>$N$92 &gt; 0</formula>
    </cfRule>
    <cfRule type="expression" dxfId="1463" priority="279">
      <formula>$N$92 = 0</formula>
    </cfRule>
    <cfRule type="expression" dxfId="1462" priority="280">
      <formula>$N$92 &lt; 0</formula>
    </cfRule>
  </conditionalFormatting>
  <conditionalFormatting sqref="D60:F90">
    <cfRule type="expression" dxfId="1461" priority="275">
      <formula>AND($E60 &gt; 0, ISNUMBER($E60))</formula>
    </cfRule>
    <cfRule type="expression" dxfId="1460" priority="276">
      <formula>AND($E60 = 0, ISNUMBER($E60))</formula>
    </cfRule>
    <cfRule type="expression" dxfId="1459" priority="277">
      <formula>AND($E60 &lt; 0, ISNUMBER($E60))</formula>
    </cfRule>
  </conditionalFormatting>
  <conditionalFormatting sqref="G60:I90">
    <cfRule type="expression" dxfId="1458" priority="272">
      <formula>AND($H60 &gt; 0, ISNUMBER($H60))</formula>
    </cfRule>
    <cfRule type="expression" dxfId="1457" priority="273">
      <formula>AND($H60 = 0, ISNUMBER($H60))</formula>
    </cfRule>
    <cfRule type="expression" dxfId="1456" priority="274">
      <formula>AND($H60 &lt; 0, ISNUMBER($H60))</formula>
    </cfRule>
  </conditionalFormatting>
  <conditionalFormatting sqref="J60:L90">
    <cfRule type="expression" dxfId="1455" priority="269">
      <formula>AND($K60 &gt; 0, ISNUMBER($K60))</formula>
    </cfRule>
    <cfRule type="expression" dxfId="1454" priority="270">
      <formula>AND($K60 = 0, ISNUMBER($K60))</formula>
    </cfRule>
    <cfRule type="expression" dxfId="1453" priority="271">
      <formula>AND($K60 &lt; 0, ISNUMBER($K60))</formula>
    </cfRule>
  </conditionalFormatting>
  <conditionalFormatting sqref="M60:O90">
    <cfRule type="expression" dxfId="1452" priority="266">
      <formula>AND($N60 &gt; 0, ISNUMBER($N60))</formula>
    </cfRule>
    <cfRule type="expression" dxfId="1451" priority="267">
      <formula>AND($N60 = 0, ISNUMBER($N60))</formula>
    </cfRule>
    <cfRule type="expression" dxfId="1450" priority="268">
      <formula>AND($N60 &lt; 0, ISNUMBER($N60))</formula>
    </cfRule>
  </conditionalFormatting>
  <conditionalFormatting sqref="D96:F97 E130:F130">
    <cfRule type="expression" dxfId="1449" priority="263">
      <formula>$E$130 &gt; 0</formula>
    </cfRule>
    <cfRule type="expression" dxfId="1448" priority="264">
      <formula>$E$130 = 0</formula>
    </cfRule>
    <cfRule type="expression" dxfId="1447" priority="265">
      <formula>$E$130 &lt; 0</formula>
    </cfRule>
  </conditionalFormatting>
  <conditionalFormatting sqref="G96:I97 H130:I130">
    <cfRule type="expression" dxfId="1446" priority="260">
      <formula>$H$130 &gt; 0</formula>
    </cfRule>
    <cfRule type="expression" dxfId="1445" priority="261">
      <formula>$H$130 = 0</formula>
    </cfRule>
    <cfRule type="expression" dxfId="1444" priority="262">
      <formula>$H$130 &lt; 0</formula>
    </cfRule>
  </conditionalFormatting>
  <conditionalFormatting sqref="J96:L97 K130:L130">
    <cfRule type="expression" dxfId="1443" priority="257">
      <formula>$K$130 &gt; 0</formula>
    </cfRule>
    <cfRule type="expression" dxfId="1442" priority="258">
      <formula>$K$130 = 0</formula>
    </cfRule>
    <cfRule type="expression" dxfId="1441" priority="259">
      <formula>$K$130 &lt; 0</formula>
    </cfRule>
  </conditionalFormatting>
  <conditionalFormatting sqref="M96:O97 N130:O130">
    <cfRule type="expression" dxfId="1440" priority="254">
      <formula>$N$130 &gt; 0</formula>
    </cfRule>
    <cfRule type="expression" dxfId="1439" priority="255">
      <formula>$N$130 = 0</formula>
    </cfRule>
    <cfRule type="expression" dxfId="1438" priority="256">
      <formula>$N$130 &lt; 0</formula>
    </cfRule>
  </conditionalFormatting>
  <conditionalFormatting sqref="D98:F128">
    <cfRule type="expression" dxfId="1437" priority="251">
      <formula>AND($E98 &gt; 0, ISNUMBER($E98))</formula>
    </cfRule>
    <cfRule type="expression" dxfId="1436" priority="252">
      <formula>AND($E98 = 0, ISNUMBER($E98))</formula>
    </cfRule>
    <cfRule type="expression" dxfId="1435" priority="253">
      <formula>AND($E98 &lt; 0, ISNUMBER($E98))</formula>
    </cfRule>
  </conditionalFormatting>
  <conditionalFormatting sqref="G98:I128">
    <cfRule type="expression" dxfId="1434" priority="248">
      <formula>AND($H98 &gt; 0, ISNUMBER($H98))</formula>
    </cfRule>
    <cfRule type="expression" dxfId="1433" priority="249">
      <formula>AND($H98 = 0, ISNUMBER($H98))</formula>
    </cfRule>
    <cfRule type="expression" dxfId="1432" priority="250">
      <formula>AND($H98 &lt; 0, ISNUMBER($H98))</formula>
    </cfRule>
  </conditionalFormatting>
  <conditionalFormatting sqref="J98:L128">
    <cfRule type="expression" dxfId="1431" priority="245">
      <formula>AND($K98 &gt; 0, ISNUMBER($K98))</formula>
    </cfRule>
    <cfRule type="expression" dxfId="1430" priority="246">
      <formula>AND($K98 = 0, ISNUMBER($K98))</formula>
    </cfRule>
    <cfRule type="expression" dxfId="1429" priority="247">
      <formula>AND($K98 &lt; 0, ISNUMBER($K98))</formula>
    </cfRule>
  </conditionalFormatting>
  <conditionalFormatting sqref="M98:O128">
    <cfRule type="expression" dxfId="1428" priority="242">
      <formula>AND($N98 &gt; 0, ISNUMBER($N98))</formula>
    </cfRule>
    <cfRule type="expression" dxfId="1427" priority="243">
      <formula>AND($N98 = 0, ISNUMBER($N98))</formula>
    </cfRule>
    <cfRule type="expression" dxfId="1426" priority="244">
      <formula>AND($N98 &lt; 0, ISNUMBER($N98))</formula>
    </cfRule>
  </conditionalFormatting>
  <conditionalFormatting sqref="D134:F135 E168:F168">
    <cfRule type="expression" dxfId="1425" priority="239">
      <formula>$E$168 &gt; 0</formula>
    </cfRule>
    <cfRule type="expression" dxfId="1424" priority="240">
      <formula>$E$168 = 0</formula>
    </cfRule>
    <cfRule type="expression" dxfId="1423" priority="241">
      <formula>$E$168 &lt; 0</formula>
    </cfRule>
  </conditionalFormatting>
  <conditionalFormatting sqref="G134:I135 H168:I168">
    <cfRule type="expression" dxfId="1422" priority="236">
      <formula>$H$168 &gt; 0</formula>
    </cfRule>
    <cfRule type="expression" dxfId="1421" priority="237">
      <formula>$H$168 = 0</formula>
    </cfRule>
    <cfRule type="expression" dxfId="1420" priority="238">
      <formula>$H$168 &lt; 0</formula>
    </cfRule>
  </conditionalFormatting>
  <conditionalFormatting sqref="J134:L135 K168:L168">
    <cfRule type="expression" dxfId="1419" priority="233">
      <formula>$K$168 &gt; 0</formula>
    </cfRule>
    <cfRule type="expression" dxfId="1418" priority="234">
      <formula>$K$168 = 0</formula>
    </cfRule>
    <cfRule type="expression" dxfId="1417" priority="235">
      <formula>$K$168 &lt; 0</formula>
    </cfRule>
  </conditionalFormatting>
  <conditionalFormatting sqref="M134:O135 N168:O168">
    <cfRule type="expression" dxfId="1416" priority="230">
      <formula>$N$168 &gt; 0</formula>
    </cfRule>
    <cfRule type="expression" dxfId="1415" priority="231">
      <formula>$N$168 = 0</formula>
    </cfRule>
    <cfRule type="expression" dxfId="1414" priority="232">
      <formula>$N$168 &lt; 0</formula>
    </cfRule>
  </conditionalFormatting>
  <conditionalFormatting sqref="D136:F166">
    <cfRule type="expression" dxfId="1413" priority="227">
      <formula>AND($E136 &gt; 0, ISNUMBER($E136))</formula>
    </cfRule>
    <cfRule type="expression" dxfId="1412" priority="228">
      <formula>AND($E136 = 0, ISNUMBER($E136))</formula>
    </cfRule>
    <cfRule type="expression" dxfId="1411" priority="229">
      <formula>AND($E136 &lt; 0, ISNUMBER($E136))</formula>
    </cfRule>
  </conditionalFormatting>
  <conditionalFormatting sqref="G136:I166">
    <cfRule type="expression" dxfId="1410" priority="224">
      <formula>AND($H136 &gt; 0, ISNUMBER($H136))</formula>
    </cfRule>
    <cfRule type="expression" dxfId="1409" priority="225">
      <formula>AND($H136 = 0, ISNUMBER($H136))</formula>
    </cfRule>
    <cfRule type="expression" dxfId="1408" priority="226">
      <formula>AND($H136 &lt; 0, ISNUMBER($H136))</formula>
    </cfRule>
  </conditionalFormatting>
  <conditionalFormatting sqref="J136:L166">
    <cfRule type="expression" dxfId="1407" priority="221">
      <formula>AND($K136 &gt; 0, ISNUMBER($K136))</formula>
    </cfRule>
    <cfRule type="expression" dxfId="1406" priority="222">
      <formula>AND($K136 = 0, ISNUMBER($K136))</formula>
    </cfRule>
    <cfRule type="expression" dxfId="1405" priority="223">
      <formula>AND($K136 &lt; 0, ISNUMBER($K136))</formula>
    </cfRule>
  </conditionalFormatting>
  <conditionalFormatting sqref="M136:O166">
    <cfRule type="expression" dxfId="1404" priority="218">
      <formula>AND($N136 &gt; 0, ISNUMBER($N136))</formula>
    </cfRule>
    <cfRule type="expression" dxfId="1403" priority="219">
      <formula>AND($N136 = 0, ISNUMBER($N136))</formula>
    </cfRule>
    <cfRule type="expression" dxfId="1402" priority="220">
      <formula>AND($N136 &lt; 0, ISNUMBER($N136))</formula>
    </cfRule>
  </conditionalFormatting>
  <conditionalFormatting sqref="D172:F173 E206:F206">
    <cfRule type="expression" dxfId="1401" priority="215">
      <formula>$E$206 &gt; 0</formula>
    </cfRule>
    <cfRule type="expression" dxfId="1400" priority="216">
      <formula>$E$206 = 0</formula>
    </cfRule>
    <cfRule type="expression" dxfId="1399" priority="217">
      <formula>$E$206 &lt; 0</formula>
    </cfRule>
  </conditionalFormatting>
  <conditionalFormatting sqref="G172:I173 H206:I206">
    <cfRule type="expression" dxfId="1398" priority="212">
      <formula>$H$206 &gt; 0</formula>
    </cfRule>
    <cfRule type="expression" dxfId="1397" priority="213">
      <formula>$H$206 = 0</formula>
    </cfRule>
    <cfRule type="expression" dxfId="1396" priority="214">
      <formula>$H$206 &lt; 0</formula>
    </cfRule>
  </conditionalFormatting>
  <conditionalFormatting sqref="J172:L173 K206:L206">
    <cfRule type="expression" dxfId="1395" priority="209">
      <formula>$K$206 &gt; 0</formula>
    </cfRule>
    <cfRule type="expression" dxfId="1394" priority="210">
      <formula>$K$206 = 0</formula>
    </cfRule>
    <cfRule type="expression" dxfId="1393" priority="211">
      <formula>$K$206 &lt; 0</formula>
    </cfRule>
  </conditionalFormatting>
  <conditionalFormatting sqref="M172:O173 N206:O206">
    <cfRule type="expression" dxfId="1392" priority="206">
      <formula>$N$206 &gt; 0</formula>
    </cfRule>
    <cfRule type="expression" dxfId="1391" priority="207">
      <formula>$N$206 = 0</formula>
    </cfRule>
    <cfRule type="expression" dxfId="1390" priority="208">
      <formula>$N$206 &lt; 0</formula>
    </cfRule>
  </conditionalFormatting>
  <conditionalFormatting sqref="D174:F204">
    <cfRule type="expression" dxfId="1389" priority="203">
      <formula>AND($E174 &gt; 0, ISNUMBER($E174))</formula>
    </cfRule>
    <cfRule type="expression" dxfId="1388" priority="204">
      <formula>AND($E174 = 0, ISNUMBER($E174))</formula>
    </cfRule>
    <cfRule type="expression" dxfId="1387" priority="205">
      <formula>AND($E174 &lt; 0, ISNUMBER($E174))</formula>
    </cfRule>
  </conditionalFormatting>
  <conditionalFormatting sqref="G174:I204">
    <cfRule type="expression" dxfId="1386" priority="200">
      <formula>AND($H174 &gt; 0, ISNUMBER($H174))</formula>
    </cfRule>
    <cfRule type="expression" dxfId="1385" priority="201">
      <formula>AND($H174 = 0, ISNUMBER($H174))</formula>
    </cfRule>
    <cfRule type="expression" dxfId="1384" priority="202">
      <formula>AND($H174 &lt; 0, ISNUMBER($H174))</formula>
    </cfRule>
  </conditionalFormatting>
  <conditionalFormatting sqref="J174:L204">
    <cfRule type="expression" dxfId="1383" priority="197">
      <formula>AND($K174 &gt; 0, ISNUMBER($K174))</formula>
    </cfRule>
    <cfRule type="expression" dxfId="1382" priority="198">
      <formula>AND($K174 = 0, ISNUMBER($K174))</formula>
    </cfRule>
    <cfRule type="expression" dxfId="1381" priority="199">
      <formula>AND($K174 &lt; 0, ISNUMBER($K174))</formula>
    </cfRule>
  </conditionalFormatting>
  <conditionalFormatting sqref="M174:O204">
    <cfRule type="expression" dxfId="1380" priority="194">
      <formula>AND($N174 &gt; 0, ISNUMBER($N174))</formula>
    </cfRule>
    <cfRule type="expression" dxfId="1379" priority="195">
      <formula>AND($N174 = 0, ISNUMBER($N174))</formula>
    </cfRule>
    <cfRule type="expression" dxfId="1378" priority="196">
      <formula>AND($N174 &lt; 0, ISNUMBER($N174))</formula>
    </cfRule>
  </conditionalFormatting>
  <conditionalFormatting sqref="D210:F211 E244:F244">
    <cfRule type="expression" dxfId="1377" priority="191">
      <formula>$E$244 &gt; 0</formula>
    </cfRule>
    <cfRule type="expression" dxfId="1376" priority="192">
      <formula>$E$244 = 0</formula>
    </cfRule>
    <cfRule type="expression" dxfId="1375" priority="193">
      <formula>$E$244 &lt; 0</formula>
    </cfRule>
  </conditionalFormatting>
  <conditionalFormatting sqref="G210:I211 H244:I244">
    <cfRule type="expression" dxfId="1374" priority="188">
      <formula>$H$244 &gt; 0</formula>
    </cfRule>
    <cfRule type="expression" dxfId="1373" priority="189">
      <formula>$H$244 = 0</formula>
    </cfRule>
    <cfRule type="expression" dxfId="1372" priority="190">
      <formula>$H$244 &lt; 0</formula>
    </cfRule>
  </conditionalFormatting>
  <conditionalFormatting sqref="J210:L211 K244:L244">
    <cfRule type="expression" dxfId="1371" priority="185">
      <formula>$K$244 &gt; 0</formula>
    </cfRule>
    <cfRule type="expression" dxfId="1370" priority="186">
      <formula>$K$244 = 0</formula>
    </cfRule>
    <cfRule type="expression" dxfId="1369" priority="187">
      <formula>$K$244 &lt; 0</formula>
    </cfRule>
  </conditionalFormatting>
  <conditionalFormatting sqref="M210:O211 N244:O244">
    <cfRule type="expression" dxfId="1368" priority="182">
      <formula>$N$244 &gt; 0</formula>
    </cfRule>
    <cfRule type="expression" dxfId="1367" priority="183">
      <formula>$N$244 = 0</formula>
    </cfRule>
    <cfRule type="expression" dxfId="1366" priority="184">
      <formula>$N$244 &lt; 0</formula>
    </cfRule>
  </conditionalFormatting>
  <conditionalFormatting sqref="D212:F242">
    <cfRule type="expression" dxfId="1365" priority="179">
      <formula>AND($E212 &gt; 0, ISNUMBER($E212))</formula>
    </cfRule>
    <cfRule type="expression" dxfId="1364" priority="180">
      <formula>AND($E212 = 0, ISNUMBER($E212))</formula>
    </cfRule>
    <cfRule type="expression" dxfId="1363" priority="181">
      <formula>AND($E212 &lt; 0, ISNUMBER($E212))</formula>
    </cfRule>
  </conditionalFormatting>
  <conditionalFormatting sqref="G212:I242">
    <cfRule type="expression" dxfId="1362" priority="176">
      <formula>AND($H212 &gt; 0, ISNUMBER($H212))</formula>
    </cfRule>
    <cfRule type="expression" dxfId="1361" priority="177">
      <formula>AND($H212 = 0, ISNUMBER($H212))</formula>
    </cfRule>
    <cfRule type="expression" dxfId="1360" priority="178">
      <formula>AND($H212 &lt; 0, ISNUMBER($H212))</formula>
    </cfRule>
  </conditionalFormatting>
  <conditionalFormatting sqref="J212:L242">
    <cfRule type="expression" dxfId="1359" priority="173">
      <formula>AND($K212 &gt; 0, ISNUMBER($K212))</formula>
    </cfRule>
    <cfRule type="expression" dxfId="1358" priority="174">
      <formula>AND($K212 = 0, ISNUMBER($K212))</formula>
    </cfRule>
    <cfRule type="expression" dxfId="1357" priority="175">
      <formula>AND($K212 &lt; 0, ISNUMBER($K212))</formula>
    </cfRule>
  </conditionalFormatting>
  <conditionalFormatting sqref="M212:O242">
    <cfRule type="expression" dxfId="1356" priority="170">
      <formula>AND($N212 &gt; 0, ISNUMBER($N212))</formula>
    </cfRule>
    <cfRule type="expression" dxfId="1355" priority="171">
      <formula>AND($N212 = 0, ISNUMBER($N212))</formula>
    </cfRule>
    <cfRule type="expression" dxfId="1354" priority="172">
      <formula>AND($N212 &lt; 0, ISNUMBER($N212))</formula>
    </cfRule>
  </conditionalFormatting>
  <conditionalFormatting sqref="D248:F249 E282:F282">
    <cfRule type="expression" dxfId="1353" priority="167">
      <formula>$E$282 &gt; 0</formula>
    </cfRule>
    <cfRule type="expression" dxfId="1352" priority="168">
      <formula>$E$282 = 0</formula>
    </cfRule>
    <cfRule type="expression" dxfId="1351" priority="169">
      <formula>$E$282 &lt; 0</formula>
    </cfRule>
  </conditionalFormatting>
  <conditionalFormatting sqref="G248:I249 H282:I282">
    <cfRule type="expression" dxfId="1350" priority="164">
      <formula>$H$282 &gt; 0</formula>
    </cfRule>
    <cfRule type="expression" dxfId="1349" priority="165">
      <formula>$H$282 = 0</formula>
    </cfRule>
    <cfRule type="expression" dxfId="1348" priority="166">
      <formula>$H$282 &lt; 0</formula>
    </cfRule>
  </conditionalFormatting>
  <conditionalFormatting sqref="J248:L249 K282:L282">
    <cfRule type="expression" dxfId="1347" priority="161">
      <formula>$K$282 &gt; 0</formula>
    </cfRule>
    <cfRule type="expression" dxfId="1346" priority="162">
      <formula>$K$282 = 0</formula>
    </cfRule>
    <cfRule type="expression" dxfId="1345" priority="163">
      <formula>$K$282 &lt; 0</formula>
    </cfRule>
  </conditionalFormatting>
  <conditionalFormatting sqref="M248:O249 N282:O282">
    <cfRule type="expression" dxfId="1344" priority="158">
      <formula>$N$282 &gt; 0</formula>
    </cfRule>
    <cfRule type="expression" dxfId="1343" priority="159">
      <formula>$N$282 = 0</formula>
    </cfRule>
    <cfRule type="expression" dxfId="1342" priority="160">
      <formula>$N$282 &lt; 0</formula>
    </cfRule>
  </conditionalFormatting>
  <conditionalFormatting sqref="D250:F280">
    <cfRule type="expression" dxfId="1341" priority="155">
      <formula>AND($E250 &gt; 0, ISNUMBER($E250))</formula>
    </cfRule>
    <cfRule type="expression" dxfId="1340" priority="156">
      <formula>AND($E250 = 0, ISNUMBER($E250))</formula>
    </cfRule>
    <cfRule type="expression" dxfId="1339" priority="157">
      <formula>AND($E250 &lt; 0, ISNUMBER($E250))</formula>
    </cfRule>
  </conditionalFormatting>
  <conditionalFormatting sqref="G250:I280">
    <cfRule type="expression" dxfId="1338" priority="152">
      <formula>AND($H250 &gt; 0, ISNUMBER($H250))</formula>
    </cfRule>
    <cfRule type="expression" dxfId="1337" priority="153">
      <formula>AND($H250 = 0, ISNUMBER($H250))</formula>
    </cfRule>
    <cfRule type="expression" dxfId="1336" priority="154">
      <formula>AND($H250 &lt; 0, ISNUMBER($H250))</formula>
    </cfRule>
  </conditionalFormatting>
  <conditionalFormatting sqref="J250:L280">
    <cfRule type="expression" dxfId="1335" priority="149">
      <formula>AND($K250 &gt; 0, ISNUMBER($K250))</formula>
    </cfRule>
    <cfRule type="expression" dxfId="1334" priority="150">
      <formula>AND($K250 = 0, ISNUMBER($K250))</formula>
    </cfRule>
    <cfRule type="expression" dxfId="1333" priority="151">
      <formula>AND($K250 &lt; 0, ISNUMBER($K250))</formula>
    </cfRule>
  </conditionalFormatting>
  <conditionalFormatting sqref="M250:O280">
    <cfRule type="expression" dxfId="1332" priority="146">
      <formula>AND($N250 &gt; 0, ISNUMBER($N250))</formula>
    </cfRule>
    <cfRule type="expression" dxfId="1331" priority="147">
      <formula>AND($N250 = 0, ISNUMBER($N250))</formula>
    </cfRule>
    <cfRule type="expression" dxfId="1330" priority="148">
      <formula>AND($N250 &lt; 0, ISNUMBER($N250))</formula>
    </cfRule>
  </conditionalFormatting>
  <conditionalFormatting sqref="D5:F6">
    <cfRule type="expression" dxfId="1329" priority="143">
      <formula>$F$130 &gt; 0</formula>
    </cfRule>
    <cfRule type="expression" dxfId="1328" priority="144">
      <formula>$F$130 = 0</formula>
    </cfRule>
    <cfRule type="expression" dxfId="1327" priority="145">
      <formula>$F$130 &lt; 0</formula>
    </cfRule>
  </conditionalFormatting>
  <conditionalFormatting sqref="D7:F8">
    <cfRule type="expression" dxfId="1326" priority="140">
      <formula>$F$206 &gt; 0</formula>
    </cfRule>
    <cfRule type="expression" dxfId="1325" priority="141">
      <formula>$F$206 = 0</formula>
    </cfRule>
    <cfRule type="expression" dxfId="1324" priority="142">
      <formula>$F$206 &lt; 0</formula>
    </cfRule>
  </conditionalFormatting>
  <conditionalFormatting sqref="D9:F10">
    <cfRule type="expression" dxfId="1323" priority="137">
      <formula>$F$244 &gt; 0</formula>
    </cfRule>
    <cfRule type="expression" dxfId="1322" priority="138">
      <formula>$F$244 = 0</formula>
    </cfRule>
    <cfRule type="expression" dxfId="1321" priority="139">
      <formula>$F$244 &lt; 0</formula>
    </cfRule>
  </conditionalFormatting>
  <conditionalFormatting sqref="D11:F12">
    <cfRule type="expression" dxfId="1320" priority="134">
      <formula>$F$168 &gt; 0</formula>
    </cfRule>
    <cfRule type="expression" dxfId="1319" priority="135">
      <formula>$F$168 = 0</formula>
    </cfRule>
    <cfRule type="expression" dxfId="1318" priority="136">
      <formula>$F$168 &lt; 0</formula>
    </cfRule>
  </conditionalFormatting>
  <conditionalFormatting sqref="D13:F14">
    <cfRule type="expression" dxfId="1317" priority="92">
      <formula>$F$282 &gt; 0</formula>
    </cfRule>
    <cfRule type="expression" dxfId="1316" priority="93">
      <formula>$F$282 = 0</formula>
    </cfRule>
    <cfRule type="expression" dxfId="1315" priority="94">
      <formula>$F$282 &lt; 0</formula>
    </cfRule>
  </conditionalFormatting>
  <conditionalFormatting sqref="D15:F16">
    <cfRule type="expression" dxfId="1314" priority="77">
      <formula>$F$54 &gt; 0</formula>
    </cfRule>
    <cfRule type="expression" dxfId="1313" priority="78">
      <formula>$F$54 = 0</formula>
    </cfRule>
    <cfRule type="expression" dxfId="1312" priority="79">
      <formula>$F$54 &lt; 0</formula>
    </cfRule>
  </conditionalFormatting>
  <conditionalFormatting sqref="G5:I6">
    <cfRule type="expression" dxfId="1311" priority="65">
      <formula>$I$130 &gt; 0</formula>
    </cfRule>
    <cfRule type="expression" dxfId="1310" priority="66">
      <formula>$I$130 = 0</formula>
    </cfRule>
    <cfRule type="expression" dxfId="1309" priority="67">
      <formula>$I$130 &lt; 0</formula>
    </cfRule>
  </conditionalFormatting>
  <conditionalFormatting sqref="G7:I8">
    <cfRule type="expression" dxfId="1308" priority="62">
      <formula>$I$206 &gt; 0</formula>
    </cfRule>
    <cfRule type="expression" dxfId="1307" priority="63">
      <formula>$I$206 = 0</formula>
    </cfRule>
    <cfRule type="expression" dxfId="1306" priority="64">
      <formula>$I$206 &lt; 0</formula>
    </cfRule>
  </conditionalFormatting>
  <conditionalFormatting sqref="G9:I10">
    <cfRule type="expression" dxfId="1305" priority="59">
      <formula>$I$244 &gt; 0</formula>
    </cfRule>
    <cfRule type="expression" dxfId="1304" priority="60">
      <formula>$I$244 = 0</formula>
    </cfRule>
    <cfRule type="expression" dxfId="1303" priority="61">
      <formula>$I$244 &lt; 0</formula>
    </cfRule>
  </conditionalFormatting>
  <conditionalFormatting sqref="G11:I12">
    <cfRule type="expression" dxfId="1302" priority="56">
      <formula>$I$168 &gt; 0</formula>
    </cfRule>
    <cfRule type="expression" dxfId="1301" priority="57">
      <formula>$I$168 = 0</formula>
    </cfRule>
    <cfRule type="expression" dxfId="1300" priority="58">
      <formula>$I$168 &lt; 0</formula>
    </cfRule>
  </conditionalFormatting>
  <conditionalFormatting sqref="G13:I14">
    <cfRule type="expression" dxfId="1299" priority="53">
      <formula>$I$282 &gt; 0</formula>
    </cfRule>
    <cfRule type="expression" dxfId="1298" priority="54">
      <formula>$I$282 = 0</formula>
    </cfRule>
    <cfRule type="expression" dxfId="1297" priority="55">
      <formula>$I$282 &lt; 0</formula>
    </cfRule>
  </conditionalFormatting>
  <conditionalFormatting sqref="G15:I16">
    <cfRule type="expression" dxfId="1296" priority="50">
      <formula>$I$54 &gt; 0</formula>
    </cfRule>
    <cfRule type="expression" dxfId="1295" priority="51">
      <formula>$I$54 = 0</formula>
    </cfRule>
    <cfRule type="expression" dxfId="1294" priority="52">
      <formula>$I$54 &lt; 0</formula>
    </cfRule>
  </conditionalFormatting>
  <conditionalFormatting sqref="J5:L6">
    <cfRule type="expression" dxfId="1293" priority="47">
      <formula>$L$130 &gt; 0</formula>
    </cfRule>
    <cfRule type="expression" dxfId="1292" priority="48">
      <formula>$L$130 = 0</formula>
    </cfRule>
    <cfRule type="expression" dxfId="1291" priority="49">
      <formula>$L$130 &lt; 0</formula>
    </cfRule>
  </conditionalFormatting>
  <conditionalFormatting sqref="J7:L8">
    <cfRule type="expression" dxfId="1290" priority="44">
      <formula>$L$206 &gt; 0</formula>
    </cfRule>
    <cfRule type="expression" dxfId="1289" priority="45">
      <formula>$L$206 = 0</formula>
    </cfRule>
    <cfRule type="expression" dxfId="1288" priority="46">
      <formula>$L$206 &lt; 0</formula>
    </cfRule>
  </conditionalFormatting>
  <conditionalFormatting sqref="J9:L10">
    <cfRule type="expression" dxfId="1287" priority="41">
      <formula>$L$244 &gt; 0</formula>
    </cfRule>
    <cfRule type="expression" dxfId="1286" priority="42">
      <formula>$L$244 = 0</formula>
    </cfRule>
    <cfRule type="expression" dxfId="1285" priority="43">
      <formula>$L$244 &lt; 0</formula>
    </cfRule>
  </conditionalFormatting>
  <conditionalFormatting sqref="J11:L12">
    <cfRule type="expression" dxfId="1284" priority="38">
      <formula>$L$168 &gt; 0</formula>
    </cfRule>
    <cfRule type="expression" dxfId="1283" priority="39">
      <formula>$L$168 = 0</formula>
    </cfRule>
    <cfRule type="expression" dxfId="1282" priority="40">
      <formula>$L$168 &lt; 0</formula>
    </cfRule>
  </conditionalFormatting>
  <conditionalFormatting sqref="J13:L14">
    <cfRule type="expression" dxfId="1281" priority="35">
      <formula>$L$282 &gt; 0</formula>
    </cfRule>
    <cfRule type="expression" dxfId="1280" priority="36">
      <formula>$L$282 = 0</formula>
    </cfRule>
    <cfRule type="expression" dxfId="1279" priority="37">
      <formula>$L$282 &lt; 0</formula>
    </cfRule>
  </conditionalFormatting>
  <conditionalFormatting sqref="J15:L16">
    <cfRule type="expression" dxfId="1278" priority="32">
      <formula>$L$54 &gt; 0</formula>
    </cfRule>
    <cfRule type="expression" dxfId="1277" priority="33">
      <formula>$L$54 = 0</formula>
    </cfRule>
    <cfRule type="expression" dxfId="1276" priority="34">
      <formula>$L$54 &lt; 0</formula>
    </cfRule>
  </conditionalFormatting>
  <conditionalFormatting sqref="M5:O6">
    <cfRule type="expression" dxfId="1275" priority="29">
      <formula>$O$130 &gt; 0</formula>
    </cfRule>
    <cfRule type="expression" dxfId="1274" priority="30">
      <formula>$O$130 = 0</formula>
    </cfRule>
    <cfRule type="expression" dxfId="1273" priority="31">
      <formula>$O$130 &lt; 0</formula>
    </cfRule>
  </conditionalFormatting>
  <conditionalFormatting sqref="M7:O8">
    <cfRule type="expression" dxfId="1272" priority="26">
      <formula>$O$206 &gt; 0</formula>
    </cfRule>
    <cfRule type="expression" dxfId="1271" priority="27">
      <formula>$O$206 = 0</formula>
    </cfRule>
    <cfRule type="expression" dxfId="1270" priority="28">
      <formula>$O$206 &lt; 0</formula>
    </cfRule>
  </conditionalFormatting>
  <conditionalFormatting sqref="M9:O10">
    <cfRule type="expression" dxfId="1269" priority="23">
      <formula>$O$244 &gt; 0</formula>
    </cfRule>
    <cfRule type="expression" dxfId="1268" priority="24">
      <formula>$O$244 = 0</formula>
    </cfRule>
    <cfRule type="expression" dxfId="1267" priority="25">
      <formula>$O$244 &lt; 0</formula>
    </cfRule>
  </conditionalFormatting>
  <conditionalFormatting sqref="M11:O12">
    <cfRule type="expression" dxfId="1266" priority="20">
      <formula>$O$168 &gt; 0</formula>
    </cfRule>
    <cfRule type="expression" dxfId="1265" priority="21">
      <formula>$O$168 = 0</formula>
    </cfRule>
    <cfRule type="expression" dxfId="1264" priority="22">
      <formula>$O$168 &lt; 0</formula>
    </cfRule>
  </conditionalFormatting>
  <conditionalFormatting sqref="M13:O14">
    <cfRule type="expression" dxfId="1263" priority="17">
      <formula>$O$282 &gt; 0</formula>
    </cfRule>
    <cfRule type="expression" dxfId="1262" priority="18">
      <formula>$O$282 = 0</formula>
    </cfRule>
    <cfRule type="expression" dxfId="1261" priority="19">
      <formula>$O$282 &lt; 0</formula>
    </cfRule>
  </conditionalFormatting>
  <conditionalFormatting sqref="M15:O16">
    <cfRule type="expression" dxfId="1260" priority="14">
      <formula>$O$54 &gt; 0</formula>
    </cfRule>
    <cfRule type="expression" dxfId="1259" priority="15">
      <formula>$O$54 = 0</formula>
    </cfRule>
    <cfRule type="expression" dxfId="1258" priority="16">
      <formula>$O$54 &lt; 0</formula>
    </cfRule>
  </conditionalFormatting>
  <conditionalFormatting sqref="D3:F4">
    <cfRule type="expression" dxfId="1257" priority="13">
      <formula>$F$92 &lt; 0</formula>
    </cfRule>
    <cfRule type="expression" dxfId="1256" priority="12">
      <formula>$F$92 = 0</formula>
    </cfRule>
    <cfRule type="expression" dxfId="1255" priority="11">
      <formula>$F$92 &gt; 0</formula>
    </cfRule>
  </conditionalFormatting>
  <conditionalFormatting sqref="G3:I4">
    <cfRule type="expression" dxfId="1254" priority="10">
      <formula>$I$92 &lt; 0</formula>
    </cfRule>
    <cfRule type="expression" dxfId="1253" priority="9">
      <formula>$I$92 = 0</formula>
    </cfRule>
    <cfRule type="expression" dxfId="1252" priority="8">
      <formula>$I$92 &gt; 0</formula>
    </cfRule>
  </conditionalFormatting>
  <conditionalFormatting sqref="J3:L4">
    <cfRule type="expression" dxfId="1251" priority="5">
      <formula>$L$92 &gt; 0</formula>
    </cfRule>
    <cfRule type="expression" dxfId="1250" priority="6">
      <formula>$L$92 = 0</formula>
    </cfRule>
    <cfRule type="expression" dxfId="1249" priority="7">
      <formula>$L$92 &lt; 0</formula>
    </cfRule>
  </conditionalFormatting>
  <conditionalFormatting sqref="M3:O4">
    <cfRule type="expression" dxfId="1248" priority="2">
      <formula>$O$92 &gt; 0</formula>
    </cfRule>
    <cfRule type="expression" dxfId="1247" priority="3">
      <formula>$O$92 = 0</formula>
    </cfRule>
    <cfRule type="expression" dxfId="124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224">
        <v>44317</v>
      </c>
      <c r="H1" s="225"/>
      <c r="I1" s="226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" t="s">
        <v>3</v>
      </c>
      <c r="B2" s="227" t="s">
        <v>4</v>
      </c>
      <c r="C2" s="228"/>
      <c r="D2" s="228"/>
      <c r="E2" s="228"/>
      <c r="F2" s="229"/>
      <c r="G2" s="221" t="s">
        <v>46</v>
      </c>
      <c r="H2" s="222"/>
      <c r="I2" s="223"/>
      <c r="J2" s="1" t="s">
        <v>3</v>
      </c>
      <c r="K2" s="227" t="s">
        <v>5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4" t="s">
        <v>7</v>
      </c>
      <c r="B3" s="218" t="s">
        <v>8</v>
      </c>
      <c r="C3" s="219"/>
      <c r="D3" s="219"/>
      <c r="E3" s="219"/>
      <c r="F3" s="220"/>
      <c r="G3" s="21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15"/>
      <c r="I3" s="216"/>
      <c r="J3" s="4" t="s">
        <v>7</v>
      </c>
      <c r="K3" s="218" t="s">
        <v>9</v>
      </c>
      <c r="L3" s="219"/>
      <c r="M3" s="219"/>
      <c r="N3" s="219"/>
      <c r="O3" s="22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8" t="s">
        <v>12</v>
      </c>
      <c r="C4" s="219"/>
      <c r="D4" s="219"/>
      <c r="E4" s="219"/>
      <c r="F4" s="220"/>
      <c r="G4" s="221" t="s">
        <v>44</v>
      </c>
      <c r="H4" s="222"/>
      <c r="I4" s="223"/>
      <c r="J4" s="4" t="s">
        <v>11</v>
      </c>
      <c r="K4" s="218" t="s">
        <v>13</v>
      </c>
      <c r="L4" s="219"/>
      <c r="M4" s="219"/>
      <c r="N4" s="219"/>
      <c r="O4" s="22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8" t="s">
        <v>16</v>
      </c>
      <c r="C5" s="219"/>
      <c r="D5" s="219"/>
      <c r="E5" s="219"/>
      <c r="F5" s="220"/>
      <c r="G5" s="21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15"/>
      <c r="I5" s="216"/>
      <c r="J5" s="4" t="s">
        <v>15</v>
      </c>
      <c r="K5" s="218" t="s">
        <v>17</v>
      </c>
      <c r="L5" s="219"/>
      <c r="M5" s="219"/>
      <c r="N5" s="219"/>
      <c r="O5" s="220"/>
    </row>
    <row r="6" spans="1:19">
      <c r="A6" s="4" t="s">
        <v>18</v>
      </c>
      <c r="B6" s="218" t="s">
        <v>19</v>
      </c>
      <c r="C6" s="219"/>
      <c r="D6" s="219"/>
      <c r="E6" s="219"/>
      <c r="F6" s="220"/>
      <c r="G6" s="221" t="s">
        <v>45</v>
      </c>
      <c r="H6" s="222"/>
      <c r="I6" s="223"/>
      <c r="J6" s="4" t="s">
        <v>18</v>
      </c>
      <c r="K6" s="218" t="s">
        <v>20</v>
      </c>
      <c r="L6" s="219"/>
      <c r="M6" s="219"/>
      <c r="N6" s="219"/>
      <c r="O6" s="220"/>
    </row>
    <row r="7" spans="1:19" ht="17.25" thickBot="1">
      <c r="A7" s="4" t="s">
        <v>21</v>
      </c>
      <c r="B7" s="218" t="s">
        <v>22</v>
      </c>
      <c r="C7" s="219"/>
      <c r="D7" s="219"/>
      <c r="E7" s="219"/>
      <c r="F7" s="220"/>
      <c r="G7" s="21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15"/>
      <c r="I7" s="216"/>
      <c r="J7" s="4" t="s">
        <v>21</v>
      </c>
      <c r="K7" s="218" t="s">
        <v>23</v>
      </c>
      <c r="L7" s="219"/>
      <c r="M7" s="219"/>
      <c r="N7" s="219"/>
      <c r="O7" s="220"/>
    </row>
    <row r="8" spans="1:19" ht="17.25" thickBot="1">
      <c r="A8" s="4" t="s">
        <v>24</v>
      </c>
      <c r="B8" s="218" t="s">
        <v>25</v>
      </c>
      <c r="C8" s="219"/>
      <c r="D8" s="219"/>
      <c r="E8" s="219"/>
      <c r="F8" s="220"/>
      <c r="G8" s="221" t="s">
        <v>285</v>
      </c>
      <c r="H8" s="222"/>
      <c r="I8" s="223"/>
      <c r="J8" s="4" t="s">
        <v>24</v>
      </c>
      <c r="K8" s="218" t="s">
        <v>26</v>
      </c>
      <c r="L8" s="219"/>
      <c r="M8" s="219"/>
      <c r="N8" s="219"/>
      <c r="O8" s="220"/>
      <c r="Q8" s="193" t="s">
        <v>27</v>
      </c>
      <c r="R8" s="195"/>
    </row>
    <row r="9" spans="1:19" ht="17.25" thickBot="1">
      <c r="A9" s="4" t="s">
        <v>28</v>
      </c>
      <c r="B9" s="218"/>
      <c r="C9" s="219"/>
      <c r="D9" s="219"/>
      <c r="E9" s="219"/>
      <c r="F9" s="220"/>
      <c r="G9" s="21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15"/>
      <c r="I9" s="216"/>
      <c r="J9" s="4" t="s">
        <v>28</v>
      </c>
      <c r="K9" s="218" t="s">
        <v>293</v>
      </c>
      <c r="L9" s="219"/>
      <c r="M9" s="219"/>
      <c r="N9" s="219"/>
      <c r="O9" s="220"/>
      <c r="Q9" s="2" t="s">
        <v>29</v>
      </c>
      <c r="R9" s="6">
        <v>10</v>
      </c>
    </row>
    <row r="10" spans="1:19">
      <c r="A10" s="4" t="s">
        <v>30</v>
      </c>
      <c r="B10" s="218"/>
      <c r="C10" s="219"/>
      <c r="D10" s="219"/>
      <c r="E10" s="219"/>
      <c r="F10" s="220"/>
      <c r="G10" s="221" t="s">
        <v>47</v>
      </c>
      <c r="H10" s="222"/>
      <c r="I10" s="223"/>
      <c r="J10" s="4" t="s">
        <v>30</v>
      </c>
      <c r="K10" s="218"/>
      <c r="L10" s="219"/>
      <c r="M10" s="219"/>
      <c r="N10" s="219"/>
      <c r="O10" s="220"/>
      <c r="Q10" s="2" t="s">
        <v>31</v>
      </c>
      <c r="R10" s="6">
        <v>100</v>
      </c>
    </row>
    <row r="11" spans="1:19" ht="17.25" thickBot="1">
      <c r="A11" s="7" t="s">
        <v>32</v>
      </c>
      <c r="B11" s="211"/>
      <c r="C11" s="212"/>
      <c r="D11" s="212"/>
      <c r="E11" s="212"/>
      <c r="F11" s="213"/>
      <c r="G11" s="21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15"/>
      <c r="I11" s="216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192"/>
      <c r="R13" s="192"/>
      <c r="S13" s="192"/>
    </row>
    <row r="14" spans="1:19" ht="17.25" customHeight="1" thickBot="1">
      <c r="A14" s="111" t="s">
        <v>35</v>
      </c>
      <c r="B14" s="193" t="s">
        <v>36</v>
      </c>
      <c r="C14" s="195"/>
      <c r="D14" s="193" t="s">
        <v>37</v>
      </c>
      <c r="E14" s="194"/>
      <c r="F14" s="195"/>
      <c r="G14" s="196">
        <f>_xlfn.IFNA(VLOOKUP(B14, 현재가테이블!$B$2:$D$200, 2, FALSE), "-")</f>
        <v>68581000</v>
      </c>
      <c r="H14" s="197"/>
      <c r="I14" s="198"/>
      <c r="J14" s="193" t="s">
        <v>38</v>
      </c>
      <c r="K14" s="194"/>
      <c r="L14" s="195"/>
      <c r="M14" s="199">
        <f>_xlfn.IFNA(VLOOKUP(B14, 현재가테이블!$B$2:$D$200, 3, FALSE), "-")</f>
        <v>-2.7047857000000002E-3</v>
      </c>
      <c r="N14" s="200"/>
      <c r="O14" s="201"/>
      <c r="Q14" s="192"/>
      <c r="R14" s="192"/>
      <c r="S14" s="192"/>
    </row>
    <row r="15" spans="1:19" ht="17.25" customHeight="1" thickBot="1">
      <c r="A15" s="217" t="s">
        <v>39</v>
      </c>
      <c r="B15" s="209" t="str">
        <f>TEXT($G$1, "[$-ko-KR]yyyy-mm-dd(ddd) ") &amp; "오전 00:00"</f>
        <v>2021-05-01(토) 오전 00:00</v>
      </c>
      <c r="C15" s="210"/>
      <c r="D15" s="206" t="str">
        <f>TEXT($G$1, "[$-ko-KR]yyyy-mm-dd(ddd) ") &amp; "오후 14:00"</f>
        <v>2021-05-01(토) 오후 14:00</v>
      </c>
      <c r="E15" s="207"/>
      <c r="F15" s="208"/>
      <c r="G15" s="206" t="str">
        <f>TEXT($G$1, "[$-ko-KR]yyyy-mm-dd(ddd) ") &amp; "오후 19:00"</f>
        <v>2021-05-01(토) 오후 19:00</v>
      </c>
      <c r="H15" s="207"/>
      <c r="I15" s="208"/>
      <c r="J15" s="206" t="str">
        <f>TEXT($G$1, "[$-ko-KR]yyyy-mm-dd(ddd) ") &amp; "오후 21:00"</f>
        <v>2021-05-01(토) 오후 21:00</v>
      </c>
      <c r="K15" s="207"/>
      <c r="L15" s="208"/>
      <c r="M15" s="206" t="str">
        <f>TEXT($G$1+1, "[$-ko-KR]yyyy-mm-dd(ddd) ") &amp; "오전 00:00"</f>
        <v>2021-05-02(일) 오전 00:00</v>
      </c>
      <c r="N15" s="207"/>
      <c r="O15" s="208"/>
      <c r="Q15" s="192"/>
      <c r="R15" s="192"/>
      <c r="S15" s="192"/>
    </row>
    <row r="16" spans="1:19" ht="17.25" customHeight="1" thickBot="1">
      <c r="A16" s="21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2"/>
      <c r="R16" s="182"/>
      <c r="S16" s="182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92"/>
      <c r="R17" s="192"/>
      <c r="S17" s="192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92"/>
      <c r="R18" s="192"/>
      <c r="S18" s="192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82"/>
      <c r="R19" s="182"/>
      <c r="S19" s="182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82"/>
      <c r="R20" s="182"/>
      <c r="S20" s="182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82"/>
      <c r="R21" s="182"/>
      <c r="S21" s="18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2"/>
      <c r="R22" s="182"/>
      <c r="S22" s="18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2"/>
      <c r="R23" s="182"/>
      <c r="S23" s="18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2"/>
      <c r="R24" s="182"/>
      <c r="S24" s="18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3"/>
      <c r="R26" s="184"/>
      <c r="S26" s="18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6"/>
      <c r="R27" s="187"/>
      <c r="S27" s="18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9"/>
      <c r="R28" s="190"/>
      <c r="S28" s="19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2"/>
      <c r="R29" s="182"/>
      <c r="S29" s="18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2"/>
      <c r="R32" s="182"/>
      <c r="S32" s="18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2"/>
      <c r="R33" s="182"/>
      <c r="S33" s="18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2"/>
      <c r="R34" s="182"/>
      <c r="S34" s="18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1"/>
      <c r="R35" s="172"/>
      <c r="S35" s="17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4"/>
      <c r="R36" s="175"/>
      <c r="S36" s="176"/>
    </row>
    <row r="37" spans="1:19" ht="17.25" customHeight="1" thickBot="1">
      <c r="A37" s="26" t="s">
        <v>42</v>
      </c>
      <c r="B37" s="180">
        <v>300000</v>
      </c>
      <c r="C37" s="181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177"/>
      <c r="R37" s="178"/>
      <c r="S37" s="17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192"/>
      <c r="R40" s="192"/>
      <c r="S40" s="192"/>
    </row>
    <row r="41" spans="1:19" ht="17.25" customHeight="1" thickBot="1">
      <c r="A41" s="111" t="s">
        <v>298</v>
      </c>
      <c r="B41" s="193" t="s">
        <v>49</v>
      </c>
      <c r="C41" s="195"/>
      <c r="D41" s="193" t="s">
        <v>58</v>
      </c>
      <c r="E41" s="194"/>
      <c r="F41" s="195"/>
      <c r="G41" s="196">
        <f>_xlfn.IFNA(VLOOKUP(B41, 현재가테이블!$B$2:$D$200, 2, FALSE), "-")</f>
        <v>68581000</v>
      </c>
      <c r="H41" s="197"/>
      <c r="I41" s="198"/>
      <c r="J41" s="193" t="s">
        <v>59</v>
      </c>
      <c r="K41" s="194"/>
      <c r="L41" s="195"/>
      <c r="M41" s="199">
        <f>_xlfn.IFNA(VLOOKUP(B41, 현재가테이블!$B$2:$D$200, 3, FALSE), "-")</f>
        <v>-2.7047857000000002E-3</v>
      </c>
      <c r="N41" s="200"/>
      <c r="O41" s="201"/>
      <c r="Q41" s="192"/>
      <c r="R41" s="192"/>
      <c r="S41" s="192"/>
    </row>
    <row r="42" spans="1:19" ht="17.25" customHeight="1" thickBot="1">
      <c r="A42" s="202" t="s">
        <v>55</v>
      </c>
      <c r="B42" s="204" t="str">
        <f>TEXT($G$1, "[$-ko-KR]yyyy-mm-dd(ddd) ") &amp; "오전 00:00"</f>
        <v>2021-05-01(토) 오전 00:00</v>
      </c>
      <c r="C42" s="205"/>
      <c r="D42" s="206" t="str">
        <f>TEXT($G$1, "[$-ko-KR]yyyy-mm-dd(ddd) ") &amp; "오후 14:00"</f>
        <v>2021-05-01(토) 오후 14:00</v>
      </c>
      <c r="E42" s="207"/>
      <c r="F42" s="208"/>
      <c r="G42" s="206" t="str">
        <f>TEXT($G$1, "[$-ko-KR]yyyy-mm-dd(ddd) ") &amp; "오후 19:00"</f>
        <v>2021-05-01(토) 오후 19:00</v>
      </c>
      <c r="H42" s="207"/>
      <c r="I42" s="208"/>
      <c r="J42" s="206" t="str">
        <f>TEXT($G$1, "[$-ko-KR]yyyy-mm-dd(ddd) ") &amp; "오후 21:00"</f>
        <v>2021-05-01(토) 오후 21:00</v>
      </c>
      <c r="K42" s="207"/>
      <c r="L42" s="208"/>
      <c r="M42" s="206" t="str">
        <f>TEXT($G$1+1, "[$-ko-KR]yyyy-mm-dd(ddd) ") &amp; "오전 00:00"</f>
        <v>2021-05-02(일) 오전 00:00</v>
      </c>
      <c r="N42" s="207"/>
      <c r="O42" s="208"/>
      <c r="Q42" s="192"/>
      <c r="R42" s="192"/>
      <c r="S42" s="192"/>
    </row>
    <row r="43" spans="1:19" ht="17.25" customHeight="1" thickBot="1">
      <c r="A43" s="20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2"/>
      <c r="R43" s="182"/>
      <c r="S43" s="182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92"/>
      <c r="R44" s="192"/>
      <c r="S44" s="192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92"/>
      <c r="R45" s="192"/>
      <c r="S45" s="192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82"/>
      <c r="R46" s="182"/>
      <c r="S46" s="182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82"/>
      <c r="R47" s="182"/>
      <c r="S47" s="182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82"/>
      <c r="R48" s="182"/>
      <c r="S48" s="182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82"/>
      <c r="R49" s="182"/>
      <c r="S49" s="182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82"/>
      <c r="R50" s="182"/>
      <c r="S50" s="182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82"/>
      <c r="R51" s="182"/>
      <c r="S51" s="182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183"/>
      <c r="R53" s="184"/>
      <c r="S53" s="185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186"/>
      <c r="R54" s="187"/>
      <c r="S54" s="188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189"/>
      <c r="R55" s="190"/>
      <c r="S55" s="191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82"/>
      <c r="R56" s="182"/>
      <c r="S56" s="182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92"/>
      <c r="R57" s="192"/>
      <c r="S57" s="192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92"/>
      <c r="R58" s="192"/>
      <c r="S58" s="192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82"/>
      <c r="R59" s="182"/>
      <c r="S59" s="182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82"/>
      <c r="R60" s="182"/>
      <c r="S60" s="182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82"/>
      <c r="R61" s="182"/>
      <c r="S61" s="182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71"/>
      <c r="R62" s="172"/>
      <c r="S62" s="17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4"/>
      <c r="R63" s="175"/>
      <c r="S63" s="176"/>
    </row>
    <row r="64" spans="1:19" ht="17.25" customHeight="1" thickBot="1">
      <c r="A64" s="26" t="s">
        <v>301</v>
      </c>
      <c r="B64" s="180">
        <f>$B$37</f>
        <v>300000</v>
      </c>
      <c r="C64" s="181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177"/>
      <c r="R64" s="178"/>
      <c r="S64" s="17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192"/>
      <c r="R67" s="192"/>
      <c r="S67" s="192"/>
    </row>
    <row r="68" spans="1:19" ht="17.25" thickBot="1">
      <c r="A68" s="111" t="s">
        <v>298</v>
      </c>
      <c r="B68" s="193" t="s">
        <v>49</v>
      </c>
      <c r="C68" s="195"/>
      <c r="D68" s="193" t="s">
        <v>58</v>
      </c>
      <c r="E68" s="194"/>
      <c r="F68" s="195"/>
      <c r="G68" s="196">
        <f>_xlfn.IFNA(VLOOKUP(B68, 현재가테이블!$B$2:$D$200, 2, FALSE), "-")</f>
        <v>68581000</v>
      </c>
      <c r="H68" s="197"/>
      <c r="I68" s="198"/>
      <c r="J68" s="193" t="s">
        <v>59</v>
      </c>
      <c r="K68" s="194"/>
      <c r="L68" s="195"/>
      <c r="M68" s="199">
        <f>_xlfn.IFNA(VLOOKUP(B68, 현재가테이블!$B$2:$D$200, 3, FALSE), "-")</f>
        <v>-2.7047857000000002E-3</v>
      </c>
      <c r="N68" s="200"/>
      <c r="O68" s="201"/>
      <c r="Q68" s="192"/>
      <c r="R68" s="192"/>
      <c r="S68" s="192"/>
    </row>
    <row r="69" spans="1:19" ht="17.25" thickBot="1">
      <c r="A69" s="202" t="s">
        <v>55</v>
      </c>
      <c r="B69" s="204" t="str">
        <f>TEXT($G$1, "[$-ko-KR]yyyy-mm-dd(ddd) ") &amp; "오전 00:00"</f>
        <v>2021-05-01(토) 오전 00:00</v>
      </c>
      <c r="C69" s="205"/>
      <c r="D69" s="206" t="str">
        <f>TEXT($G$1, "[$-ko-KR]yyyy-mm-dd(ddd) ") &amp; "오후 14:00"</f>
        <v>2021-05-01(토) 오후 14:00</v>
      </c>
      <c r="E69" s="207"/>
      <c r="F69" s="208"/>
      <c r="G69" s="206" t="str">
        <f>TEXT($G$1, "[$-ko-KR]yyyy-mm-dd(ddd) ") &amp; "오후 19:00"</f>
        <v>2021-05-01(토) 오후 19:00</v>
      </c>
      <c r="H69" s="207"/>
      <c r="I69" s="208"/>
      <c r="J69" s="206" t="str">
        <f>TEXT($G$1, "[$-ko-KR]yyyy-mm-dd(ddd) ") &amp; "오후 21:00"</f>
        <v>2021-05-01(토) 오후 21:00</v>
      </c>
      <c r="K69" s="207"/>
      <c r="L69" s="208"/>
      <c r="M69" s="206" t="str">
        <f>TEXT($G$1+1, "[$-ko-KR]yyyy-mm-dd(ddd) ") &amp; "오전 00:00"</f>
        <v>2021-05-02(일) 오전 00:00</v>
      </c>
      <c r="N69" s="207"/>
      <c r="O69" s="208"/>
      <c r="Q69" s="192"/>
      <c r="R69" s="192"/>
      <c r="S69" s="192"/>
    </row>
    <row r="70" spans="1:19" ht="17.25" thickBot="1">
      <c r="A70" s="20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2"/>
      <c r="R70" s="182"/>
      <c r="S70" s="182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92"/>
      <c r="R71" s="192"/>
      <c r="S71" s="192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92"/>
      <c r="R72" s="192"/>
      <c r="S72" s="192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82"/>
      <c r="R73" s="182"/>
      <c r="S73" s="182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82"/>
      <c r="R74" s="182"/>
      <c r="S74" s="182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82"/>
      <c r="R75" s="182"/>
      <c r="S75" s="182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82"/>
      <c r="R76" s="182"/>
      <c r="S76" s="182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82"/>
      <c r="R77" s="182"/>
      <c r="S77" s="182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82"/>
      <c r="R78" s="182"/>
      <c r="S78" s="182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183"/>
      <c r="R80" s="184"/>
      <c r="S80" s="185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186"/>
      <c r="R81" s="187"/>
      <c r="S81" s="188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189"/>
      <c r="R82" s="190"/>
      <c r="S82" s="191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82"/>
      <c r="R83" s="182"/>
      <c r="S83" s="182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92"/>
      <c r="R84" s="192"/>
      <c r="S84" s="192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92"/>
      <c r="R85" s="192"/>
      <c r="S85" s="192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82"/>
      <c r="R86" s="182"/>
      <c r="S86" s="182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82"/>
      <c r="R87" s="182"/>
      <c r="S87" s="182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82"/>
      <c r="R88" s="182"/>
      <c r="S88" s="182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71"/>
      <c r="R89" s="172"/>
      <c r="S89" s="173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174"/>
      <c r="R90" s="175"/>
      <c r="S90" s="176"/>
    </row>
    <row r="91" spans="1:19" ht="17.25" thickBot="1">
      <c r="A91" s="26" t="s">
        <v>301</v>
      </c>
      <c r="B91" s="180">
        <f>$B$37</f>
        <v>300000</v>
      </c>
      <c r="C91" s="181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177"/>
      <c r="R91" s="178"/>
      <c r="S91" s="17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192"/>
      <c r="R94" s="192"/>
      <c r="S94" s="192"/>
    </row>
    <row r="95" spans="1:19" ht="17.25" thickBot="1">
      <c r="A95" s="111" t="s">
        <v>298</v>
      </c>
      <c r="B95" s="193" t="s">
        <v>49</v>
      </c>
      <c r="C95" s="195"/>
      <c r="D95" s="193" t="s">
        <v>58</v>
      </c>
      <c r="E95" s="194"/>
      <c r="F95" s="195"/>
      <c r="G95" s="196">
        <f>_xlfn.IFNA(VLOOKUP(B95, 현재가테이블!$B$2:$D$200, 2, FALSE), "-")</f>
        <v>68581000</v>
      </c>
      <c r="H95" s="197"/>
      <c r="I95" s="198"/>
      <c r="J95" s="193" t="s">
        <v>59</v>
      </c>
      <c r="K95" s="194"/>
      <c r="L95" s="195"/>
      <c r="M95" s="199">
        <f>_xlfn.IFNA(VLOOKUP(B95, 현재가테이블!$B$2:$D$200, 3, FALSE), "-")</f>
        <v>-2.7047857000000002E-3</v>
      </c>
      <c r="N95" s="200"/>
      <c r="O95" s="201"/>
      <c r="Q95" s="192"/>
      <c r="R95" s="192"/>
      <c r="S95" s="192"/>
    </row>
    <row r="96" spans="1:19" ht="17.25" thickBot="1">
      <c r="A96" s="202" t="s">
        <v>55</v>
      </c>
      <c r="B96" s="204" t="str">
        <f>TEXT($G$1, "[$-ko-KR]yyyy-mm-dd(ddd) ") &amp; "오전 00:00"</f>
        <v>2021-05-01(토) 오전 00:00</v>
      </c>
      <c r="C96" s="205"/>
      <c r="D96" s="206" t="str">
        <f>TEXT($G$1, "[$-ko-KR]yyyy-mm-dd(ddd) ") &amp; "오후 14:00"</f>
        <v>2021-05-01(토) 오후 14:00</v>
      </c>
      <c r="E96" s="207"/>
      <c r="F96" s="208"/>
      <c r="G96" s="206" t="str">
        <f>TEXT($G$1, "[$-ko-KR]yyyy-mm-dd(ddd) ") &amp; "오후 19:00"</f>
        <v>2021-05-01(토) 오후 19:00</v>
      </c>
      <c r="H96" s="207"/>
      <c r="I96" s="208"/>
      <c r="J96" s="206" t="str">
        <f>TEXT($G$1, "[$-ko-KR]yyyy-mm-dd(ddd) ") &amp; "오후 21:00"</f>
        <v>2021-05-01(토) 오후 21:00</v>
      </c>
      <c r="K96" s="207"/>
      <c r="L96" s="208"/>
      <c r="M96" s="206" t="str">
        <f>TEXT($G$1+1, "[$-ko-KR]yyyy-mm-dd(ddd) ") &amp; "오전 00:00"</f>
        <v>2021-05-02(일) 오전 00:00</v>
      </c>
      <c r="N96" s="207"/>
      <c r="O96" s="208"/>
      <c r="Q96" s="192"/>
      <c r="R96" s="192"/>
      <c r="S96" s="192"/>
    </row>
    <row r="97" spans="1:19" ht="17.25" thickBot="1">
      <c r="A97" s="20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2"/>
      <c r="R97" s="182"/>
      <c r="S97" s="182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92"/>
      <c r="R98" s="192"/>
      <c r="S98" s="192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92"/>
      <c r="R99" s="192"/>
      <c r="S99" s="192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82"/>
      <c r="R100" s="182"/>
      <c r="S100" s="182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82"/>
      <c r="R101" s="182"/>
      <c r="S101" s="182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82"/>
      <c r="R102" s="182"/>
      <c r="S102" s="182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82"/>
      <c r="R103" s="182"/>
      <c r="S103" s="182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82"/>
      <c r="R104" s="182"/>
      <c r="S104" s="182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82"/>
      <c r="R105" s="182"/>
      <c r="S105" s="182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183"/>
      <c r="R107" s="184"/>
      <c r="S107" s="185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186"/>
      <c r="R108" s="187"/>
      <c r="S108" s="188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189"/>
      <c r="R109" s="190"/>
      <c r="S109" s="191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82"/>
      <c r="R110" s="182"/>
      <c r="S110" s="182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92"/>
      <c r="R111" s="192"/>
      <c r="S111" s="192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92"/>
      <c r="R112" s="192"/>
      <c r="S112" s="192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82"/>
      <c r="R113" s="182"/>
      <c r="S113" s="182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82"/>
      <c r="R114" s="182"/>
      <c r="S114" s="182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82"/>
      <c r="R115" s="182"/>
      <c r="S115" s="182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71"/>
      <c r="R116" s="172"/>
      <c r="S116" s="173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174"/>
      <c r="R117" s="175"/>
      <c r="S117" s="176"/>
    </row>
    <row r="118" spans="1:19" ht="17.25" thickBot="1">
      <c r="A118" s="26" t="s">
        <v>301</v>
      </c>
      <c r="B118" s="180">
        <f>$B$37</f>
        <v>300000</v>
      </c>
      <c r="C118" s="181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177"/>
      <c r="R118" s="178"/>
      <c r="S118" s="17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192"/>
      <c r="R121" s="192"/>
      <c r="S121" s="192"/>
    </row>
    <row r="122" spans="1:19" ht="17.25" thickBot="1">
      <c r="A122" s="111" t="s">
        <v>298</v>
      </c>
      <c r="B122" s="193" t="s">
        <v>49</v>
      </c>
      <c r="C122" s="195"/>
      <c r="D122" s="193" t="s">
        <v>58</v>
      </c>
      <c r="E122" s="194"/>
      <c r="F122" s="195"/>
      <c r="G122" s="196">
        <f>_xlfn.IFNA(VLOOKUP(B122, 현재가테이블!$B$2:$D$200, 2, FALSE), "-")</f>
        <v>68581000</v>
      </c>
      <c r="H122" s="197"/>
      <c r="I122" s="198"/>
      <c r="J122" s="193" t="s">
        <v>59</v>
      </c>
      <c r="K122" s="194"/>
      <c r="L122" s="195"/>
      <c r="M122" s="199">
        <f>_xlfn.IFNA(VLOOKUP(B122, 현재가테이블!$B$2:$D$200, 3, FALSE), "-")</f>
        <v>-2.7047857000000002E-3</v>
      </c>
      <c r="N122" s="200"/>
      <c r="O122" s="201"/>
      <c r="Q122" s="192"/>
      <c r="R122" s="192"/>
      <c r="S122" s="192"/>
    </row>
    <row r="123" spans="1:19" ht="17.25" thickBot="1">
      <c r="A123" s="202" t="s">
        <v>55</v>
      </c>
      <c r="B123" s="204" t="str">
        <f>TEXT($G$1, "[$-ko-KR]yyyy-mm-dd(ddd) ") &amp; "오전 00:00"</f>
        <v>2021-05-01(토) 오전 00:00</v>
      </c>
      <c r="C123" s="205"/>
      <c r="D123" s="206" t="str">
        <f>TEXT($G$1, "[$-ko-KR]yyyy-mm-dd(ddd) ") &amp; "오후 14:00"</f>
        <v>2021-05-01(토) 오후 14:00</v>
      </c>
      <c r="E123" s="207"/>
      <c r="F123" s="208"/>
      <c r="G123" s="206" t="str">
        <f>TEXT($G$1, "[$-ko-KR]yyyy-mm-dd(ddd) ") &amp; "오후 19:00"</f>
        <v>2021-05-01(토) 오후 19:00</v>
      </c>
      <c r="H123" s="207"/>
      <c r="I123" s="208"/>
      <c r="J123" s="206" t="str">
        <f>TEXT($G$1, "[$-ko-KR]yyyy-mm-dd(ddd) ") &amp; "오후 21:00"</f>
        <v>2021-05-01(토) 오후 21:00</v>
      </c>
      <c r="K123" s="207"/>
      <c r="L123" s="208"/>
      <c r="M123" s="206" t="str">
        <f>TEXT($G$1+1, "[$-ko-KR]yyyy-mm-dd(ddd) ") &amp; "오전 00:00"</f>
        <v>2021-05-02(일) 오전 00:00</v>
      </c>
      <c r="N123" s="207"/>
      <c r="O123" s="208"/>
      <c r="Q123" s="192"/>
      <c r="R123" s="192"/>
      <c r="S123" s="192"/>
    </row>
    <row r="124" spans="1:19" ht="17.25" thickBot="1">
      <c r="A124" s="20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2"/>
      <c r="R124" s="182"/>
      <c r="S124" s="182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92"/>
      <c r="R125" s="192"/>
      <c r="S125" s="192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92"/>
      <c r="R126" s="192"/>
      <c r="S126" s="192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82"/>
      <c r="R127" s="182"/>
      <c r="S127" s="182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82"/>
      <c r="R128" s="182"/>
      <c r="S128" s="182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82"/>
      <c r="R129" s="182"/>
      <c r="S129" s="182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82"/>
      <c r="R130" s="182"/>
      <c r="S130" s="182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82"/>
      <c r="R131" s="182"/>
      <c r="S131" s="182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82"/>
      <c r="R132" s="182"/>
      <c r="S132" s="182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183"/>
      <c r="R134" s="184"/>
      <c r="S134" s="185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186"/>
      <c r="R135" s="187"/>
      <c r="S135" s="188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189"/>
      <c r="R136" s="190"/>
      <c r="S136" s="191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82"/>
      <c r="R137" s="182"/>
      <c r="S137" s="182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92"/>
      <c r="R138" s="192"/>
      <c r="S138" s="192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92"/>
      <c r="R139" s="192"/>
      <c r="S139" s="192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82"/>
      <c r="R140" s="182"/>
      <c r="S140" s="182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82"/>
      <c r="R141" s="182"/>
      <c r="S141" s="182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82"/>
      <c r="R142" s="182"/>
      <c r="S142" s="182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71"/>
      <c r="R143" s="172"/>
      <c r="S143" s="17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4"/>
      <c r="R144" s="175"/>
      <c r="S144" s="176"/>
    </row>
    <row r="145" spans="1:19" ht="17.25" thickBot="1">
      <c r="A145" s="26" t="s">
        <v>301</v>
      </c>
      <c r="B145" s="180">
        <f>$B$37</f>
        <v>300000</v>
      </c>
      <c r="C145" s="181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177"/>
      <c r="R145" s="178"/>
      <c r="S145" s="17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192"/>
      <c r="R148" s="192"/>
      <c r="S148" s="192"/>
    </row>
    <row r="149" spans="1:19" ht="17.25" thickBot="1">
      <c r="A149" s="111" t="s">
        <v>298</v>
      </c>
      <c r="B149" s="193" t="s">
        <v>49</v>
      </c>
      <c r="C149" s="195"/>
      <c r="D149" s="193" t="s">
        <v>58</v>
      </c>
      <c r="E149" s="194"/>
      <c r="F149" s="195"/>
      <c r="G149" s="196">
        <f>_xlfn.IFNA(VLOOKUP(B149, 현재가테이블!$B$2:$D$200, 2, FALSE), "-")</f>
        <v>68581000</v>
      </c>
      <c r="H149" s="197"/>
      <c r="I149" s="198"/>
      <c r="J149" s="193" t="s">
        <v>59</v>
      </c>
      <c r="K149" s="194"/>
      <c r="L149" s="195"/>
      <c r="M149" s="199">
        <f>_xlfn.IFNA(VLOOKUP(B149, 현재가테이블!$B$2:$D$200, 3, FALSE), "-")</f>
        <v>-2.7047857000000002E-3</v>
      </c>
      <c r="N149" s="200"/>
      <c r="O149" s="201"/>
      <c r="Q149" s="192"/>
      <c r="R149" s="192"/>
      <c r="S149" s="192"/>
    </row>
    <row r="150" spans="1:19" ht="17.25" thickBot="1">
      <c r="A150" s="202" t="s">
        <v>55</v>
      </c>
      <c r="B150" s="204" t="str">
        <f>TEXT($G$1, "[$-ko-KR]yyyy-mm-dd(ddd) ") &amp; "오전 00:00"</f>
        <v>2021-05-01(토) 오전 00:00</v>
      </c>
      <c r="C150" s="205"/>
      <c r="D150" s="206" t="str">
        <f>TEXT($G$1, "[$-ko-KR]yyyy-mm-dd(ddd) ") &amp; "오후 14:00"</f>
        <v>2021-05-01(토) 오후 14:00</v>
      </c>
      <c r="E150" s="207"/>
      <c r="F150" s="208"/>
      <c r="G150" s="206" t="str">
        <f>TEXT($G$1, "[$-ko-KR]yyyy-mm-dd(ddd) ") &amp; "오후 19:00"</f>
        <v>2021-05-01(토) 오후 19:00</v>
      </c>
      <c r="H150" s="207"/>
      <c r="I150" s="208"/>
      <c r="J150" s="206" t="str">
        <f>TEXT($G$1, "[$-ko-KR]yyyy-mm-dd(ddd) ") &amp; "오후 21:00"</f>
        <v>2021-05-01(토) 오후 21:00</v>
      </c>
      <c r="K150" s="207"/>
      <c r="L150" s="208"/>
      <c r="M150" s="206" t="str">
        <f>TEXT($G$1+1, "[$-ko-KR]yyyy-mm-dd(ddd) ") &amp; "오전 00:00"</f>
        <v>2021-05-02(일) 오전 00:00</v>
      </c>
      <c r="N150" s="207"/>
      <c r="O150" s="208"/>
      <c r="Q150" s="192"/>
      <c r="R150" s="192"/>
      <c r="S150" s="192"/>
    </row>
    <row r="151" spans="1:19" ht="17.25" thickBot="1">
      <c r="A151" s="20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2"/>
      <c r="R151" s="182"/>
      <c r="S151" s="182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92"/>
      <c r="R152" s="192"/>
      <c r="S152" s="192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92"/>
      <c r="R153" s="192"/>
      <c r="S153" s="192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82"/>
      <c r="R154" s="182"/>
      <c r="S154" s="182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82"/>
      <c r="R155" s="182"/>
      <c r="S155" s="182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82"/>
      <c r="R156" s="182"/>
      <c r="S156" s="182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82"/>
      <c r="R157" s="182"/>
      <c r="S157" s="182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82"/>
      <c r="R158" s="182"/>
      <c r="S158" s="182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82"/>
      <c r="R159" s="182"/>
      <c r="S159" s="182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183"/>
      <c r="R161" s="184"/>
      <c r="S161" s="185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186"/>
      <c r="R162" s="187"/>
      <c r="S162" s="188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189"/>
      <c r="R163" s="190"/>
      <c r="S163" s="191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82"/>
      <c r="R164" s="182"/>
      <c r="S164" s="182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92"/>
      <c r="R165" s="192"/>
      <c r="S165" s="192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92"/>
      <c r="R166" s="192"/>
      <c r="S166" s="192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82"/>
      <c r="R167" s="182"/>
      <c r="S167" s="182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82"/>
      <c r="R168" s="182"/>
      <c r="S168" s="182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82"/>
      <c r="R169" s="182"/>
      <c r="S169" s="182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71"/>
      <c r="R170" s="172"/>
      <c r="S170" s="173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174"/>
      <c r="R171" s="175"/>
      <c r="S171" s="176"/>
    </row>
    <row r="172" spans="1:19" ht="17.25" thickBot="1">
      <c r="A172" s="26" t="s">
        <v>301</v>
      </c>
      <c r="B172" s="180">
        <f>$B$37</f>
        <v>300000</v>
      </c>
      <c r="C172" s="181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177"/>
      <c r="R172" s="178"/>
      <c r="S172" s="17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192"/>
      <c r="R175" s="192"/>
      <c r="S175" s="192"/>
    </row>
    <row r="176" spans="1:19" ht="17.25" thickBot="1">
      <c r="A176" s="111" t="s">
        <v>298</v>
      </c>
      <c r="B176" s="193" t="s">
        <v>49</v>
      </c>
      <c r="C176" s="195"/>
      <c r="D176" s="193" t="s">
        <v>58</v>
      </c>
      <c r="E176" s="194"/>
      <c r="F176" s="195"/>
      <c r="G176" s="196">
        <f>_xlfn.IFNA(VLOOKUP(B176, 현재가테이블!$B$2:$D$200, 2, FALSE), "-")</f>
        <v>68581000</v>
      </c>
      <c r="H176" s="197"/>
      <c r="I176" s="198"/>
      <c r="J176" s="193" t="s">
        <v>59</v>
      </c>
      <c r="K176" s="194"/>
      <c r="L176" s="195"/>
      <c r="M176" s="199">
        <f>_xlfn.IFNA(VLOOKUP(B176, 현재가테이블!$B$2:$D$200, 3, FALSE), "-")</f>
        <v>-2.7047857000000002E-3</v>
      </c>
      <c r="N176" s="200"/>
      <c r="O176" s="201"/>
      <c r="Q176" s="192"/>
      <c r="R176" s="192"/>
      <c r="S176" s="192"/>
    </row>
    <row r="177" spans="1:19" ht="17.25" thickBot="1">
      <c r="A177" s="202" t="s">
        <v>55</v>
      </c>
      <c r="B177" s="204" t="str">
        <f>TEXT($G$1, "[$-ko-KR]yyyy-mm-dd(ddd) ") &amp; "오전 00:00"</f>
        <v>2021-05-01(토) 오전 00:00</v>
      </c>
      <c r="C177" s="205"/>
      <c r="D177" s="206" t="str">
        <f>TEXT($G$1, "[$-ko-KR]yyyy-mm-dd(ddd) ") &amp; "오후 14:00"</f>
        <v>2021-05-01(토) 오후 14:00</v>
      </c>
      <c r="E177" s="207"/>
      <c r="F177" s="208"/>
      <c r="G177" s="206" t="str">
        <f>TEXT($G$1, "[$-ko-KR]yyyy-mm-dd(ddd) ") &amp; "오후 19:00"</f>
        <v>2021-05-01(토) 오후 19:00</v>
      </c>
      <c r="H177" s="207"/>
      <c r="I177" s="208"/>
      <c r="J177" s="206" t="str">
        <f>TEXT($G$1, "[$-ko-KR]yyyy-mm-dd(ddd) ") &amp; "오후 21:00"</f>
        <v>2021-05-01(토) 오후 21:00</v>
      </c>
      <c r="K177" s="207"/>
      <c r="L177" s="208"/>
      <c r="M177" s="206" t="str">
        <f>TEXT($G$1+1, "[$-ko-KR]yyyy-mm-dd(ddd) ") &amp; "오전 00:00"</f>
        <v>2021-05-02(일) 오전 00:00</v>
      </c>
      <c r="N177" s="207"/>
      <c r="O177" s="208"/>
      <c r="Q177" s="192"/>
      <c r="R177" s="192"/>
      <c r="S177" s="192"/>
    </row>
    <row r="178" spans="1:19" ht="17.25" thickBot="1">
      <c r="A178" s="20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2"/>
      <c r="R178" s="182"/>
      <c r="S178" s="182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92"/>
      <c r="R179" s="192"/>
      <c r="S179" s="192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92"/>
      <c r="R180" s="192"/>
      <c r="S180" s="192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82"/>
      <c r="R181" s="182"/>
      <c r="S181" s="182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82"/>
      <c r="R182" s="182"/>
      <c r="S182" s="182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82"/>
      <c r="R183" s="182"/>
      <c r="S183" s="182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82"/>
      <c r="R184" s="182"/>
      <c r="S184" s="182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82"/>
      <c r="R185" s="182"/>
      <c r="S185" s="182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82"/>
      <c r="R186" s="182"/>
      <c r="S186" s="182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183"/>
      <c r="R188" s="184"/>
      <c r="S188" s="185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186"/>
      <c r="R189" s="187"/>
      <c r="S189" s="188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189"/>
      <c r="R190" s="190"/>
      <c r="S190" s="191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82"/>
      <c r="R191" s="182"/>
      <c r="S191" s="182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92"/>
      <c r="R192" s="192"/>
      <c r="S192" s="192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92"/>
      <c r="R193" s="192"/>
      <c r="S193" s="192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82"/>
      <c r="R194" s="182"/>
      <c r="S194" s="182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82"/>
      <c r="R195" s="182"/>
      <c r="S195" s="182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82"/>
      <c r="R196" s="182"/>
      <c r="S196" s="182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71"/>
      <c r="R197" s="172"/>
      <c r="S197" s="173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174"/>
      <c r="R198" s="175"/>
      <c r="S198" s="176"/>
    </row>
    <row r="199" spans="1:19" ht="17.25" thickBot="1">
      <c r="A199" s="26" t="s">
        <v>301</v>
      </c>
      <c r="B199" s="180">
        <f>$B$37</f>
        <v>300000</v>
      </c>
      <c r="C199" s="181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177"/>
      <c r="R199" s="178"/>
      <c r="S199" s="1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224">
        <v>44318</v>
      </c>
      <c r="H1" s="225"/>
      <c r="I1" s="226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" t="s">
        <v>3</v>
      </c>
      <c r="B2" s="227" t="s">
        <v>4</v>
      </c>
      <c r="C2" s="228"/>
      <c r="D2" s="228"/>
      <c r="E2" s="228"/>
      <c r="F2" s="229"/>
      <c r="G2" s="221" t="s">
        <v>46</v>
      </c>
      <c r="H2" s="222"/>
      <c r="I2" s="223"/>
      <c r="J2" s="1" t="s">
        <v>3</v>
      </c>
      <c r="K2" s="227" t="s">
        <v>5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4" t="s">
        <v>7</v>
      </c>
      <c r="B3" s="218" t="s">
        <v>8</v>
      </c>
      <c r="C3" s="219"/>
      <c r="D3" s="219"/>
      <c r="E3" s="219"/>
      <c r="F3" s="220"/>
      <c r="G3" s="21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15"/>
      <c r="I3" s="216"/>
      <c r="J3" s="4" t="s">
        <v>7</v>
      </c>
      <c r="K3" s="218" t="s">
        <v>9</v>
      </c>
      <c r="L3" s="219"/>
      <c r="M3" s="219"/>
      <c r="N3" s="219"/>
      <c r="O3" s="22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8" t="s">
        <v>12</v>
      </c>
      <c r="C4" s="219"/>
      <c r="D4" s="219"/>
      <c r="E4" s="219"/>
      <c r="F4" s="220"/>
      <c r="G4" s="221" t="s">
        <v>44</v>
      </c>
      <c r="H4" s="222"/>
      <c r="I4" s="223"/>
      <c r="J4" s="4" t="s">
        <v>11</v>
      </c>
      <c r="K4" s="218" t="s">
        <v>13</v>
      </c>
      <c r="L4" s="219"/>
      <c r="M4" s="219"/>
      <c r="N4" s="219"/>
      <c r="O4" s="22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8" t="s">
        <v>16</v>
      </c>
      <c r="C5" s="219"/>
      <c r="D5" s="219"/>
      <c r="E5" s="219"/>
      <c r="F5" s="220"/>
      <c r="G5" s="21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15"/>
      <c r="I5" s="216"/>
      <c r="J5" s="4" t="s">
        <v>15</v>
      </c>
      <c r="K5" s="218" t="s">
        <v>17</v>
      </c>
      <c r="L5" s="219"/>
      <c r="M5" s="219"/>
      <c r="N5" s="219"/>
      <c r="O5" s="220"/>
    </row>
    <row r="6" spans="1:19">
      <c r="A6" s="4" t="s">
        <v>18</v>
      </c>
      <c r="B6" s="218" t="s">
        <v>19</v>
      </c>
      <c r="C6" s="219"/>
      <c r="D6" s="219"/>
      <c r="E6" s="219"/>
      <c r="F6" s="220"/>
      <c r="G6" s="221" t="s">
        <v>45</v>
      </c>
      <c r="H6" s="222"/>
      <c r="I6" s="223"/>
      <c r="J6" s="4" t="s">
        <v>18</v>
      </c>
      <c r="K6" s="218" t="s">
        <v>20</v>
      </c>
      <c r="L6" s="219"/>
      <c r="M6" s="219"/>
      <c r="N6" s="219"/>
      <c r="O6" s="220"/>
    </row>
    <row r="7" spans="1:19" ht="17.25" thickBot="1">
      <c r="A7" s="4" t="s">
        <v>21</v>
      </c>
      <c r="B7" s="218" t="s">
        <v>22</v>
      </c>
      <c r="C7" s="219"/>
      <c r="D7" s="219"/>
      <c r="E7" s="219"/>
      <c r="F7" s="220"/>
      <c r="G7" s="21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15"/>
      <c r="I7" s="216"/>
      <c r="J7" s="4" t="s">
        <v>21</v>
      </c>
      <c r="K7" s="218" t="s">
        <v>23</v>
      </c>
      <c r="L7" s="219"/>
      <c r="M7" s="219"/>
      <c r="N7" s="219"/>
      <c r="O7" s="220"/>
    </row>
    <row r="8" spans="1:19" ht="17.25" thickBot="1">
      <c r="A8" s="4" t="s">
        <v>24</v>
      </c>
      <c r="B8" s="218" t="s">
        <v>25</v>
      </c>
      <c r="C8" s="219"/>
      <c r="D8" s="219"/>
      <c r="E8" s="219"/>
      <c r="F8" s="220"/>
      <c r="G8" s="221" t="s">
        <v>285</v>
      </c>
      <c r="H8" s="222"/>
      <c r="I8" s="223"/>
      <c r="J8" s="4" t="s">
        <v>24</v>
      </c>
      <c r="K8" s="218" t="s">
        <v>26</v>
      </c>
      <c r="L8" s="219"/>
      <c r="M8" s="219"/>
      <c r="N8" s="219"/>
      <c r="O8" s="220"/>
      <c r="Q8" s="193" t="s">
        <v>27</v>
      </c>
      <c r="R8" s="195"/>
    </row>
    <row r="9" spans="1:19" ht="17.25" thickBot="1">
      <c r="A9" s="4" t="s">
        <v>28</v>
      </c>
      <c r="B9" s="218"/>
      <c r="C9" s="219"/>
      <c r="D9" s="219"/>
      <c r="E9" s="219"/>
      <c r="F9" s="220"/>
      <c r="G9" s="21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15"/>
      <c r="I9" s="216"/>
      <c r="J9" s="4" t="s">
        <v>28</v>
      </c>
      <c r="K9" s="218" t="s">
        <v>293</v>
      </c>
      <c r="L9" s="219"/>
      <c r="M9" s="219"/>
      <c r="N9" s="219"/>
      <c r="O9" s="220"/>
      <c r="Q9" s="2" t="s">
        <v>29</v>
      </c>
      <c r="R9" s="6">
        <v>10</v>
      </c>
    </row>
    <row r="10" spans="1:19">
      <c r="A10" s="4" t="s">
        <v>30</v>
      </c>
      <c r="B10" s="218"/>
      <c r="C10" s="219"/>
      <c r="D10" s="219"/>
      <c r="E10" s="219"/>
      <c r="F10" s="220"/>
      <c r="G10" s="221" t="s">
        <v>47</v>
      </c>
      <c r="H10" s="222"/>
      <c r="I10" s="223"/>
      <c r="J10" s="4" t="s">
        <v>30</v>
      </c>
      <c r="K10" s="218"/>
      <c r="L10" s="219"/>
      <c r="M10" s="219"/>
      <c r="N10" s="219"/>
      <c r="O10" s="220"/>
      <c r="Q10" s="2" t="s">
        <v>31</v>
      </c>
      <c r="R10" s="6">
        <v>100</v>
      </c>
    </row>
    <row r="11" spans="1:19" ht="17.25" thickBot="1">
      <c r="A11" s="7" t="s">
        <v>32</v>
      </c>
      <c r="B11" s="211"/>
      <c r="C11" s="212"/>
      <c r="D11" s="212"/>
      <c r="E11" s="212"/>
      <c r="F11" s="213"/>
      <c r="G11" s="21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15"/>
      <c r="I11" s="216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192"/>
      <c r="R13" s="192"/>
      <c r="S13" s="192"/>
    </row>
    <row r="14" spans="1:19" ht="17.25" customHeight="1" thickBot="1">
      <c r="A14" s="111" t="s">
        <v>35</v>
      </c>
      <c r="B14" s="193" t="s">
        <v>36</v>
      </c>
      <c r="C14" s="195"/>
      <c r="D14" s="193" t="s">
        <v>37</v>
      </c>
      <c r="E14" s="194"/>
      <c r="F14" s="195"/>
      <c r="G14" s="196">
        <f>_xlfn.IFNA(VLOOKUP(B14, 현재가테이블!$B$2:$D$200, 2, FALSE), "-")</f>
        <v>68581000</v>
      </c>
      <c r="H14" s="197"/>
      <c r="I14" s="198"/>
      <c r="J14" s="193" t="s">
        <v>38</v>
      </c>
      <c r="K14" s="194"/>
      <c r="L14" s="195"/>
      <c r="M14" s="199">
        <f>_xlfn.IFNA(VLOOKUP(B14, 현재가테이블!$B$2:$D$200, 3, FALSE), "-")</f>
        <v>-2.7047857000000002E-3</v>
      </c>
      <c r="N14" s="200"/>
      <c r="O14" s="201"/>
      <c r="Q14" s="192"/>
      <c r="R14" s="192"/>
      <c r="S14" s="192"/>
    </row>
    <row r="15" spans="1:19" ht="17.25" customHeight="1" thickBot="1">
      <c r="A15" s="217" t="s">
        <v>39</v>
      </c>
      <c r="B15" s="209" t="str">
        <f>TEXT($G$1, "[$-ko-KR]yyyy-mm-dd(ddd) ") &amp; "오전 00:00"</f>
        <v>2021-05-02(일) 오전 00:00</v>
      </c>
      <c r="C15" s="210"/>
      <c r="D15" s="206" t="str">
        <f>TEXT($G$1, "[$-ko-KR]yyyy-mm-dd(ddd) ") &amp; "오후 14:00"</f>
        <v>2021-05-02(일) 오후 14:00</v>
      </c>
      <c r="E15" s="207"/>
      <c r="F15" s="208"/>
      <c r="G15" s="206" t="str">
        <f>TEXT($G$1, "[$-ko-KR]yyyy-mm-dd(ddd) ") &amp; "오후 19:00"</f>
        <v>2021-05-02(일) 오후 19:00</v>
      </c>
      <c r="H15" s="207"/>
      <c r="I15" s="208"/>
      <c r="J15" s="206" t="str">
        <f>TEXT($G$1, "[$-ko-KR]yyyy-mm-dd(ddd) ") &amp; "오후 21:00"</f>
        <v>2021-05-02(일) 오후 21:00</v>
      </c>
      <c r="K15" s="207"/>
      <c r="L15" s="208"/>
      <c r="M15" s="206" t="str">
        <f>TEXT($G$1+1, "[$-ko-KR]yyyy-mm-dd(ddd) ") &amp; "오전 00:00"</f>
        <v>2021-05-03(월) 오전 00:00</v>
      </c>
      <c r="N15" s="207"/>
      <c r="O15" s="208"/>
      <c r="Q15" s="192"/>
      <c r="R15" s="192"/>
      <c r="S15" s="192"/>
    </row>
    <row r="16" spans="1:19" ht="17.25" customHeight="1" thickBot="1">
      <c r="A16" s="21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2"/>
      <c r="R16" s="182"/>
      <c r="S16" s="182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92"/>
      <c r="R17" s="192"/>
      <c r="S17" s="192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92"/>
      <c r="R18" s="192"/>
      <c r="S18" s="192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82"/>
      <c r="R19" s="182"/>
      <c r="S19" s="182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82"/>
      <c r="R20" s="182"/>
      <c r="S20" s="182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82"/>
      <c r="R21" s="182"/>
      <c r="S21" s="18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2"/>
      <c r="R22" s="182"/>
      <c r="S22" s="18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2"/>
      <c r="R23" s="182"/>
      <c r="S23" s="18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2"/>
      <c r="R24" s="182"/>
      <c r="S24" s="18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3"/>
      <c r="R26" s="184"/>
      <c r="S26" s="18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6"/>
      <c r="R27" s="187"/>
      <c r="S27" s="18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9"/>
      <c r="R28" s="190"/>
      <c r="S28" s="19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2"/>
      <c r="R29" s="182"/>
      <c r="S29" s="18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2"/>
      <c r="R32" s="182"/>
      <c r="S32" s="18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2"/>
      <c r="R33" s="182"/>
      <c r="S33" s="18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2"/>
      <c r="R34" s="182"/>
      <c r="S34" s="18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1"/>
      <c r="R35" s="172"/>
      <c r="S35" s="17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4"/>
      <c r="R36" s="175"/>
      <c r="S36" s="176"/>
    </row>
    <row r="37" spans="1:19" ht="17.25" customHeight="1" thickBot="1">
      <c r="A37" s="26" t="s">
        <v>42</v>
      </c>
      <c r="B37" s="180">
        <v>300000</v>
      </c>
      <c r="C37" s="181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177"/>
      <c r="R37" s="178"/>
      <c r="S37" s="17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192"/>
      <c r="R40" s="192"/>
      <c r="S40" s="192"/>
    </row>
    <row r="41" spans="1:19" ht="17.25" customHeight="1" thickBot="1">
      <c r="A41" s="111" t="s">
        <v>298</v>
      </c>
      <c r="B41" s="193" t="s">
        <v>49</v>
      </c>
      <c r="C41" s="195"/>
      <c r="D41" s="193" t="s">
        <v>58</v>
      </c>
      <c r="E41" s="194"/>
      <c r="F41" s="195"/>
      <c r="G41" s="196">
        <f>_xlfn.IFNA(VLOOKUP(B41, 현재가테이블!$B$2:$D$200, 2, FALSE), "-")</f>
        <v>68581000</v>
      </c>
      <c r="H41" s="197"/>
      <c r="I41" s="198"/>
      <c r="J41" s="193" t="s">
        <v>59</v>
      </c>
      <c r="K41" s="194"/>
      <c r="L41" s="195"/>
      <c r="M41" s="199">
        <f>_xlfn.IFNA(VLOOKUP(B41, 현재가테이블!$B$2:$D$200, 3, FALSE), "-")</f>
        <v>-2.7047857000000002E-3</v>
      </c>
      <c r="N41" s="200"/>
      <c r="O41" s="201"/>
      <c r="Q41" s="192"/>
      <c r="R41" s="192"/>
      <c r="S41" s="192"/>
    </row>
    <row r="42" spans="1:19" ht="17.25" customHeight="1" thickBot="1">
      <c r="A42" s="202" t="s">
        <v>55</v>
      </c>
      <c r="B42" s="204" t="str">
        <f>TEXT($G$1, "[$-ko-KR]yyyy-mm-dd(ddd) ") &amp; "오전 00:00"</f>
        <v>2021-05-02(일) 오전 00:00</v>
      </c>
      <c r="C42" s="205"/>
      <c r="D42" s="206" t="str">
        <f>TEXT($G$1, "[$-ko-KR]yyyy-mm-dd(ddd) ") &amp; "오후 14:00"</f>
        <v>2021-05-02(일) 오후 14:00</v>
      </c>
      <c r="E42" s="207"/>
      <c r="F42" s="208"/>
      <c r="G42" s="206" t="str">
        <f>TEXT($G$1, "[$-ko-KR]yyyy-mm-dd(ddd) ") &amp; "오후 19:00"</f>
        <v>2021-05-02(일) 오후 19:00</v>
      </c>
      <c r="H42" s="207"/>
      <c r="I42" s="208"/>
      <c r="J42" s="206" t="str">
        <f>TEXT($G$1, "[$-ko-KR]yyyy-mm-dd(ddd) ") &amp; "오후 21:00"</f>
        <v>2021-05-02(일) 오후 21:00</v>
      </c>
      <c r="K42" s="207"/>
      <c r="L42" s="208"/>
      <c r="M42" s="206" t="str">
        <f>TEXT($G$1+1, "[$-ko-KR]yyyy-mm-dd(ddd) ") &amp; "오전 00:00"</f>
        <v>2021-05-03(월) 오전 00:00</v>
      </c>
      <c r="N42" s="207"/>
      <c r="O42" s="208"/>
      <c r="Q42" s="192"/>
      <c r="R42" s="192"/>
      <c r="S42" s="192"/>
    </row>
    <row r="43" spans="1:19" ht="17.25" customHeight="1" thickBot="1">
      <c r="A43" s="20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2"/>
      <c r="R43" s="182"/>
      <c r="S43" s="182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92"/>
      <c r="R44" s="192"/>
      <c r="S44" s="192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92"/>
      <c r="R45" s="192"/>
      <c r="S45" s="192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82"/>
      <c r="R46" s="182"/>
      <c r="S46" s="182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82"/>
      <c r="R47" s="182"/>
      <c r="S47" s="182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82"/>
      <c r="R48" s="182"/>
      <c r="S48" s="182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82"/>
      <c r="R49" s="182"/>
      <c r="S49" s="182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82"/>
      <c r="R50" s="182"/>
      <c r="S50" s="182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82"/>
      <c r="R51" s="182"/>
      <c r="S51" s="182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183"/>
      <c r="R53" s="184"/>
      <c r="S53" s="185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186"/>
      <c r="R54" s="187"/>
      <c r="S54" s="188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189"/>
      <c r="R55" s="190"/>
      <c r="S55" s="191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82"/>
      <c r="R56" s="182"/>
      <c r="S56" s="182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92"/>
      <c r="R57" s="192"/>
      <c r="S57" s="192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92"/>
      <c r="R58" s="192"/>
      <c r="S58" s="192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82"/>
      <c r="R59" s="182"/>
      <c r="S59" s="182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82"/>
      <c r="R60" s="182"/>
      <c r="S60" s="182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82"/>
      <c r="R61" s="182"/>
      <c r="S61" s="182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71"/>
      <c r="R62" s="172"/>
      <c r="S62" s="17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4"/>
      <c r="R63" s="175"/>
      <c r="S63" s="176"/>
    </row>
    <row r="64" spans="1:19" ht="17.25" customHeight="1" thickBot="1">
      <c r="A64" s="26" t="s">
        <v>301</v>
      </c>
      <c r="B64" s="180">
        <f>$B$37</f>
        <v>300000</v>
      </c>
      <c r="C64" s="181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177"/>
      <c r="R64" s="178"/>
      <c r="S64" s="17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192"/>
      <c r="R67" s="192"/>
      <c r="S67" s="192"/>
    </row>
    <row r="68" spans="1:19" ht="17.25" thickBot="1">
      <c r="A68" s="111" t="s">
        <v>298</v>
      </c>
      <c r="B68" s="193" t="s">
        <v>49</v>
      </c>
      <c r="C68" s="195"/>
      <c r="D68" s="193" t="s">
        <v>58</v>
      </c>
      <c r="E68" s="194"/>
      <c r="F68" s="195"/>
      <c r="G68" s="196">
        <f>_xlfn.IFNA(VLOOKUP(B68, 현재가테이블!$B$2:$D$200, 2, FALSE), "-")</f>
        <v>68581000</v>
      </c>
      <c r="H68" s="197"/>
      <c r="I68" s="198"/>
      <c r="J68" s="193" t="s">
        <v>59</v>
      </c>
      <c r="K68" s="194"/>
      <c r="L68" s="195"/>
      <c r="M68" s="199">
        <f>_xlfn.IFNA(VLOOKUP(B68, 현재가테이블!$B$2:$D$200, 3, FALSE), "-")</f>
        <v>-2.7047857000000002E-3</v>
      </c>
      <c r="N68" s="200"/>
      <c r="O68" s="201"/>
      <c r="Q68" s="192"/>
      <c r="R68" s="192"/>
      <c r="S68" s="192"/>
    </row>
    <row r="69" spans="1:19" ht="17.25" thickBot="1">
      <c r="A69" s="202" t="s">
        <v>55</v>
      </c>
      <c r="B69" s="204" t="str">
        <f>TEXT($G$1, "[$-ko-KR]yyyy-mm-dd(ddd) ") &amp; "오전 00:00"</f>
        <v>2021-05-02(일) 오전 00:00</v>
      </c>
      <c r="C69" s="205"/>
      <c r="D69" s="206" t="str">
        <f>TEXT($G$1, "[$-ko-KR]yyyy-mm-dd(ddd) ") &amp; "오후 14:00"</f>
        <v>2021-05-02(일) 오후 14:00</v>
      </c>
      <c r="E69" s="207"/>
      <c r="F69" s="208"/>
      <c r="G69" s="206" t="str">
        <f>TEXT($G$1, "[$-ko-KR]yyyy-mm-dd(ddd) ") &amp; "오후 19:00"</f>
        <v>2021-05-02(일) 오후 19:00</v>
      </c>
      <c r="H69" s="207"/>
      <c r="I69" s="208"/>
      <c r="J69" s="206" t="str">
        <f>TEXT($G$1, "[$-ko-KR]yyyy-mm-dd(ddd) ") &amp; "오후 21:00"</f>
        <v>2021-05-02(일) 오후 21:00</v>
      </c>
      <c r="K69" s="207"/>
      <c r="L69" s="208"/>
      <c r="M69" s="206" t="str">
        <f>TEXT($G$1+1, "[$-ko-KR]yyyy-mm-dd(ddd) ") &amp; "오전 00:00"</f>
        <v>2021-05-03(월) 오전 00:00</v>
      </c>
      <c r="N69" s="207"/>
      <c r="O69" s="208"/>
      <c r="Q69" s="192"/>
      <c r="R69" s="192"/>
      <c r="S69" s="192"/>
    </row>
    <row r="70" spans="1:19" ht="17.25" thickBot="1">
      <c r="A70" s="20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2"/>
      <c r="R70" s="182"/>
      <c r="S70" s="182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92"/>
      <c r="R71" s="192"/>
      <c r="S71" s="192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92"/>
      <c r="R72" s="192"/>
      <c r="S72" s="192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82"/>
      <c r="R73" s="182"/>
      <c r="S73" s="182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82"/>
      <c r="R74" s="182"/>
      <c r="S74" s="182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82"/>
      <c r="R75" s="182"/>
      <c r="S75" s="182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82"/>
      <c r="R76" s="182"/>
      <c r="S76" s="182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82"/>
      <c r="R77" s="182"/>
      <c r="S77" s="182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82"/>
      <c r="R78" s="182"/>
      <c r="S78" s="182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183"/>
      <c r="R80" s="184"/>
      <c r="S80" s="185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186"/>
      <c r="R81" s="187"/>
      <c r="S81" s="188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189"/>
      <c r="R82" s="190"/>
      <c r="S82" s="191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82"/>
      <c r="R83" s="182"/>
      <c r="S83" s="182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92"/>
      <c r="R84" s="192"/>
      <c r="S84" s="192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92"/>
      <c r="R85" s="192"/>
      <c r="S85" s="192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82"/>
      <c r="R86" s="182"/>
      <c r="S86" s="182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82"/>
      <c r="R87" s="182"/>
      <c r="S87" s="182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82"/>
      <c r="R88" s="182"/>
      <c r="S88" s="182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71"/>
      <c r="R89" s="172"/>
      <c r="S89" s="173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174"/>
      <c r="R90" s="175"/>
      <c r="S90" s="176"/>
    </row>
    <row r="91" spans="1:19" ht="17.25" thickBot="1">
      <c r="A91" s="26" t="s">
        <v>301</v>
      </c>
      <c r="B91" s="180">
        <f>$B$37</f>
        <v>300000</v>
      </c>
      <c r="C91" s="181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177"/>
      <c r="R91" s="178"/>
      <c r="S91" s="17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192"/>
      <c r="R94" s="192"/>
      <c r="S94" s="192"/>
    </row>
    <row r="95" spans="1:19" ht="17.25" thickBot="1">
      <c r="A95" s="111" t="s">
        <v>298</v>
      </c>
      <c r="B95" s="193" t="s">
        <v>49</v>
      </c>
      <c r="C95" s="195"/>
      <c r="D95" s="193" t="s">
        <v>58</v>
      </c>
      <c r="E95" s="194"/>
      <c r="F95" s="195"/>
      <c r="G95" s="196">
        <f>_xlfn.IFNA(VLOOKUP(B95, 현재가테이블!$B$2:$D$200, 2, FALSE), "-")</f>
        <v>68581000</v>
      </c>
      <c r="H95" s="197"/>
      <c r="I95" s="198"/>
      <c r="J95" s="193" t="s">
        <v>59</v>
      </c>
      <c r="K95" s="194"/>
      <c r="L95" s="195"/>
      <c r="M95" s="199">
        <f>_xlfn.IFNA(VLOOKUP(B95, 현재가테이블!$B$2:$D$200, 3, FALSE), "-")</f>
        <v>-2.7047857000000002E-3</v>
      </c>
      <c r="N95" s="200"/>
      <c r="O95" s="201"/>
      <c r="Q95" s="192"/>
      <c r="R95" s="192"/>
      <c r="S95" s="192"/>
    </row>
    <row r="96" spans="1:19" ht="17.25" thickBot="1">
      <c r="A96" s="202" t="s">
        <v>55</v>
      </c>
      <c r="B96" s="204" t="str">
        <f>TEXT($G$1, "[$-ko-KR]yyyy-mm-dd(ddd) ") &amp; "오전 00:00"</f>
        <v>2021-05-02(일) 오전 00:00</v>
      </c>
      <c r="C96" s="205"/>
      <c r="D96" s="206" t="str">
        <f>TEXT($G$1, "[$-ko-KR]yyyy-mm-dd(ddd) ") &amp; "오후 14:00"</f>
        <v>2021-05-02(일) 오후 14:00</v>
      </c>
      <c r="E96" s="207"/>
      <c r="F96" s="208"/>
      <c r="G96" s="206" t="str">
        <f>TEXT($G$1, "[$-ko-KR]yyyy-mm-dd(ddd) ") &amp; "오후 19:00"</f>
        <v>2021-05-02(일) 오후 19:00</v>
      </c>
      <c r="H96" s="207"/>
      <c r="I96" s="208"/>
      <c r="J96" s="206" t="str">
        <f>TEXT($G$1, "[$-ko-KR]yyyy-mm-dd(ddd) ") &amp; "오후 21:00"</f>
        <v>2021-05-02(일) 오후 21:00</v>
      </c>
      <c r="K96" s="207"/>
      <c r="L96" s="208"/>
      <c r="M96" s="206" t="str">
        <f>TEXT($G$1+1, "[$-ko-KR]yyyy-mm-dd(ddd) ") &amp; "오전 00:00"</f>
        <v>2021-05-03(월) 오전 00:00</v>
      </c>
      <c r="N96" s="207"/>
      <c r="O96" s="208"/>
      <c r="Q96" s="192"/>
      <c r="R96" s="192"/>
      <c r="S96" s="192"/>
    </row>
    <row r="97" spans="1:19" ht="17.25" thickBot="1">
      <c r="A97" s="20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2"/>
      <c r="R97" s="182"/>
      <c r="S97" s="182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92"/>
      <c r="R98" s="192"/>
      <c r="S98" s="192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92"/>
      <c r="R99" s="192"/>
      <c r="S99" s="192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82"/>
      <c r="R100" s="182"/>
      <c r="S100" s="182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82"/>
      <c r="R101" s="182"/>
      <c r="S101" s="182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82"/>
      <c r="R102" s="182"/>
      <c r="S102" s="182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82"/>
      <c r="R103" s="182"/>
      <c r="S103" s="182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82"/>
      <c r="R104" s="182"/>
      <c r="S104" s="182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82"/>
      <c r="R105" s="182"/>
      <c r="S105" s="182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183"/>
      <c r="R107" s="184"/>
      <c r="S107" s="185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186"/>
      <c r="R108" s="187"/>
      <c r="S108" s="188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189"/>
      <c r="R109" s="190"/>
      <c r="S109" s="191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82"/>
      <c r="R110" s="182"/>
      <c r="S110" s="182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92"/>
      <c r="R111" s="192"/>
      <c r="S111" s="192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92"/>
      <c r="R112" s="192"/>
      <c r="S112" s="192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82"/>
      <c r="R113" s="182"/>
      <c r="S113" s="182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82"/>
      <c r="R114" s="182"/>
      <c r="S114" s="182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82"/>
      <c r="R115" s="182"/>
      <c r="S115" s="182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71"/>
      <c r="R116" s="172"/>
      <c r="S116" s="173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174"/>
      <c r="R117" s="175"/>
      <c r="S117" s="176"/>
    </row>
    <row r="118" spans="1:19" ht="17.25" thickBot="1">
      <c r="A118" s="26" t="s">
        <v>301</v>
      </c>
      <c r="B118" s="180">
        <f>$B$37</f>
        <v>300000</v>
      </c>
      <c r="C118" s="181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177"/>
      <c r="R118" s="178"/>
      <c r="S118" s="17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192"/>
      <c r="R121" s="192"/>
      <c r="S121" s="192"/>
    </row>
    <row r="122" spans="1:19" ht="17.25" thickBot="1">
      <c r="A122" s="111" t="s">
        <v>298</v>
      </c>
      <c r="B122" s="193" t="s">
        <v>49</v>
      </c>
      <c r="C122" s="195"/>
      <c r="D122" s="193" t="s">
        <v>58</v>
      </c>
      <c r="E122" s="194"/>
      <c r="F122" s="195"/>
      <c r="G122" s="196">
        <f>_xlfn.IFNA(VLOOKUP(B122, 현재가테이블!$B$2:$D$200, 2, FALSE), "-")</f>
        <v>68581000</v>
      </c>
      <c r="H122" s="197"/>
      <c r="I122" s="198"/>
      <c r="J122" s="193" t="s">
        <v>59</v>
      </c>
      <c r="K122" s="194"/>
      <c r="L122" s="195"/>
      <c r="M122" s="199">
        <f>_xlfn.IFNA(VLOOKUP(B122, 현재가테이블!$B$2:$D$200, 3, FALSE), "-")</f>
        <v>-2.7047857000000002E-3</v>
      </c>
      <c r="N122" s="200"/>
      <c r="O122" s="201"/>
      <c r="Q122" s="192"/>
      <c r="R122" s="192"/>
      <c r="S122" s="192"/>
    </row>
    <row r="123" spans="1:19" ht="17.25" thickBot="1">
      <c r="A123" s="202" t="s">
        <v>55</v>
      </c>
      <c r="B123" s="204" t="str">
        <f>TEXT($G$1, "[$-ko-KR]yyyy-mm-dd(ddd) ") &amp; "오전 00:00"</f>
        <v>2021-05-02(일) 오전 00:00</v>
      </c>
      <c r="C123" s="205"/>
      <c r="D123" s="206" t="str">
        <f>TEXT($G$1, "[$-ko-KR]yyyy-mm-dd(ddd) ") &amp; "오후 14:00"</f>
        <v>2021-05-02(일) 오후 14:00</v>
      </c>
      <c r="E123" s="207"/>
      <c r="F123" s="208"/>
      <c r="G123" s="206" t="str">
        <f>TEXT($G$1, "[$-ko-KR]yyyy-mm-dd(ddd) ") &amp; "오후 19:00"</f>
        <v>2021-05-02(일) 오후 19:00</v>
      </c>
      <c r="H123" s="207"/>
      <c r="I123" s="208"/>
      <c r="J123" s="206" t="str">
        <f>TEXT($G$1, "[$-ko-KR]yyyy-mm-dd(ddd) ") &amp; "오후 21:00"</f>
        <v>2021-05-02(일) 오후 21:00</v>
      </c>
      <c r="K123" s="207"/>
      <c r="L123" s="208"/>
      <c r="M123" s="206" t="str">
        <f>TEXT($G$1+1, "[$-ko-KR]yyyy-mm-dd(ddd) ") &amp; "오전 00:00"</f>
        <v>2021-05-03(월) 오전 00:00</v>
      </c>
      <c r="N123" s="207"/>
      <c r="O123" s="208"/>
      <c r="Q123" s="192"/>
      <c r="R123" s="192"/>
      <c r="S123" s="192"/>
    </row>
    <row r="124" spans="1:19" ht="17.25" thickBot="1">
      <c r="A124" s="20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2"/>
      <c r="R124" s="182"/>
      <c r="S124" s="182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92"/>
      <c r="R125" s="192"/>
      <c r="S125" s="192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92"/>
      <c r="R126" s="192"/>
      <c r="S126" s="192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82"/>
      <c r="R127" s="182"/>
      <c r="S127" s="182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82"/>
      <c r="R128" s="182"/>
      <c r="S128" s="182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82"/>
      <c r="R129" s="182"/>
      <c r="S129" s="182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82"/>
      <c r="R130" s="182"/>
      <c r="S130" s="182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82"/>
      <c r="R131" s="182"/>
      <c r="S131" s="182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82"/>
      <c r="R132" s="182"/>
      <c r="S132" s="182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183"/>
      <c r="R134" s="184"/>
      <c r="S134" s="185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186"/>
      <c r="R135" s="187"/>
      <c r="S135" s="188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189"/>
      <c r="R136" s="190"/>
      <c r="S136" s="191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82"/>
      <c r="R137" s="182"/>
      <c r="S137" s="182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92"/>
      <c r="R138" s="192"/>
      <c r="S138" s="192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92"/>
      <c r="R139" s="192"/>
      <c r="S139" s="192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82"/>
      <c r="R140" s="182"/>
      <c r="S140" s="182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82"/>
      <c r="R141" s="182"/>
      <c r="S141" s="182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82"/>
      <c r="R142" s="182"/>
      <c r="S142" s="182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71"/>
      <c r="R143" s="172"/>
      <c r="S143" s="17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4"/>
      <c r="R144" s="175"/>
      <c r="S144" s="176"/>
    </row>
    <row r="145" spans="1:19" ht="17.25" thickBot="1">
      <c r="A145" s="26" t="s">
        <v>301</v>
      </c>
      <c r="B145" s="180">
        <f>$B$37</f>
        <v>300000</v>
      </c>
      <c r="C145" s="181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177"/>
      <c r="R145" s="178"/>
      <c r="S145" s="17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192"/>
      <c r="R148" s="192"/>
      <c r="S148" s="192"/>
    </row>
    <row r="149" spans="1:19" ht="17.25" thickBot="1">
      <c r="A149" s="111" t="s">
        <v>298</v>
      </c>
      <c r="B149" s="193" t="s">
        <v>49</v>
      </c>
      <c r="C149" s="195"/>
      <c r="D149" s="193" t="s">
        <v>58</v>
      </c>
      <c r="E149" s="194"/>
      <c r="F149" s="195"/>
      <c r="G149" s="196">
        <f>_xlfn.IFNA(VLOOKUP(B149, 현재가테이블!$B$2:$D$200, 2, FALSE), "-")</f>
        <v>68581000</v>
      </c>
      <c r="H149" s="197"/>
      <c r="I149" s="198"/>
      <c r="J149" s="193" t="s">
        <v>59</v>
      </c>
      <c r="K149" s="194"/>
      <c r="L149" s="195"/>
      <c r="M149" s="199">
        <f>_xlfn.IFNA(VLOOKUP(B149, 현재가테이블!$B$2:$D$200, 3, FALSE), "-")</f>
        <v>-2.7047857000000002E-3</v>
      </c>
      <c r="N149" s="200"/>
      <c r="O149" s="201"/>
      <c r="Q149" s="192"/>
      <c r="R149" s="192"/>
      <c r="S149" s="192"/>
    </row>
    <row r="150" spans="1:19" ht="17.25" thickBot="1">
      <c r="A150" s="202" t="s">
        <v>55</v>
      </c>
      <c r="B150" s="204" t="str">
        <f>TEXT($G$1, "[$-ko-KR]yyyy-mm-dd(ddd) ") &amp; "오전 00:00"</f>
        <v>2021-05-02(일) 오전 00:00</v>
      </c>
      <c r="C150" s="205"/>
      <c r="D150" s="206" t="str">
        <f>TEXT($G$1, "[$-ko-KR]yyyy-mm-dd(ddd) ") &amp; "오후 14:00"</f>
        <v>2021-05-02(일) 오후 14:00</v>
      </c>
      <c r="E150" s="207"/>
      <c r="F150" s="208"/>
      <c r="G150" s="206" t="str">
        <f>TEXT($G$1, "[$-ko-KR]yyyy-mm-dd(ddd) ") &amp; "오후 19:00"</f>
        <v>2021-05-02(일) 오후 19:00</v>
      </c>
      <c r="H150" s="207"/>
      <c r="I150" s="208"/>
      <c r="J150" s="206" t="str">
        <f>TEXT($G$1, "[$-ko-KR]yyyy-mm-dd(ddd) ") &amp; "오후 21:00"</f>
        <v>2021-05-02(일) 오후 21:00</v>
      </c>
      <c r="K150" s="207"/>
      <c r="L150" s="208"/>
      <c r="M150" s="206" t="str">
        <f>TEXT($G$1+1, "[$-ko-KR]yyyy-mm-dd(ddd) ") &amp; "오전 00:00"</f>
        <v>2021-05-03(월) 오전 00:00</v>
      </c>
      <c r="N150" s="207"/>
      <c r="O150" s="208"/>
      <c r="Q150" s="192"/>
      <c r="R150" s="192"/>
      <c r="S150" s="192"/>
    </row>
    <row r="151" spans="1:19" ht="17.25" thickBot="1">
      <c r="A151" s="20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2"/>
      <c r="R151" s="182"/>
      <c r="S151" s="182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92"/>
      <c r="R152" s="192"/>
      <c r="S152" s="192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92"/>
      <c r="R153" s="192"/>
      <c r="S153" s="192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82"/>
      <c r="R154" s="182"/>
      <c r="S154" s="182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82"/>
      <c r="R155" s="182"/>
      <c r="S155" s="182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82"/>
      <c r="R156" s="182"/>
      <c r="S156" s="182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82"/>
      <c r="R157" s="182"/>
      <c r="S157" s="182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82"/>
      <c r="R158" s="182"/>
      <c r="S158" s="182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82"/>
      <c r="R159" s="182"/>
      <c r="S159" s="182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183"/>
      <c r="R161" s="184"/>
      <c r="S161" s="185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186"/>
      <c r="R162" s="187"/>
      <c r="S162" s="188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189"/>
      <c r="R163" s="190"/>
      <c r="S163" s="191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82"/>
      <c r="R164" s="182"/>
      <c r="S164" s="182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92"/>
      <c r="R165" s="192"/>
      <c r="S165" s="192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92"/>
      <c r="R166" s="192"/>
      <c r="S166" s="192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82"/>
      <c r="R167" s="182"/>
      <c r="S167" s="182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82"/>
      <c r="R168" s="182"/>
      <c r="S168" s="182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82"/>
      <c r="R169" s="182"/>
      <c r="S169" s="182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71"/>
      <c r="R170" s="172"/>
      <c r="S170" s="173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174"/>
      <c r="R171" s="175"/>
      <c r="S171" s="176"/>
    </row>
    <row r="172" spans="1:19" ht="17.25" thickBot="1">
      <c r="A172" s="26" t="s">
        <v>301</v>
      </c>
      <c r="B172" s="180">
        <f>$B$37</f>
        <v>300000</v>
      </c>
      <c r="C172" s="181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177"/>
      <c r="R172" s="178"/>
      <c r="S172" s="17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192"/>
      <c r="R175" s="192"/>
      <c r="S175" s="192"/>
    </row>
    <row r="176" spans="1:19" ht="17.25" thickBot="1">
      <c r="A176" s="111" t="s">
        <v>298</v>
      </c>
      <c r="B176" s="193" t="s">
        <v>49</v>
      </c>
      <c r="C176" s="195"/>
      <c r="D176" s="193" t="s">
        <v>58</v>
      </c>
      <c r="E176" s="194"/>
      <c r="F176" s="195"/>
      <c r="G176" s="196">
        <f>_xlfn.IFNA(VLOOKUP(B176, 현재가테이블!$B$2:$D$200, 2, FALSE), "-")</f>
        <v>68581000</v>
      </c>
      <c r="H176" s="197"/>
      <c r="I176" s="198"/>
      <c r="J176" s="193" t="s">
        <v>59</v>
      </c>
      <c r="K176" s="194"/>
      <c r="L176" s="195"/>
      <c r="M176" s="199">
        <f>_xlfn.IFNA(VLOOKUP(B176, 현재가테이블!$B$2:$D$200, 3, FALSE), "-")</f>
        <v>-2.7047857000000002E-3</v>
      </c>
      <c r="N176" s="200"/>
      <c r="O176" s="201"/>
      <c r="Q176" s="192"/>
      <c r="R176" s="192"/>
      <c r="S176" s="192"/>
    </row>
    <row r="177" spans="1:19" ht="17.25" thickBot="1">
      <c r="A177" s="202" t="s">
        <v>55</v>
      </c>
      <c r="B177" s="204" t="str">
        <f>TEXT($G$1, "[$-ko-KR]yyyy-mm-dd(ddd) ") &amp; "오전 00:00"</f>
        <v>2021-05-02(일) 오전 00:00</v>
      </c>
      <c r="C177" s="205"/>
      <c r="D177" s="206" t="str">
        <f>TEXT($G$1, "[$-ko-KR]yyyy-mm-dd(ddd) ") &amp; "오후 14:00"</f>
        <v>2021-05-02(일) 오후 14:00</v>
      </c>
      <c r="E177" s="207"/>
      <c r="F177" s="208"/>
      <c r="G177" s="206" t="str">
        <f>TEXT($G$1, "[$-ko-KR]yyyy-mm-dd(ddd) ") &amp; "오후 19:00"</f>
        <v>2021-05-02(일) 오후 19:00</v>
      </c>
      <c r="H177" s="207"/>
      <c r="I177" s="208"/>
      <c r="J177" s="206" t="str">
        <f>TEXT($G$1, "[$-ko-KR]yyyy-mm-dd(ddd) ") &amp; "오후 21:00"</f>
        <v>2021-05-02(일) 오후 21:00</v>
      </c>
      <c r="K177" s="207"/>
      <c r="L177" s="208"/>
      <c r="M177" s="206" t="str">
        <f>TEXT($G$1+1, "[$-ko-KR]yyyy-mm-dd(ddd) ") &amp; "오전 00:00"</f>
        <v>2021-05-03(월) 오전 00:00</v>
      </c>
      <c r="N177" s="207"/>
      <c r="O177" s="208"/>
      <c r="Q177" s="192"/>
      <c r="R177" s="192"/>
      <c r="S177" s="192"/>
    </row>
    <row r="178" spans="1:19" ht="17.25" thickBot="1">
      <c r="A178" s="20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2"/>
      <c r="R178" s="182"/>
      <c r="S178" s="182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92"/>
      <c r="R179" s="192"/>
      <c r="S179" s="192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92"/>
      <c r="R180" s="192"/>
      <c r="S180" s="192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82"/>
      <c r="R181" s="182"/>
      <c r="S181" s="182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82"/>
      <c r="R182" s="182"/>
      <c r="S182" s="182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82"/>
      <c r="R183" s="182"/>
      <c r="S183" s="182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82"/>
      <c r="R184" s="182"/>
      <c r="S184" s="182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82"/>
      <c r="R185" s="182"/>
      <c r="S185" s="182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82"/>
      <c r="R186" s="182"/>
      <c r="S186" s="182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183"/>
      <c r="R188" s="184"/>
      <c r="S188" s="185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186"/>
      <c r="R189" s="187"/>
      <c r="S189" s="188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189"/>
      <c r="R190" s="190"/>
      <c r="S190" s="191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82"/>
      <c r="R191" s="182"/>
      <c r="S191" s="182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92"/>
      <c r="R192" s="192"/>
      <c r="S192" s="192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92"/>
      <c r="R193" s="192"/>
      <c r="S193" s="192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82"/>
      <c r="R194" s="182"/>
      <c r="S194" s="182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82"/>
      <c r="R195" s="182"/>
      <c r="S195" s="182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82"/>
      <c r="R196" s="182"/>
      <c r="S196" s="182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71"/>
      <c r="R197" s="172"/>
      <c r="S197" s="173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174"/>
      <c r="R198" s="175"/>
      <c r="S198" s="176"/>
    </row>
    <row r="199" spans="1:19" ht="17.25" thickBot="1">
      <c r="A199" s="26" t="s">
        <v>301</v>
      </c>
      <c r="B199" s="180">
        <f>$B$37</f>
        <v>300000</v>
      </c>
      <c r="C199" s="181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177"/>
      <c r="R199" s="178"/>
      <c r="S199" s="1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224">
        <v>44319</v>
      </c>
      <c r="H1" s="225"/>
      <c r="I1" s="226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" t="s">
        <v>3</v>
      </c>
      <c r="B2" s="227" t="s">
        <v>4</v>
      </c>
      <c r="C2" s="228"/>
      <c r="D2" s="228"/>
      <c r="E2" s="228"/>
      <c r="F2" s="229"/>
      <c r="G2" s="221" t="s">
        <v>46</v>
      </c>
      <c r="H2" s="222"/>
      <c r="I2" s="223"/>
      <c r="J2" s="1" t="s">
        <v>3</v>
      </c>
      <c r="K2" s="227" t="s">
        <v>5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4" t="s">
        <v>7</v>
      </c>
      <c r="B3" s="218" t="s">
        <v>8</v>
      </c>
      <c r="C3" s="219"/>
      <c r="D3" s="219"/>
      <c r="E3" s="219"/>
      <c r="F3" s="220"/>
      <c r="G3" s="21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15"/>
      <c r="I3" s="216"/>
      <c r="J3" s="4" t="s">
        <v>7</v>
      </c>
      <c r="K3" s="218" t="s">
        <v>9</v>
      </c>
      <c r="L3" s="219"/>
      <c r="M3" s="219"/>
      <c r="N3" s="219"/>
      <c r="O3" s="22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8" t="s">
        <v>12</v>
      </c>
      <c r="C4" s="219"/>
      <c r="D4" s="219"/>
      <c r="E4" s="219"/>
      <c r="F4" s="220"/>
      <c r="G4" s="221" t="s">
        <v>44</v>
      </c>
      <c r="H4" s="222"/>
      <c r="I4" s="223"/>
      <c r="J4" s="4" t="s">
        <v>11</v>
      </c>
      <c r="K4" s="218" t="s">
        <v>13</v>
      </c>
      <c r="L4" s="219"/>
      <c r="M4" s="219"/>
      <c r="N4" s="219"/>
      <c r="O4" s="22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8" t="s">
        <v>16</v>
      </c>
      <c r="C5" s="219"/>
      <c r="D5" s="219"/>
      <c r="E5" s="219"/>
      <c r="F5" s="220"/>
      <c r="G5" s="21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15"/>
      <c r="I5" s="216"/>
      <c r="J5" s="4" t="s">
        <v>15</v>
      </c>
      <c r="K5" s="218" t="s">
        <v>17</v>
      </c>
      <c r="L5" s="219"/>
      <c r="M5" s="219"/>
      <c r="N5" s="219"/>
      <c r="O5" s="220"/>
    </row>
    <row r="6" spans="1:19">
      <c r="A6" s="4" t="s">
        <v>18</v>
      </c>
      <c r="B6" s="218" t="s">
        <v>19</v>
      </c>
      <c r="C6" s="219"/>
      <c r="D6" s="219"/>
      <c r="E6" s="219"/>
      <c r="F6" s="220"/>
      <c r="G6" s="221" t="s">
        <v>45</v>
      </c>
      <c r="H6" s="222"/>
      <c r="I6" s="223"/>
      <c r="J6" s="4" t="s">
        <v>18</v>
      </c>
      <c r="K6" s="218" t="s">
        <v>20</v>
      </c>
      <c r="L6" s="219"/>
      <c r="M6" s="219"/>
      <c r="N6" s="219"/>
      <c r="O6" s="220"/>
    </row>
    <row r="7" spans="1:19" ht="17.25" thickBot="1">
      <c r="A7" s="4" t="s">
        <v>21</v>
      </c>
      <c r="B7" s="218" t="s">
        <v>22</v>
      </c>
      <c r="C7" s="219"/>
      <c r="D7" s="219"/>
      <c r="E7" s="219"/>
      <c r="F7" s="220"/>
      <c r="G7" s="21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15"/>
      <c r="I7" s="216"/>
      <c r="J7" s="4" t="s">
        <v>21</v>
      </c>
      <c r="K7" s="218" t="s">
        <v>23</v>
      </c>
      <c r="L7" s="219"/>
      <c r="M7" s="219"/>
      <c r="N7" s="219"/>
      <c r="O7" s="220"/>
    </row>
    <row r="8" spans="1:19" ht="17.25" thickBot="1">
      <c r="A8" s="4" t="s">
        <v>24</v>
      </c>
      <c r="B8" s="218" t="s">
        <v>25</v>
      </c>
      <c r="C8" s="219"/>
      <c r="D8" s="219"/>
      <c r="E8" s="219"/>
      <c r="F8" s="220"/>
      <c r="G8" s="221" t="s">
        <v>285</v>
      </c>
      <c r="H8" s="222"/>
      <c r="I8" s="223"/>
      <c r="J8" s="4" t="s">
        <v>24</v>
      </c>
      <c r="K8" s="218" t="s">
        <v>26</v>
      </c>
      <c r="L8" s="219"/>
      <c r="M8" s="219"/>
      <c r="N8" s="219"/>
      <c r="O8" s="220"/>
      <c r="Q8" s="193" t="s">
        <v>27</v>
      </c>
      <c r="R8" s="195"/>
    </row>
    <row r="9" spans="1:19" ht="17.25" thickBot="1">
      <c r="A9" s="4" t="s">
        <v>28</v>
      </c>
      <c r="B9" s="218"/>
      <c r="C9" s="219"/>
      <c r="D9" s="219"/>
      <c r="E9" s="219"/>
      <c r="F9" s="220"/>
      <c r="G9" s="21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15"/>
      <c r="I9" s="216"/>
      <c r="J9" s="4" t="s">
        <v>28</v>
      </c>
      <c r="K9" s="218" t="s">
        <v>293</v>
      </c>
      <c r="L9" s="219"/>
      <c r="M9" s="219"/>
      <c r="N9" s="219"/>
      <c r="O9" s="220"/>
      <c r="Q9" s="2" t="s">
        <v>29</v>
      </c>
      <c r="R9" s="6">
        <v>10</v>
      </c>
    </row>
    <row r="10" spans="1:19">
      <c r="A10" s="4" t="s">
        <v>30</v>
      </c>
      <c r="B10" s="218"/>
      <c r="C10" s="219"/>
      <c r="D10" s="219"/>
      <c r="E10" s="219"/>
      <c r="F10" s="220"/>
      <c r="G10" s="221" t="s">
        <v>47</v>
      </c>
      <c r="H10" s="222"/>
      <c r="I10" s="223"/>
      <c r="J10" s="4" t="s">
        <v>30</v>
      </c>
      <c r="K10" s="218"/>
      <c r="L10" s="219"/>
      <c r="M10" s="219"/>
      <c r="N10" s="219"/>
      <c r="O10" s="220"/>
      <c r="Q10" s="2" t="s">
        <v>31</v>
      </c>
      <c r="R10" s="6">
        <v>100</v>
      </c>
    </row>
    <row r="11" spans="1:19" ht="17.25" thickBot="1">
      <c r="A11" s="7" t="s">
        <v>32</v>
      </c>
      <c r="B11" s="211"/>
      <c r="C11" s="212"/>
      <c r="D11" s="212"/>
      <c r="E11" s="212"/>
      <c r="F11" s="213"/>
      <c r="G11" s="21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15"/>
      <c r="I11" s="216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192"/>
      <c r="R13" s="192"/>
      <c r="S13" s="192"/>
    </row>
    <row r="14" spans="1:19" ht="17.25" customHeight="1" thickBot="1">
      <c r="A14" s="111" t="s">
        <v>35</v>
      </c>
      <c r="B14" s="193" t="s">
        <v>36</v>
      </c>
      <c r="C14" s="195"/>
      <c r="D14" s="193" t="s">
        <v>37</v>
      </c>
      <c r="E14" s="194"/>
      <c r="F14" s="195"/>
      <c r="G14" s="196">
        <f>_xlfn.IFNA(VLOOKUP(B14, 현재가테이블!$B$2:$D$200, 2, FALSE), "-")</f>
        <v>68581000</v>
      </c>
      <c r="H14" s="197"/>
      <c r="I14" s="198"/>
      <c r="J14" s="193" t="s">
        <v>38</v>
      </c>
      <c r="K14" s="194"/>
      <c r="L14" s="195"/>
      <c r="M14" s="199">
        <f>_xlfn.IFNA(VLOOKUP(B14, 현재가테이블!$B$2:$D$200, 3, FALSE), "-")</f>
        <v>-2.7047857000000002E-3</v>
      </c>
      <c r="N14" s="200"/>
      <c r="O14" s="201"/>
      <c r="Q14" s="192"/>
      <c r="R14" s="192"/>
      <c r="S14" s="192"/>
    </row>
    <row r="15" spans="1:19" ht="17.25" customHeight="1" thickBot="1">
      <c r="A15" s="217" t="s">
        <v>39</v>
      </c>
      <c r="B15" s="209" t="str">
        <f>TEXT($G$1, "[$-ko-KR]yyyy-mm-dd(ddd) ") &amp; "오전 00:00"</f>
        <v>2021-05-03(월) 오전 00:00</v>
      </c>
      <c r="C15" s="210"/>
      <c r="D15" s="206" t="str">
        <f>TEXT($G$1, "[$-ko-KR]yyyy-mm-dd(ddd) ") &amp; "오후 14:00"</f>
        <v>2021-05-03(월) 오후 14:00</v>
      </c>
      <c r="E15" s="207"/>
      <c r="F15" s="208"/>
      <c r="G15" s="206" t="str">
        <f>TEXT($G$1, "[$-ko-KR]yyyy-mm-dd(ddd) ") &amp; "오후 19:00"</f>
        <v>2021-05-03(월) 오후 19:00</v>
      </c>
      <c r="H15" s="207"/>
      <c r="I15" s="208"/>
      <c r="J15" s="206" t="str">
        <f>TEXT($G$1, "[$-ko-KR]yyyy-mm-dd(ddd) ") &amp; "오후 21:00"</f>
        <v>2021-05-03(월) 오후 21:00</v>
      </c>
      <c r="K15" s="207"/>
      <c r="L15" s="208"/>
      <c r="M15" s="206" t="str">
        <f>TEXT($G$1+1, "[$-ko-KR]yyyy-mm-dd(ddd) ") &amp; "오전 00:00"</f>
        <v>2021-05-04(화) 오전 00:00</v>
      </c>
      <c r="N15" s="207"/>
      <c r="O15" s="208"/>
      <c r="Q15" s="192"/>
      <c r="R15" s="192"/>
      <c r="S15" s="192"/>
    </row>
    <row r="16" spans="1:19" ht="17.25" customHeight="1" thickBot="1">
      <c r="A16" s="21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2"/>
      <c r="R16" s="182"/>
      <c r="S16" s="182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92"/>
      <c r="R17" s="192"/>
      <c r="S17" s="192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92"/>
      <c r="R18" s="192"/>
      <c r="S18" s="192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82"/>
      <c r="R19" s="182"/>
      <c r="S19" s="182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82"/>
      <c r="R20" s="182"/>
      <c r="S20" s="182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82"/>
      <c r="R21" s="182"/>
      <c r="S21" s="18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2"/>
      <c r="R22" s="182"/>
      <c r="S22" s="18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2"/>
      <c r="R23" s="182"/>
      <c r="S23" s="18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2"/>
      <c r="R24" s="182"/>
      <c r="S24" s="18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3"/>
      <c r="R26" s="184"/>
      <c r="S26" s="18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6"/>
      <c r="R27" s="187"/>
      <c r="S27" s="18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9"/>
      <c r="R28" s="190"/>
      <c r="S28" s="19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2"/>
      <c r="R29" s="182"/>
      <c r="S29" s="18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2"/>
      <c r="R32" s="182"/>
      <c r="S32" s="18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2"/>
      <c r="R33" s="182"/>
      <c r="S33" s="18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2"/>
      <c r="R34" s="182"/>
      <c r="S34" s="18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1"/>
      <c r="R35" s="172"/>
      <c r="S35" s="17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4"/>
      <c r="R36" s="175"/>
      <c r="S36" s="176"/>
    </row>
    <row r="37" spans="1:19" ht="17.25" customHeight="1" thickBot="1">
      <c r="A37" s="26" t="s">
        <v>42</v>
      </c>
      <c r="B37" s="180">
        <v>300000</v>
      </c>
      <c r="C37" s="181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177"/>
      <c r="R37" s="178"/>
      <c r="S37" s="17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192"/>
      <c r="R40" s="192"/>
      <c r="S40" s="192"/>
    </row>
    <row r="41" spans="1:19" ht="17.25" customHeight="1" thickBot="1">
      <c r="A41" s="111" t="s">
        <v>298</v>
      </c>
      <c r="B41" s="193" t="s">
        <v>49</v>
      </c>
      <c r="C41" s="195"/>
      <c r="D41" s="193" t="s">
        <v>58</v>
      </c>
      <c r="E41" s="194"/>
      <c r="F41" s="195"/>
      <c r="G41" s="196">
        <f>_xlfn.IFNA(VLOOKUP(B41, 현재가테이블!$B$2:$D$200, 2, FALSE), "-")</f>
        <v>68581000</v>
      </c>
      <c r="H41" s="197"/>
      <c r="I41" s="198"/>
      <c r="J41" s="193" t="s">
        <v>59</v>
      </c>
      <c r="K41" s="194"/>
      <c r="L41" s="195"/>
      <c r="M41" s="199">
        <f>_xlfn.IFNA(VLOOKUP(B41, 현재가테이블!$B$2:$D$200, 3, FALSE), "-")</f>
        <v>-2.7047857000000002E-3</v>
      </c>
      <c r="N41" s="200"/>
      <c r="O41" s="201"/>
      <c r="Q41" s="192"/>
      <c r="R41" s="192"/>
      <c r="S41" s="192"/>
    </row>
    <row r="42" spans="1:19" ht="17.25" customHeight="1" thickBot="1">
      <c r="A42" s="202" t="s">
        <v>55</v>
      </c>
      <c r="B42" s="204" t="str">
        <f>TEXT($G$1, "[$-ko-KR]yyyy-mm-dd(ddd) ") &amp; "오전 00:00"</f>
        <v>2021-05-03(월) 오전 00:00</v>
      </c>
      <c r="C42" s="205"/>
      <c r="D42" s="206" t="str">
        <f>TEXT($G$1, "[$-ko-KR]yyyy-mm-dd(ddd) ") &amp; "오후 14:00"</f>
        <v>2021-05-03(월) 오후 14:00</v>
      </c>
      <c r="E42" s="207"/>
      <c r="F42" s="208"/>
      <c r="G42" s="206" t="str">
        <f>TEXT($G$1, "[$-ko-KR]yyyy-mm-dd(ddd) ") &amp; "오후 19:00"</f>
        <v>2021-05-03(월) 오후 19:00</v>
      </c>
      <c r="H42" s="207"/>
      <c r="I42" s="208"/>
      <c r="J42" s="206" t="str">
        <f>TEXT($G$1, "[$-ko-KR]yyyy-mm-dd(ddd) ") &amp; "오후 21:00"</f>
        <v>2021-05-03(월) 오후 21:00</v>
      </c>
      <c r="K42" s="207"/>
      <c r="L42" s="208"/>
      <c r="M42" s="206" t="str">
        <f>TEXT($G$1+1, "[$-ko-KR]yyyy-mm-dd(ddd) ") &amp; "오전 00:00"</f>
        <v>2021-05-04(화) 오전 00:00</v>
      </c>
      <c r="N42" s="207"/>
      <c r="O42" s="208"/>
      <c r="Q42" s="192"/>
      <c r="R42" s="192"/>
      <c r="S42" s="192"/>
    </row>
    <row r="43" spans="1:19" ht="17.25" customHeight="1" thickBot="1">
      <c r="A43" s="20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2"/>
      <c r="R43" s="182"/>
      <c r="S43" s="182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92"/>
      <c r="R44" s="192"/>
      <c r="S44" s="192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92"/>
      <c r="R45" s="192"/>
      <c r="S45" s="192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82"/>
      <c r="R46" s="182"/>
      <c r="S46" s="182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82"/>
      <c r="R47" s="182"/>
      <c r="S47" s="182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82"/>
      <c r="R48" s="182"/>
      <c r="S48" s="182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82"/>
      <c r="R49" s="182"/>
      <c r="S49" s="182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82"/>
      <c r="R50" s="182"/>
      <c r="S50" s="182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82"/>
      <c r="R51" s="182"/>
      <c r="S51" s="182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183"/>
      <c r="R53" s="184"/>
      <c r="S53" s="185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186"/>
      <c r="R54" s="187"/>
      <c r="S54" s="188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189"/>
      <c r="R55" s="190"/>
      <c r="S55" s="191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82"/>
      <c r="R56" s="182"/>
      <c r="S56" s="182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92"/>
      <c r="R57" s="192"/>
      <c r="S57" s="192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92"/>
      <c r="R58" s="192"/>
      <c r="S58" s="192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82"/>
      <c r="R59" s="182"/>
      <c r="S59" s="182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82"/>
      <c r="R60" s="182"/>
      <c r="S60" s="182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82"/>
      <c r="R61" s="182"/>
      <c r="S61" s="182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1"/>
      <c r="R62" s="172"/>
      <c r="S62" s="17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4"/>
      <c r="R63" s="175"/>
      <c r="S63" s="176"/>
    </row>
    <row r="64" spans="1:19" ht="17.25" customHeight="1" thickBot="1">
      <c r="A64" s="26" t="s">
        <v>301</v>
      </c>
      <c r="B64" s="180">
        <f>$B$37</f>
        <v>300000</v>
      </c>
      <c r="C64" s="181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177"/>
      <c r="R64" s="178"/>
      <c r="S64" s="17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192"/>
      <c r="R67" s="192"/>
      <c r="S67" s="192"/>
    </row>
    <row r="68" spans="1:19" ht="17.25" thickBot="1">
      <c r="A68" s="111" t="s">
        <v>298</v>
      </c>
      <c r="B68" s="193" t="s">
        <v>49</v>
      </c>
      <c r="C68" s="195"/>
      <c r="D68" s="193" t="s">
        <v>58</v>
      </c>
      <c r="E68" s="194"/>
      <c r="F68" s="195"/>
      <c r="G68" s="196">
        <f>_xlfn.IFNA(VLOOKUP(B68, 현재가테이블!$B$2:$D$200, 2, FALSE), "-")</f>
        <v>68581000</v>
      </c>
      <c r="H68" s="197"/>
      <c r="I68" s="198"/>
      <c r="J68" s="193" t="s">
        <v>59</v>
      </c>
      <c r="K68" s="194"/>
      <c r="L68" s="195"/>
      <c r="M68" s="199">
        <f>_xlfn.IFNA(VLOOKUP(B68, 현재가테이블!$B$2:$D$200, 3, FALSE), "-")</f>
        <v>-2.7047857000000002E-3</v>
      </c>
      <c r="N68" s="200"/>
      <c r="O68" s="201"/>
      <c r="Q68" s="192"/>
      <c r="R68" s="192"/>
      <c r="S68" s="192"/>
    </row>
    <row r="69" spans="1:19" ht="17.25" thickBot="1">
      <c r="A69" s="202" t="s">
        <v>55</v>
      </c>
      <c r="B69" s="204" t="str">
        <f>TEXT($G$1, "[$-ko-KR]yyyy-mm-dd(ddd) ") &amp; "오전 00:00"</f>
        <v>2021-05-03(월) 오전 00:00</v>
      </c>
      <c r="C69" s="205"/>
      <c r="D69" s="206" t="str">
        <f>TEXT($G$1, "[$-ko-KR]yyyy-mm-dd(ddd) ") &amp; "오후 14:00"</f>
        <v>2021-05-03(월) 오후 14:00</v>
      </c>
      <c r="E69" s="207"/>
      <c r="F69" s="208"/>
      <c r="G69" s="206" t="str">
        <f>TEXT($G$1, "[$-ko-KR]yyyy-mm-dd(ddd) ") &amp; "오후 19:00"</f>
        <v>2021-05-03(월) 오후 19:00</v>
      </c>
      <c r="H69" s="207"/>
      <c r="I69" s="208"/>
      <c r="J69" s="206" t="str">
        <f>TEXT($G$1, "[$-ko-KR]yyyy-mm-dd(ddd) ") &amp; "오후 21:00"</f>
        <v>2021-05-03(월) 오후 21:00</v>
      </c>
      <c r="K69" s="207"/>
      <c r="L69" s="208"/>
      <c r="M69" s="206" t="str">
        <f>TEXT($G$1+1, "[$-ko-KR]yyyy-mm-dd(ddd) ") &amp; "오전 00:00"</f>
        <v>2021-05-04(화) 오전 00:00</v>
      </c>
      <c r="N69" s="207"/>
      <c r="O69" s="208"/>
      <c r="Q69" s="192"/>
      <c r="R69" s="192"/>
      <c r="S69" s="192"/>
    </row>
    <row r="70" spans="1:19" ht="17.25" thickBot="1">
      <c r="A70" s="20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2"/>
      <c r="R70" s="182"/>
      <c r="S70" s="182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92"/>
      <c r="R71" s="192"/>
      <c r="S71" s="192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92"/>
      <c r="R72" s="192"/>
      <c r="S72" s="192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82"/>
      <c r="R73" s="182"/>
      <c r="S73" s="182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82"/>
      <c r="R74" s="182"/>
      <c r="S74" s="182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82"/>
      <c r="R75" s="182"/>
      <c r="S75" s="182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82"/>
      <c r="R76" s="182"/>
      <c r="S76" s="182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82"/>
      <c r="R77" s="182"/>
      <c r="S77" s="182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82"/>
      <c r="R78" s="182"/>
      <c r="S78" s="182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183"/>
      <c r="R80" s="184"/>
      <c r="S80" s="185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186"/>
      <c r="R81" s="187"/>
      <c r="S81" s="188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189"/>
      <c r="R82" s="190"/>
      <c r="S82" s="191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82"/>
      <c r="R83" s="182"/>
      <c r="S83" s="182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92"/>
      <c r="R84" s="192"/>
      <c r="S84" s="192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92"/>
      <c r="R85" s="192"/>
      <c r="S85" s="192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82"/>
      <c r="R86" s="182"/>
      <c r="S86" s="182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82"/>
      <c r="R87" s="182"/>
      <c r="S87" s="182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82"/>
      <c r="R88" s="182"/>
      <c r="S88" s="182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171"/>
      <c r="R89" s="172"/>
      <c r="S89" s="173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174"/>
      <c r="R90" s="175"/>
      <c r="S90" s="176"/>
    </row>
    <row r="91" spans="1:19" ht="17.25" thickBot="1">
      <c r="A91" s="26" t="s">
        <v>301</v>
      </c>
      <c r="B91" s="180">
        <f>$B$37</f>
        <v>300000</v>
      </c>
      <c r="C91" s="181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177"/>
      <c r="R91" s="178"/>
      <c r="S91" s="17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192"/>
      <c r="R94" s="192"/>
      <c r="S94" s="192"/>
    </row>
    <row r="95" spans="1:19" ht="17.25" thickBot="1">
      <c r="A95" s="111" t="s">
        <v>298</v>
      </c>
      <c r="B95" s="193" t="s">
        <v>49</v>
      </c>
      <c r="C95" s="195"/>
      <c r="D95" s="193" t="s">
        <v>58</v>
      </c>
      <c r="E95" s="194"/>
      <c r="F95" s="195"/>
      <c r="G95" s="196">
        <f>_xlfn.IFNA(VLOOKUP(B95, 현재가테이블!$B$2:$D$200, 2, FALSE), "-")</f>
        <v>68581000</v>
      </c>
      <c r="H95" s="197"/>
      <c r="I95" s="198"/>
      <c r="J95" s="193" t="s">
        <v>59</v>
      </c>
      <c r="K95" s="194"/>
      <c r="L95" s="195"/>
      <c r="M95" s="199">
        <f>_xlfn.IFNA(VLOOKUP(B95, 현재가테이블!$B$2:$D$200, 3, FALSE), "-")</f>
        <v>-2.7047857000000002E-3</v>
      </c>
      <c r="N95" s="200"/>
      <c r="O95" s="201"/>
      <c r="Q95" s="192"/>
      <c r="R95" s="192"/>
      <c r="S95" s="192"/>
    </row>
    <row r="96" spans="1:19" ht="17.25" thickBot="1">
      <c r="A96" s="202" t="s">
        <v>55</v>
      </c>
      <c r="B96" s="204" t="str">
        <f>TEXT($G$1, "[$-ko-KR]yyyy-mm-dd(ddd) ") &amp; "오전 00:00"</f>
        <v>2021-05-03(월) 오전 00:00</v>
      </c>
      <c r="C96" s="205"/>
      <c r="D96" s="206" t="str">
        <f>TEXT($G$1, "[$-ko-KR]yyyy-mm-dd(ddd) ") &amp; "오후 14:00"</f>
        <v>2021-05-03(월) 오후 14:00</v>
      </c>
      <c r="E96" s="207"/>
      <c r="F96" s="208"/>
      <c r="G96" s="206" t="str">
        <f>TEXT($G$1, "[$-ko-KR]yyyy-mm-dd(ddd) ") &amp; "오후 19:00"</f>
        <v>2021-05-03(월) 오후 19:00</v>
      </c>
      <c r="H96" s="207"/>
      <c r="I96" s="208"/>
      <c r="J96" s="206" t="str">
        <f>TEXT($G$1, "[$-ko-KR]yyyy-mm-dd(ddd) ") &amp; "오후 21:00"</f>
        <v>2021-05-03(월) 오후 21:00</v>
      </c>
      <c r="K96" s="207"/>
      <c r="L96" s="208"/>
      <c r="M96" s="206" t="str">
        <f>TEXT($G$1+1, "[$-ko-KR]yyyy-mm-dd(ddd) ") &amp; "오전 00:00"</f>
        <v>2021-05-04(화) 오전 00:00</v>
      </c>
      <c r="N96" s="207"/>
      <c r="O96" s="208"/>
      <c r="Q96" s="192"/>
      <c r="R96" s="192"/>
      <c r="S96" s="192"/>
    </row>
    <row r="97" spans="1:19" ht="17.25" thickBot="1">
      <c r="A97" s="20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2"/>
      <c r="R97" s="182"/>
      <c r="S97" s="182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92"/>
      <c r="R98" s="192"/>
      <c r="S98" s="192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92"/>
      <c r="R99" s="192"/>
      <c r="S99" s="192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82"/>
      <c r="R100" s="182"/>
      <c r="S100" s="182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82"/>
      <c r="R101" s="182"/>
      <c r="S101" s="182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82"/>
      <c r="R102" s="182"/>
      <c r="S102" s="182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82"/>
      <c r="R103" s="182"/>
      <c r="S103" s="182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82"/>
      <c r="R104" s="182"/>
      <c r="S104" s="182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82"/>
      <c r="R105" s="182"/>
      <c r="S105" s="182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183"/>
      <c r="R107" s="184"/>
      <c r="S107" s="185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186"/>
      <c r="R108" s="187"/>
      <c r="S108" s="188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189"/>
      <c r="R109" s="190"/>
      <c r="S109" s="191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82"/>
      <c r="R110" s="182"/>
      <c r="S110" s="182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92"/>
      <c r="R111" s="192"/>
      <c r="S111" s="192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92"/>
      <c r="R112" s="192"/>
      <c r="S112" s="192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82"/>
      <c r="R113" s="182"/>
      <c r="S113" s="182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82"/>
      <c r="R114" s="182"/>
      <c r="S114" s="182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82"/>
      <c r="R115" s="182"/>
      <c r="S115" s="182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171"/>
      <c r="R116" s="172"/>
      <c r="S116" s="173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174"/>
      <c r="R117" s="175"/>
      <c r="S117" s="176"/>
    </row>
    <row r="118" spans="1:19" ht="17.25" thickBot="1">
      <c r="A118" s="26" t="s">
        <v>301</v>
      </c>
      <c r="B118" s="180">
        <f>$B$37</f>
        <v>300000</v>
      </c>
      <c r="C118" s="181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177"/>
      <c r="R118" s="178"/>
      <c r="S118" s="17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192"/>
      <c r="R121" s="192"/>
      <c r="S121" s="192"/>
    </row>
    <row r="122" spans="1:19" ht="17.25" thickBot="1">
      <c r="A122" s="111" t="s">
        <v>298</v>
      </c>
      <c r="B122" s="193" t="s">
        <v>49</v>
      </c>
      <c r="C122" s="195"/>
      <c r="D122" s="193" t="s">
        <v>58</v>
      </c>
      <c r="E122" s="194"/>
      <c r="F122" s="195"/>
      <c r="G122" s="196">
        <f>_xlfn.IFNA(VLOOKUP(B122, 현재가테이블!$B$2:$D$200, 2, FALSE), "-")</f>
        <v>68581000</v>
      </c>
      <c r="H122" s="197"/>
      <c r="I122" s="198"/>
      <c r="J122" s="193" t="s">
        <v>59</v>
      </c>
      <c r="K122" s="194"/>
      <c r="L122" s="195"/>
      <c r="M122" s="199">
        <f>_xlfn.IFNA(VLOOKUP(B122, 현재가테이블!$B$2:$D$200, 3, FALSE), "-")</f>
        <v>-2.7047857000000002E-3</v>
      </c>
      <c r="N122" s="200"/>
      <c r="O122" s="201"/>
      <c r="Q122" s="192"/>
      <c r="R122" s="192"/>
      <c r="S122" s="192"/>
    </row>
    <row r="123" spans="1:19" ht="17.25" thickBot="1">
      <c r="A123" s="202" t="s">
        <v>55</v>
      </c>
      <c r="B123" s="204" t="str">
        <f>TEXT($G$1, "[$-ko-KR]yyyy-mm-dd(ddd) ") &amp; "오전 00:00"</f>
        <v>2021-05-03(월) 오전 00:00</v>
      </c>
      <c r="C123" s="205"/>
      <c r="D123" s="206" t="str">
        <f>TEXT($G$1, "[$-ko-KR]yyyy-mm-dd(ddd) ") &amp; "오후 14:00"</f>
        <v>2021-05-03(월) 오후 14:00</v>
      </c>
      <c r="E123" s="207"/>
      <c r="F123" s="208"/>
      <c r="G123" s="206" t="str">
        <f>TEXT($G$1, "[$-ko-KR]yyyy-mm-dd(ddd) ") &amp; "오후 19:00"</f>
        <v>2021-05-03(월) 오후 19:00</v>
      </c>
      <c r="H123" s="207"/>
      <c r="I123" s="208"/>
      <c r="J123" s="206" t="str">
        <f>TEXT($G$1, "[$-ko-KR]yyyy-mm-dd(ddd) ") &amp; "오후 21:00"</f>
        <v>2021-05-03(월) 오후 21:00</v>
      </c>
      <c r="K123" s="207"/>
      <c r="L123" s="208"/>
      <c r="M123" s="206" t="str">
        <f>TEXT($G$1+1, "[$-ko-KR]yyyy-mm-dd(ddd) ") &amp; "오전 00:00"</f>
        <v>2021-05-04(화) 오전 00:00</v>
      </c>
      <c r="N123" s="207"/>
      <c r="O123" s="208"/>
      <c r="Q123" s="192"/>
      <c r="R123" s="192"/>
      <c r="S123" s="192"/>
    </row>
    <row r="124" spans="1:19" ht="17.25" thickBot="1">
      <c r="A124" s="20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2"/>
      <c r="R124" s="182"/>
      <c r="S124" s="182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92"/>
      <c r="R125" s="192"/>
      <c r="S125" s="192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92"/>
      <c r="R126" s="192"/>
      <c r="S126" s="192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82"/>
      <c r="R127" s="182"/>
      <c r="S127" s="182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82"/>
      <c r="R128" s="182"/>
      <c r="S128" s="182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82"/>
      <c r="R129" s="182"/>
      <c r="S129" s="182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82"/>
      <c r="R130" s="182"/>
      <c r="S130" s="182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82"/>
      <c r="R131" s="182"/>
      <c r="S131" s="182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82"/>
      <c r="R132" s="182"/>
      <c r="S132" s="182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183"/>
      <c r="R134" s="184"/>
      <c r="S134" s="185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186"/>
      <c r="R135" s="187"/>
      <c r="S135" s="188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189"/>
      <c r="R136" s="190"/>
      <c r="S136" s="191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82"/>
      <c r="R137" s="182"/>
      <c r="S137" s="182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92"/>
      <c r="R138" s="192"/>
      <c r="S138" s="192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92"/>
      <c r="R139" s="192"/>
      <c r="S139" s="192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82"/>
      <c r="R140" s="182"/>
      <c r="S140" s="182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82"/>
      <c r="R141" s="182"/>
      <c r="S141" s="182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82"/>
      <c r="R142" s="182"/>
      <c r="S142" s="182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1"/>
      <c r="R143" s="172"/>
      <c r="S143" s="17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4"/>
      <c r="R144" s="175"/>
      <c r="S144" s="176"/>
    </row>
    <row r="145" spans="1:19" ht="17.25" thickBot="1">
      <c r="A145" s="26" t="s">
        <v>301</v>
      </c>
      <c r="B145" s="180">
        <f>$B$37</f>
        <v>300000</v>
      </c>
      <c r="C145" s="181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177"/>
      <c r="R145" s="178"/>
      <c r="S145" s="17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192"/>
      <c r="R148" s="192"/>
      <c r="S148" s="192"/>
    </row>
    <row r="149" spans="1:19" ht="17.25" thickBot="1">
      <c r="A149" s="111" t="s">
        <v>298</v>
      </c>
      <c r="B149" s="193" t="s">
        <v>49</v>
      </c>
      <c r="C149" s="195"/>
      <c r="D149" s="193" t="s">
        <v>58</v>
      </c>
      <c r="E149" s="194"/>
      <c r="F149" s="195"/>
      <c r="G149" s="196">
        <f>_xlfn.IFNA(VLOOKUP(B149, 현재가테이블!$B$2:$D$200, 2, FALSE), "-")</f>
        <v>68581000</v>
      </c>
      <c r="H149" s="197"/>
      <c r="I149" s="198"/>
      <c r="J149" s="193" t="s">
        <v>59</v>
      </c>
      <c r="K149" s="194"/>
      <c r="L149" s="195"/>
      <c r="M149" s="199">
        <f>_xlfn.IFNA(VLOOKUP(B149, 현재가테이블!$B$2:$D$200, 3, FALSE), "-")</f>
        <v>-2.7047857000000002E-3</v>
      </c>
      <c r="N149" s="200"/>
      <c r="O149" s="201"/>
      <c r="Q149" s="192"/>
      <c r="R149" s="192"/>
      <c r="S149" s="192"/>
    </row>
    <row r="150" spans="1:19" ht="17.25" thickBot="1">
      <c r="A150" s="202" t="s">
        <v>55</v>
      </c>
      <c r="B150" s="204" t="str">
        <f>TEXT($G$1, "[$-ko-KR]yyyy-mm-dd(ddd) ") &amp; "오전 00:00"</f>
        <v>2021-05-03(월) 오전 00:00</v>
      </c>
      <c r="C150" s="205"/>
      <c r="D150" s="206" t="str">
        <f>TEXT($G$1, "[$-ko-KR]yyyy-mm-dd(ddd) ") &amp; "오후 14:00"</f>
        <v>2021-05-03(월) 오후 14:00</v>
      </c>
      <c r="E150" s="207"/>
      <c r="F150" s="208"/>
      <c r="G150" s="206" t="str">
        <f>TEXT($G$1, "[$-ko-KR]yyyy-mm-dd(ddd) ") &amp; "오후 19:00"</f>
        <v>2021-05-03(월) 오후 19:00</v>
      </c>
      <c r="H150" s="207"/>
      <c r="I150" s="208"/>
      <c r="J150" s="206" t="str">
        <f>TEXT($G$1, "[$-ko-KR]yyyy-mm-dd(ddd) ") &amp; "오후 21:00"</f>
        <v>2021-05-03(월) 오후 21:00</v>
      </c>
      <c r="K150" s="207"/>
      <c r="L150" s="208"/>
      <c r="M150" s="206" t="str">
        <f>TEXT($G$1+1, "[$-ko-KR]yyyy-mm-dd(ddd) ") &amp; "오전 00:00"</f>
        <v>2021-05-04(화) 오전 00:00</v>
      </c>
      <c r="N150" s="207"/>
      <c r="O150" s="208"/>
      <c r="Q150" s="192"/>
      <c r="R150" s="192"/>
      <c r="S150" s="192"/>
    </row>
    <row r="151" spans="1:19" ht="17.25" thickBot="1">
      <c r="A151" s="20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2"/>
      <c r="R151" s="182"/>
      <c r="S151" s="182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92"/>
      <c r="R152" s="192"/>
      <c r="S152" s="192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92"/>
      <c r="R153" s="192"/>
      <c r="S153" s="192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82"/>
      <c r="R154" s="182"/>
      <c r="S154" s="182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82"/>
      <c r="R155" s="182"/>
      <c r="S155" s="182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82"/>
      <c r="R156" s="182"/>
      <c r="S156" s="182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82"/>
      <c r="R157" s="182"/>
      <c r="S157" s="182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82"/>
      <c r="R158" s="182"/>
      <c r="S158" s="182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82"/>
      <c r="R159" s="182"/>
      <c r="S159" s="182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183"/>
      <c r="R161" s="184"/>
      <c r="S161" s="185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186"/>
      <c r="R162" s="187"/>
      <c r="S162" s="188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189"/>
      <c r="R163" s="190"/>
      <c r="S163" s="191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82"/>
      <c r="R164" s="182"/>
      <c r="S164" s="182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92"/>
      <c r="R165" s="192"/>
      <c r="S165" s="192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92"/>
      <c r="R166" s="192"/>
      <c r="S166" s="192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82"/>
      <c r="R167" s="182"/>
      <c r="S167" s="182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82"/>
      <c r="R168" s="182"/>
      <c r="S168" s="182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82"/>
      <c r="R169" s="182"/>
      <c r="S169" s="182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171"/>
      <c r="R170" s="172"/>
      <c r="S170" s="173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174"/>
      <c r="R171" s="175"/>
      <c r="S171" s="176"/>
    </row>
    <row r="172" spans="1:19" ht="17.25" thickBot="1">
      <c r="A172" s="26" t="s">
        <v>301</v>
      </c>
      <c r="B172" s="180">
        <f>$B$37</f>
        <v>300000</v>
      </c>
      <c r="C172" s="181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177"/>
      <c r="R172" s="178"/>
      <c r="S172" s="17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192"/>
      <c r="R175" s="192"/>
      <c r="S175" s="192"/>
    </row>
    <row r="176" spans="1:19" ht="17.25" thickBot="1">
      <c r="A176" s="111" t="s">
        <v>298</v>
      </c>
      <c r="B176" s="193" t="s">
        <v>49</v>
      </c>
      <c r="C176" s="195"/>
      <c r="D176" s="193" t="s">
        <v>58</v>
      </c>
      <c r="E176" s="194"/>
      <c r="F176" s="195"/>
      <c r="G176" s="196">
        <f>_xlfn.IFNA(VLOOKUP(B176, 현재가테이블!$B$2:$D$200, 2, FALSE), "-")</f>
        <v>68581000</v>
      </c>
      <c r="H176" s="197"/>
      <c r="I176" s="198"/>
      <c r="J176" s="193" t="s">
        <v>59</v>
      </c>
      <c r="K176" s="194"/>
      <c r="L176" s="195"/>
      <c r="M176" s="199">
        <f>_xlfn.IFNA(VLOOKUP(B176, 현재가테이블!$B$2:$D$200, 3, FALSE), "-")</f>
        <v>-2.7047857000000002E-3</v>
      </c>
      <c r="N176" s="200"/>
      <c r="O176" s="201"/>
      <c r="Q176" s="192"/>
      <c r="R176" s="192"/>
      <c r="S176" s="192"/>
    </row>
    <row r="177" spans="1:19" ht="17.25" thickBot="1">
      <c r="A177" s="202" t="s">
        <v>55</v>
      </c>
      <c r="B177" s="204" t="str">
        <f>TEXT($G$1, "[$-ko-KR]yyyy-mm-dd(ddd) ") &amp; "오전 00:00"</f>
        <v>2021-05-03(월) 오전 00:00</v>
      </c>
      <c r="C177" s="205"/>
      <c r="D177" s="206" t="str">
        <f>TEXT($G$1, "[$-ko-KR]yyyy-mm-dd(ddd) ") &amp; "오후 14:00"</f>
        <v>2021-05-03(월) 오후 14:00</v>
      </c>
      <c r="E177" s="207"/>
      <c r="F177" s="208"/>
      <c r="G177" s="206" t="str">
        <f>TEXT($G$1, "[$-ko-KR]yyyy-mm-dd(ddd) ") &amp; "오후 19:00"</f>
        <v>2021-05-03(월) 오후 19:00</v>
      </c>
      <c r="H177" s="207"/>
      <c r="I177" s="208"/>
      <c r="J177" s="206" t="str">
        <f>TEXT($G$1, "[$-ko-KR]yyyy-mm-dd(ddd) ") &amp; "오후 21:00"</f>
        <v>2021-05-03(월) 오후 21:00</v>
      </c>
      <c r="K177" s="207"/>
      <c r="L177" s="208"/>
      <c r="M177" s="206" t="str">
        <f>TEXT($G$1+1, "[$-ko-KR]yyyy-mm-dd(ddd) ") &amp; "오전 00:00"</f>
        <v>2021-05-04(화) 오전 00:00</v>
      </c>
      <c r="N177" s="207"/>
      <c r="O177" s="208"/>
      <c r="Q177" s="192"/>
      <c r="R177" s="192"/>
      <c r="S177" s="192"/>
    </row>
    <row r="178" spans="1:19" ht="17.25" thickBot="1">
      <c r="A178" s="20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2"/>
      <c r="R178" s="182"/>
      <c r="S178" s="182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92"/>
      <c r="R179" s="192"/>
      <c r="S179" s="192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92"/>
      <c r="R180" s="192"/>
      <c r="S180" s="192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82"/>
      <c r="R181" s="182"/>
      <c r="S181" s="182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82"/>
      <c r="R182" s="182"/>
      <c r="S182" s="182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82"/>
      <c r="R183" s="182"/>
      <c r="S183" s="182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82"/>
      <c r="R184" s="182"/>
      <c r="S184" s="182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82"/>
      <c r="R185" s="182"/>
      <c r="S185" s="182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82"/>
      <c r="R186" s="182"/>
      <c r="S186" s="182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183"/>
      <c r="R188" s="184"/>
      <c r="S188" s="185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186"/>
      <c r="R189" s="187"/>
      <c r="S189" s="188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189"/>
      <c r="R190" s="190"/>
      <c r="S190" s="191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82"/>
      <c r="R191" s="182"/>
      <c r="S191" s="182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92"/>
      <c r="R192" s="192"/>
      <c r="S192" s="192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92"/>
      <c r="R193" s="192"/>
      <c r="S193" s="192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82"/>
      <c r="R194" s="182"/>
      <c r="S194" s="182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82"/>
      <c r="R195" s="182"/>
      <c r="S195" s="182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82"/>
      <c r="R196" s="182"/>
      <c r="S196" s="182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171"/>
      <c r="R197" s="172"/>
      <c r="S197" s="173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174"/>
      <c r="R198" s="175"/>
      <c r="S198" s="176"/>
    </row>
    <row r="199" spans="1:19" ht="17.25" thickBot="1">
      <c r="A199" s="26" t="s">
        <v>301</v>
      </c>
      <c r="B199" s="180">
        <f>$B$37</f>
        <v>300000</v>
      </c>
      <c r="C199" s="181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177"/>
      <c r="R199" s="178"/>
      <c r="S199" s="1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224">
        <v>44320</v>
      </c>
      <c r="H1" s="225"/>
      <c r="I1" s="226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20" t="s">
        <v>3</v>
      </c>
      <c r="B2" s="227" t="s">
        <v>4</v>
      </c>
      <c r="C2" s="228"/>
      <c r="D2" s="228"/>
      <c r="E2" s="228"/>
      <c r="F2" s="229"/>
      <c r="G2" s="221" t="s">
        <v>46</v>
      </c>
      <c r="H2" s="222"/>
      <c r="I2" s="223"/>
      <c r="J2" s="1" t="s">
        <v>3</v>
      </c>
      <c r="K2" s="227" t="s">
        <v>5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21" t="s">
        <v>7</v>
      </c>
      <c r="B3" s="218" t="s">
        <v>8</v>
      </c>
      <c r="C3" s="219"/>
      <c r="D3" s="219"/>
      <c r="E3" s="219"/>
      <c r="F3" s="220"/>
      <c r="G3" s="21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15"/>
      <c r="I3" s="216"/>
      <c r="J3" s="4" t="s">
        <v>7</v>
      </c>
      <c r="K3" s="218" t="s">
        <v>9</v>
      </c>
      <c r="L3" s="219"/>
      <c r="M3" s="219"/>
      <c r="N3" s="219"/>
      <c r="O3" s="220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8" t="s">
        <v>12</v>
      </c>
      <c r="C4" s="219"/>
      <c r="D4" s="219"/>
      <c r="E4" s="219"/>
      <c r="F4" s="220"/>
      <c r="G4" s="221" t="s">
        <v>44</v>
      </c>
      <c r="H4" s="222"/>
      <c r="I4" s="223"/>
      <c r="J4" s="4" t="s">
        <v>11</v>
      </c>
      <c r="K4" s="218" t="s">
        <v>13</v>
      </c>
      <c r="L4" s="219"/>
      <c r="M4" s="219"/>
      <c r="N4" s="219"/>
      <c r="O4" s="220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8" t="s">
        <v>16</v>
      </c>
      <c r="C5" s="219"/>
      <c r="D5" s="219"/>
      <c r="E5" s="219"/>
      <c r="F5" s="220"/>
      <c r="G5" s="21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15"/>
      <c r="I5" s="216"/>
      <c r="J5" s="4" t="s">
        <v>15</v>
      </c>
      <c r="K5" s="218" t="s">
        <v>17</v>
      </c>
      <c r="L5" s="219"/>
      <c r="M5" s="219"/>
      <c r="N5" s="219"/>
      <c r="O5" s="220"/>
    </row>
    <row r="6" spans="1:19">
      <c r="A6" s="121" t="s">
        <v>18</v>
      </c>
      <c r="B6" s="218" t="s">
        <v>19</v>
      </c>
      <c r="C6" s="219"/>
      <c r="D6" s="219"/>
      <c r="E6" s="219"/>
      <c r="F6" s="220"/>
      <c r="G6" s="221" t="s">
        <v>45</v>
      </c>
      <c r="H6" s="222"/>
      <c r="I6" s="223"/>
      <c r="J6" s="4" t="s">
        <v>18</v>
      </c>
      <c r="K6" s="218" t="s">
        <v>20</v>
      </c>
      <c r="L6" s="219"/>
      <c r="M6" s="219"/>
      <c r="N6" s="219"/>
      <c r="O6" s="220"/>
    </row>
    <row r="7" spans="1:19" ht="17.25" thickBot="1">
      <c r="A7" s="121" t="s">
        <v>21</v>
      </c>
      <c r="B7" s="218" t="s">
        <v>22</v>
      </c>
      <c r="C7" s="219"/>
      <c r="D7" s="219"/>
      <c r="E7" s="219"/>
      <c r="F7" s="220"/>
      <c r="G7" s="21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15"/>
      <c r="I7" s="216"/>
      <c r="J7" s="4" t="s">
        <v>21</v>
      </c>
      <c r="K7" s="218" t="s">
        <v>23</v>
      </c>
      <c r="L7" s="219"/>
      <c r="M7" s="219"/>
      <c r="N7" s="219"/>
      <c r="O7" s="220"/>
    </row>
    <row r="8" spans="1:19" ht="17.25" thickBot="1">
      <c r="A8" s="121" t="s">
        <v>24</v>
      </c>
      <c r="B8" s="218" t="s">
        <v>25</v>
      </c>
      <c r="C8" s="219"/>
      <c r="D8" s="219"/>
      <c r="E8" s="219"/>
      <c r="F8" s="220"/>
      <c r="G8" s="221" t="s">
        <v>285</v>
      </c>
      <c r="H8" s="222"/>
      <c r="I8" s="223"/>
      <c r="J8" s="4" t="s">
        <v>24</v>
      </c>
      <c r="K8" s="218" t="s">
        <v>26</v>
      </c>
      <c r="L8" s="219"/>
      <c r="M8" s="219"/>
      <c r="N8" s="219"/>
      <c r="O8" s="220"/>
      <c r="Q8" s="193" t="s">
        <v>27</v>
      </c>
      <c r="R8" s="195"/>
    </row>
    <row r="9" spans="1:19" ht="17.25" thickBot="1">
      <c r="A9" s="121" t="s">
        <v>28</v>
      </c>
      <c r="B9" s="218"/>
      <c r="C9" s="219"/>
      <c r="D9" s="219"/>
      <c r="E9" s="219"/>
      <c r="F9" s="220"/>
      <c r="G9" s="21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15"/>
      <c r="I9" s="216"/>
      <c r="J9" s="4" t="s">
        <v>28</v>
      </c>
      <c r="K9" s="218" t="s">
        <v>293</v>
      </c>
      <c r="L9" s="219"/>
      <c r="M9" s="219"/>
      <c r="N9" s="219"/>
      <c r="O9" s="220"/>
      <c r="Q9" s="2" t="s">
        <v>29</v>
      </c>
      <c r="R9" s="6">
        <v>10</v>
      </c>
    </row>
    <row r="10" spans="1:19">
      <c r="A10" s="121" t="s">
        <v>30</v>
      </c>
      <c r="B10" s="218"/>
      <c r="C10" s="219"/>
      <c r="D10" s="219"/>
      <c r="E10" s="219"/>
      <c r="F10" s="220"/>
      <c r="G10" s="221" t="s">
        <v>47</v>
      </c>
      <c r="H10" s="222"/>
      <c r="I10" s="223"/>
      <c r="J10" s="4" t="s">
        <v>30</v>
      </c>
      <c r="K10" s="218"/>
      <c r="L10" s="219"/>
      <c r="M10" s="219"/>
      <c r="N10" s="219"/>
      <c r="O10" s="220"/>
      <c r="Q10" s="2" t="s">
        <v>31</v>
      </c>
      <c r="R10" s="6">
        <v>100</v>
      </c>
    </row>
    <row r="11" spans="1:19" ht="17.25" thickBot="1">
      <c r="A11" s="122" t="s">
        <v>32</v>
      </c>
      <c r="B11" s="211"/>
      <c r="C11" s="212"/>
      <c r="D11" s="212"/>
      <c r="E11" s="212"/>
      <c r="F11" s="213"/>
      <c r="G11" s="21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15"/>
      <c r="I11" s="216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192"/>
      <c r="R13" s="192"/>
      <c r="S13" s="192"/>
    </row>
    <row r="14" spans="1:19" ht="17.25" customHeight="1" thickBot="1">
      <c r="A14" s="116" t="s">
        <v>35</v>
      </c>
      <c r="B14" s="193" t="s">
        <v>36</v>
      </c>
      <c r="C14" s="195"/>
      <c r="D14" s="193" t="s">
        <v>37</v>
      </c>
      <c r="E14" s="194"/>
      <c r="F14" s="195"/>
      <c r="G14" s="196">
        <f>_xlfn.IFNA(VLOOKUP(B14, 현재가테이블!$B$2:$D$200, 2, FALSE), "-")</f>
        <v>68581000</v>
      </c>
      <c r="H14" s="197"/>
      <c r="I14" s="198"/>
      <c r="J14" s="193" t="s">
        <v>38</v>
      </c>
      <c r="K14" s="194"/>
      <c r="L14" s="195"/>
      <c r="M14" s="199">
        <f>_xlfn.IFNA(VLOOKUP(B14, 현재가테이블!$B$2:$D$200, 3, FALSE), "-")</f>
        <v>-2.7047857000000002E-3</v>
      </c>
      <c r="N14" s="200"/>
      <c r="O14" s="201"/>
      <c r="Q14" s="192"/>
      <c r="R14" s="192"/>
      <c r="S14" s="192"/>
    </row>
    <row r="15" spans="1:19" ht="17.25" customHeight="1" thickBot="1">
      <c r="A15" s="230" t="s">
        <v>39</v>
      </c>
      <c r="B15" s="231" t="str">
        <f>TEXT($G$1, "[$-ko-KR]yyyy-mm-dd(ddd) ") &amp; "오전 00:00"</f>
        <v>2021-05-04(화) 오전 00:00</v>
      </c>
      <c r="C15" s="232"/>
      <c r="D15" s="206" t="str">
        <f>TEXT($G$1, "[$-ko-KR]yyyy-mm-dd(ddd) ") &amp; "오후 14:00"</f>
        <v>2021-05-04(화) 오후 14:00</v>
      </c>
      <c r="E15" s="207"/>
      <c r="F15" s="208"/>
      <c r="G15" s="206" t="str">
        <f>TEXT($G$1, "[$-ko-KR]yyyy-mm-dd(ddd) ") &amp; "오후 19:00"</f>
        <v>2021-05-04(화) 오후 19:00</v>
      </c>
      <c r="H15" s="207"/>
      <c r="I15" s="208"/>
      <c r="J15" s="206" t="str">
        <f>TEXT($G$1, "[$-ko-KR]yyyy-mm-dd(ddd) ") &amp; "오후 21:00"</f>
        <v>2021-05-04(화) 오후 21:00</v>
      </c>
      <c r="K15" s="207"/>
      <c r="L15" s="208"/>
      <c r="M15" s="206" t="str">
        <f>TEXT($G$1+1, "[$-ko-KR]yyyy-mm-dd(ddd) ") &amp; "오전 00:00"</f>
        <v>2021-05-05(수) 오전 00:00</v>
      </c>
      <c r="N15" s="207"/>
      <c r="O15" s="208"/>
      <c r="Q15" s="192"/>
      <c r="R15" s="192"/>
      <c r="S15" s="192"/>
    </row>
    <row r="16" spans="1:19" ht="17.25" customHeight="1" thickBot="1">
      <c r="A16" s="230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2"/>
      <c r="R16" s="182"/>
      <c r="S16" s="182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192"/>
      <c r="R17" s="192"/>
      <c r="S17" s="192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192"/>
      <c r="R18" s="192"/>
      <c r="S18" s="192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82"/>
      <c r="R19" s="182"/>
      <c r="S19" s="182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82"/>
      <c r="R20" s="182"/>
      <c r="S20" s="182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82"/>
      <c r="R21" s="182"/>
      <c r="S21" s="182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2"/>
      <c r="R22" s="182"/>
      <c r="S22" s="182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2"/>
      <c r="R23" s="182"/>
      <c r="S23" s="182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2"/>
      <c r="R24" s="182"/>
      <c r="S24" s="182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3"/>
      <c r="R26" s="184"/>
      <c r="S26" s="185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6"/>
      <c r="R27" s="187"/>
      <c r="S27" s="188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9"/>
      <c r="R28" s="190"/>
      <c r="S28" s="191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2"/>
      <c r="R29" s="182"/>
      <c r="S29" s="182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2"/>
      <c r="R32" s="182"/>
      <c r="S32" s="182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2"/>
      <c r="R33" s="182"/>
      <c r="S33" s="182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2"/>
      <c r="R34" s="182"/>
      <c r="S34" s="182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1"/>
      <c r="R35" s="172"/>
      <c r="S35" s="173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4"/>
      <c r="R36" s="175"/>
      <c r="S36" s="176"/>
    </row>
    <row r="37" spans="1:19" ht="17.25" customHeight="1" thickBot="1">
      <c r="A37" s="135" t="s">
        <v>42</v>
      </c>
      <c r="B37" s="235">
        <v>300000</v>
      </c>
      <c r="C37" s="236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177"/>
      <c r="R37" s="178"/>
      <c r="S37" s="17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192"/>
      <c r="R40" s="192"/>
      <c r="S40" s="192"/>
    </row>
    <row r="41" spans="1:19" ht="17.25" customHeight="1" thickBot="1">
      <c r="A41" s="116" t="s">
        <v>298</v>
      </c>
      <c r="B41" s="193" t="s">
        <v>49</v>
      </c>
      <c r="C41" s="195"/>
      <c r="D41" s="193" t="s">
        <v>58</v>
      </c>
      <c r="E41" s="194"/>
      <c r="F41" s="195"/>
      <c r="G41" s="196">
        <f>_xlfn.IFNA(VLOOKUP(B41, 현재가테이블!$B$2:$D$200, 2, FALSE), "-")</f>
        <v>68581000</v>
      </c>
      <c r="H41" s="197"/>
      <c r="I41" s="198"/>
      <c r="J41" s="193" t="s">
        <v>59</v>
      </c>
      <c r="K41" s="194"/>
      <c r="L41" s="195"/>
      <c r="M41" s="199">
        <f>_xlfn.IFNA(VLOOKUP(B41, 현재가테이블!$B$2:$D$200, 3, FALSE), "-")</f>
        <v>-2.7047857000000002E-3</v>
      </c>
      <c r="N41" s="200"/>
      <c r="O41" s="201"/>
      <c r="Q41" s="192"/>
      <c r="R41" s="192"/>
      <c r="S41" s="192"/>
    </row>
    <row r="42" spans="1:19" ht="17.25" customHeight="1" thickBot="1">
      <c r="A42" s="237" t="s">
        <v>55</v>
      </c>
      <c r="B42" s="233" t="str">
        <f>TEXT($G$1, "[$-ko-KR]yyyy-mm-dd(ddd) ") &amp; "오전 00:00"</f>
        <v>2021-05-04(화) 오전 00:00</v>
      </c>
      <c r="C42" s="234"/>
      <c r="D42" s="206" t="str">
        <f>TEXT($G$1, "[$-ko-KR]yyyy-mm-dd(ddd) ") &amp; "오후 14:00"</f>
        <v>2021-05-04(화) 오후 14:00</v>
      </c>
      <c r="E42" s="207"/>
      <c r="F42" s="208"/>
      <c r="G42" s="206" t="str">
        <f>TEXT($G$1, "[$-ko-KR]yyyy-mm-dd(ddd) ") &amp; "오후 19:00"</f>
        <v>2021-05-04(화) 오후 19:00</v>
      </c>
      <c r="H42" s="207"/>
      <c r="I42" s="208"/>
      <c r="J42" s="206" t="str">
        <f>TEXT($G$1, "[$-ko-KR]yyyy-mm-dd(ddd) ") &amp; "오후 21:00"</f>
        <v>2021-05-04(화) 오후 21:00</v>
      </c>
      <c r="K42" s="207"/>
      <c r="L42" s="208"/>
      <c r="M42" s="206" t="str">
        <f>TEXT($G$1+1, "[$-ko-KR]yyyy-mm-dd(ddd) ") &amp; "오전 00:00"</f>
        <v>2021-05-05(수) 오전 00:00</v>
      </c>
      <c r="N42" s="207"/>
      <c r="O42" s="208"/>
      <c r="Q42" s="192"/>
      <c r="R42" s="192"/>
      <c r="S42" s="192"/>
    </row>
    <row r="43" spans="1:19" ht="17.25" customHeight="1" thickBot="1">
      <c r="A43" s="238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2"/>
      <c r="R43" s="182"/>
      <c r="S43" s="182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192"/>
      <c r="R44" s="192"/>
      <c r="S44" s="192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192"/>
      <c r="R45" s="192"/>
      <c r="S45" s="192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82"/>
      <c r="R46" s="182"/>
      <c r="S46" s="182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82"/>
      <c r="R47" s="182"/>
      <c r="S47" s="182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82"/>
      <c r="R48" s="182"/>
      <c r="S48" s="182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82"/>
      <c r="R49" s="182"/>
      <c r="S49" s="182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82"/>
      <c r="R50" s="182"/>
      <c r="S50" s="182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82"/>
      <c r="R51" s="182"/>
      <c r="S51" s="182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183"/>
      <c r="R53" s="184"/>
      <c r="S53" s="185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186"/>
      <c r="R54" s="187"/>
      <c r="S54" s="188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189"/>
      <c r="R55" s="190"/>
      <c r="S55" s="191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82"/>
      <c r="R56" s="182"/>
      <c r="S56" s="182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192"/>
      <c r="R57" s="192"/>
      <c r="S57" s="192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192"/>
      <c r="R58" s="192"/>
      <c r="S58" s="192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82"/>
      <c r="R59" s="182"/>
      <c r="S59" s="182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82"/>
      <c r="R60" s="182"/>
      <c r="S60" s="182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82"/>
      <c r="R61" s="182"/>
      <c r="S61" s="182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1"/>
      <c r="R62" s="172"/>
      <c r="S62" s="17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4"/>
      <c r="R63" s="175"/>
      <c r="S63" s="176"/>
    </row>
    <row r="64" spans="1:19" ht="17.25" customHeight="1" thickBot="1">
      <c r="A64" s="135" t="s">
        <v>301</v>
      </c>
      <c r="B64" s="235">
        <f>$B$37</f>
        <v>300000</v>
      </c>
      <c r="C64" s="236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177"/>
      <c r="R64" s="178"/>
      <c r="S64" s="17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192"/>
      <c r="R67" s="192"/>
      <c r="S67" s="192"/>
    </row>
    <row r="68" spans="1:19" ht="17.25" thickBot="1">
      <c r="A68" s="116" t="s">
        <v>298</v>
      </c>
      <c r="B68" s="193" t="s">
        <v>49</v>
      </c>
      <c r="C68" s="195"/>
      <c r="D68" s="193" t="s">
        <v>58</v>
      </c>
      <c r="E68" s="194"/>
      <c r="F68" s="195"/>
      <c r="G68" s="196">
        <f>_xlfn.IFNA(VLOOKUP(B68, 현재가테이블!$B$2:$D$200, 2, FALSE), "-")</f>
        <v>68581000</v>
      </c>
      <c r="H68" s="197"/>
      <c r="I68" s="198"/>
      <c r="J68" s="193" t="s">
        <v>59</v>
      </c>
      <c r="K68" s="194"/>
      <c r="L68" s="195"/>
      <c r="M68" s="199">
        <f>_xlfn.IFNA(VLOOKUP(B68, 현재가테이블!$B$2:$D$200, 3, FALSE), "-")</f>
        <v>-2.7047857000000002E-3</v>
      </c>
      <c r="N68" s="200"/>
      <c r="O68" s="201"/>
      <c r="Q68" s="192"/>
      <c r="R68" s="192"/>
      <c r="S68" s="192"/>
    </row>
    <row r="69" spans="1:19" ht="17.25" thickBot="1">
      <c r="A69" s="237" t="s">
        <v>55</v>
      </c>
      <c r="B69" s="233" t="str">
        <f>TEXT($G$1, "[$-ko-KR]yyyy-mm-dd(ddd) ") &amp; "오전 00:00"</f>
        <v>2021-05-04(화) 오전 00:00</v>
      </c>
      <c r="C69" s="234"/>
      <c r="D69" s="206" t="str">
        <f>TEXT($G$1, "[$-ko-KR]yyyy-mm-dd(ddd) ") &amp; "오후 14:00"</f>
        <v>2021-05-04(화) 오후 14:00</v>
      </c>
      <c r="E69" s="207"/>
      <c r="F69" s="208"/>
      <c r="G69" s="206" t="str">
        <f>TEXT($G$1, "[$-ko-KR]yyyy-mm-dd(ddd) ") &amp; "오후 19:00"</f>
        <v>2021-05-04(화) 오후 19:00</v>
      </c>
      <c r="H69" s="207"/>
      <c r="I69" s="208"/>
      <c r="J69" s="206" t="str">
        <f>TEXT($G$1, "[$-ko-KR]yyyy-mm-dd(ddd) ") &amp; "오후 21:00"</f>
        <v>2021-05-04(화) 오후 21:00</v>
      </c>
      <c r="K69" s="207"/>
      <c r="L69" s="208"/>
      <c r="M69" s="206" t="str">
        <f>TEXT($G$1+1, "[$-ko-KR]yyyy-mm-dd(ddd) ") &amp; "오전 00:00"</f>
        <v>2021-05-05(수) 오전 00:00</v>
      </c>
      <c r="N69" s="207"/>
      <c r="O69" s="208"/>
      <c r="Q69" s="192"/>
      <c r="R69" s="192"/>
      <c r="S69" s="192"/>
    </row>
    <row r="70" spans="1:19" ht="17.25" thickBot="1">
      <c r="A70" s="238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2"/>
      <c r="R70" s="182"/>
      <c r="S70" s="182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192"/>
      <c r="R71" s="192"/>
      <c r="S71" s="192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192"/>
      <c r="R72" s="192"/>
      <c r="S72" s="192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82"/>
      <c r="R73" s="182"/>
      <c r="S73" s="182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82"/>
      <c r="R74" s="182"/>
      <c r="S74" s="182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82"/>
      <c r="R75" s="182"/>
      <c r="S75" s="182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82"/>
      <c r="R76" s="182"/>
      <c r="S76" s="182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82"/>
      <c r="R77" s="182"/>
      <c r="S77" s="182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82"/>
      <c r="R78" s="182"/>
      <c r="S78" s="182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183"/>
      <c r="R80" s="184"/>
      <c r="S80" s="185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186"/>
      <c r="R81" s="187"/>
      <c r="S81" s="188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189"/>
      <c r="R82" s="190"/>
      <c r="S82" s="191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82"/>
      <c r="R83" s="182"/>
      <c r="S83" s="182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192"/>
      <c r="R84" s="192"/>
      <c r="S84" s="192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192"/>
      <c r="R85" s="192"/>
      <c r="S85" s="192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82"/>
      <c r="R86" s="182"/>
      <c r="S86" s="182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82"/>
      <c r="R87" s="182"/>
      <c r="S87" s="182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82"/>
      <c r="R88" s="182"/>
      <c r="S88" s="182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171"/>
      <c r="R89" s="172"/>
      <c r="S89" s="173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174"/>
      <c r="R90" s="175"/>
      <c r="S90" s="176"/>
    </row>
    <row r="91" spans="1:19" ht="17.25" thickBot="1">
      <c r="A91" s="135" t="s">
        <v>301</v>
      </c>
      <c r="B91" s="235">
        <f>$B$37</f>
        <v>300000</v>
      </c>
      <c r="C91" s="236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177"/>
      <c r="R91" s="178"/>
      <c r="S91" s="17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192"/>
      <c r="R94" s="192"/>
      <c r="S94" s="192"/>
    </row>
    <row r="95" spans="1:19" ht="17.25" thickBot="1">
      <c r="A95" s="116" t="s">
        <v>298</v>
      </c>
      <c r="B95" s="193" t="s">
        <v>49</v>
      </c>
      <c r="C95" s="195"/>
      <c r="D95" s="193" t="s">
        <v>58</v>
      </c>
      <c r="E95" s="194"/>
      <c r="F95" s="195"/>
      <c r="G95" s="196">
        <f>_xlfn.IFNA(VLOOKUP(B95, 현재가테이블!$B$2:$D$200, 2, FALSE), "-")</f>
        <v>68581000</v>
      </c>
      <c r="H95" s="197"/>
      <c r="I95" s="198"/>
      <c r="J95" s="193" t="s">
        <v>59</v>
      </c>
      <c r="K95" s="194"/>
      <c r="L95" s="195"/>
      <c r="M95" s="199">
        <f>_xlfn.IFNA(VLOOKUP(B95, 현재가테이블!$B$2:$D$200, 3, FALSE), "-")</f>
        <v>-2.7047857000000002E-3</v>
      </c>
      <c r="N95" s="200"/>
      <c r="O95" s="201"/>
      <c r="Q95" s="192"/>
      <c r="R95" s="192"/>
      <c r="S95" s="192"/>
    </row>
    <row r="96" spans="1:19" ht="17.25" thickBot="1">
      <c r="A96" s="237" t="s">
        <v>55</v>
      </c>
      <c r="B96" s="233" t="str">
        <f>TEXT($G$1, "[$-ko-KR]yyyy-mm-dd(ddd) ") &amp; "오전 00:00"</f>
        <v>2021-05-04(화) 오전 00:00</v>
      </c>
      <c r="C96" s="234"/>
      <c r="D96" s="206" t="str">
        <f>TEXT($G$1, "[$-ko-KR]yyyy-mm-dd(ddd) ") &amp; "오후 14:00"</f>
        <v>2021-05-04(화) 오후 14:00</v>
      </c>
      <c r="E96" s="207"/>
      <c r="F96" s="208"/>
      <c r="G96" s="206" t="str">
        <f>TEXT($G$1, "[$-ko-KR]yyyy-mm-dd(ddd) ") &amp; "오후 19:00"</f>
        <v>2021-05-04(화) 오후 19:00</v>
      </c>
      <c r="H96" s="207"/>
      <c r="I96" s="208"/>
      <c r="J96" s="206" t="str">
        <f>TEXT($G$1, "[$-ko-KR]yyyy-mm-dd(ddd) ") &amp; "오후 21:00"</f>
        <v>2021-05-04(화) 오후 21:00</v>
      </c>
      <c r="K96" s="207"/>
      <c r="L96" s="208"/>
      <c r="M96" s="206" t="str">
        <f>TEXT($G$1+1, "[$-ko-KR]yyyy-mm-dd(ddd) ") &amp; "오전 00:00"</f>
        <v>2021-05-05(수) 오전 00:00</v>
      </c>
      <c r="N96" s="207"/>
      <c r="O96" s="208"/>
      <c r="Q96" s="192"/>
      <c r="R96" s="192"/>
      <c r="S96" s="192"/>
    </row>
    <row r="97" spans="1:19" ht="17.25" thickBot="1">
      <c r="A97" s="238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2"/>
      <c r="R97" s="182"/>
      <c r="S97" s="182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192"/>
      <c r="R98" s="192"/>
      <c r="S98" s="192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192"/>
      <c r="R99" s="192"/>
      <c r="S99" s="192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82"/>
      <c r="R100" s="182"/>
      <c r="S100" s="182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82"/>
      <c r="R101" s="182"/>
      <c r="S101" s="182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82"/>
      <c r="R102" s="182"/>
      <c r="S102" s="182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82"/>
      <c r="R103" s="182"/>
      <c r="S103" s="182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82"/>
      <c r="R104" s="182"/>
      <c r="S104" s="182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82"/>
      <c r="R105" s="182"/>
      <c r="S105" s="182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183"/>
      <c r="R107" s="184"/>
      <c r="S107" s="185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186"/>
      <c r="R108" s="187"/>
      <c r="S108" s="188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189"/>
      <c r="R109" s="190"/>
      <c r="S109" s="191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82"/>
      <c r="R110" s="182"/>
      <c r="S110" s="182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192"/>
      <c r="R111" s="192"/>
      <c r="S111" s="192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192"/>
      <c r="R112" s="192"/>
      <c r="S112" s="192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82"/>
      <c r="R113" s="182"/>
      <c r="S113" s="182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82"/>
      <c r="R114" s="182"/>
      <c r="S114" s="182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82"/>
      <c r="R115" s="182"/>
      <c r="S115" s="182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171"/>
      <c r="R116" s="172"/>
      <c r="S116" s="173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174"/>
      <c r="R117" s="175"/>
      <c r="S117" s="176"/>
    </row>
    <row r="118" spans="1:19" ht="17.25" thickBot="1">
      <c r="A118" s="135" t="s">
        <v>301</v>
      </c>
      <c r="B118" s="235">
        <f>$B$37</f>
        <v>300000</v>
      </c>
      <c r="C118" s="236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177"/>
      <c r="R118" s="178"/>
      <c r="S118" s="17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192"/>
      <c r="R121" s="192"/>
      <c r="S121" s="192"/>
    </row>
    <row r="122" spans="1:19" ht="17.25" thickBot="1">
      <c r="A122" s="116" t="s">
        <v>298</v>
      </c>
      <c r="B122" s="193" t="s">
        <v>49</v>
      </c>
      <c r="C122" s="195"/>
      <c r="D122" s="193" t="s">
        <v>58</v>
      </c>
      <c r="E122" s="194"/>
      <c r="F122" s="195"/>
      <c r="G122" s="196">
        <f>_xlfn.IFNA(VLOOKUP(B122, 현재가테이블!$B$2:$D$200, 2, FALSE), "-")</f>
        <v>68581000</v>
      </c>
      <c r="H122" s="197"/>
      <c r="I122" s="198"/>
      <c r="J122" s="193" t="s">
        <v>59</v>
      </c>
      <c r="K122" s="194"/>
      <c r="L122" s="195"/>
      <c r="M122" s="199">
        <f>_xlfn.IFNA(VLOOKUP(B122, 현재가테이블!$B$2:$D$200, 3, FALSE), "-")</f>
        <v>-2.7047857000000002E-3</v>
      </c>
      <c r="N122" s="200"/>
      <c r="O122" s="201"/>
      <c r="Q122" s="192"/>
      <c r="R122" s="192"/>
      <c r="S122" s="192"/>
    </row>
    <row r="123" spans="1:19" ht="17.25" thickBot="1">
      <c r="A123" s="237" t="s">
        <v>55</v>
      </c>
      <c r="B123" s="233" t="str">
        <f>TEXT($G$1, "[$-ko-KR]yyyy-mm-dd(ddd) ") &amp; "오전 00:00"</f>
        <v>2021-05-04(화) 오전 00:00</v>
      </c>
      <c r="C123" s="234"/>
      <c r="D123" s="206" t="str">
        <f>TEXT($G$1, "[$-ko-KR]yyyy-mm-dd(ddd) ") &amp; "오후 14:00"</f>
        <v>2021-05-04(화) 오후 14:00</v>
      </c>
      <c r="E123" s="207"/>
      <c r="F123" s="208"/>
      <c r="G123" s="206" t="str">
        <f>TEXT($G$1, "[$-ko-KR]yyyy-mm-dd(ddd) ") &amp; "오후 19:00"</f>
        <v>2021-05-04(화) 오후 19:00</v>
      </c>
      <c r="H123" s="207"/>
      <c r="I123" s="208"/>
      <c r="J123" s="206" t="str">
        <f>TEXT($G$1, "[$-ko-KR]yyyy-mm-dd(ddd) ") &amp; "오후 21:00"</f>
        <v>2021-05-04(화) 오후 21:00</v>
      </c>
      <c r="K123" s="207"/>
      <c r="L123" s="208"/>
      <c r="M123" s="206" t="str">
        <f>TEXT($G$1+1, "[$-ko-KR]yyyy-mm-dd(ddd) ") &amp; "오전 00:00"</f>
        <v>2021-05-05(수) 오전 00:00</v>
      </c>
      <c r="N123" s="207"/>
      <c r="O123" s="208"/>
      <c r="Q123" s="192"/>
      <c r="R123" s="192"/>
      <c r="S123" s="192"/>
    </row>
    <row r="124" spans="1:19" ht="17.25" thickBot="1">
      <c r="A124" s="238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2"/>
      <c r="R124" s="182"/>
      <c r="S124" s="182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192"/>
      <c r="R125" s="192"/>
      <c r="S125" s="192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192"/>
      <c r="R126" s="192"/>
      <c r="S126" s="192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82"/>
      <c r="R127" s="182"/>
      <c r="S127" s="182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82"/>
      <c r="R128" s="182"/>
      <c r="S128" s="182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82"/>
      <c r="R129" s="182"/>
      <c r="S129" s="182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82"/>
      <c r="R130" s="182"/>
      <c r="S130" s="182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82"/>
      <c r="R131" s="182"/>
      <c r="S131" s="182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82"/>
      <c r="R132" s="182"/>
      <c r="S132" s="182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183"/>
      <c r="R134" s="184"/>
      <c r="S134" s="185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186"/>
      <c r="R135" s="187"/>
      <c r="S135" s="188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189"/>
      <c r="R136" s="190"/>
      <c r="S136" s="191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82"/>
      <c r="R137" s="182"/>
      <c r="S137" s="182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192"/>
      <c r="R138" s="192"/>
      <c r="S138" s="192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192"/>
      <c r="R139" s="192"/>
      <c r="S139" s="192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82"/>
      <c r="R140" s="182"/>
      <c r="S140" s="182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82"/>
      <c r="R141" s="182"/>
      <c r="S141" s="182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82"/>
      <c r="R142" s="182"/>
      <c r="S142" s="182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1"/>
      <c r="R143" s="172"/>
      <c r="S143" s="17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4"/>
      <c r="R144" s="175"/>
      <c r="S144" s="176"/>
    </row>
    <row r="145" spans="1:19" ht="17.25" thickBot="1">
      <c r="A145" s="135" t="s">
        <v>301</v>
      </c>
      <c r="B145" s="235">
        <f>$B$37</f>
        <v>300000</v>
      </c>
      <c r="C145" s="236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177"/>
      <c r="R145" s="178"/>
      <c r="S145" s="17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192"/>
      <c r="R148" s="192"/>
      <c r="S148" s="192"/>
    </row>
    <row r="149" spans="1:19" ht="17.25" thickBot="1">
      <c r="A149" s="116" t="s">
        <v>298</v>
      </c>
      <c r="B149" s="193" t="s">
        <v>49</v>
      </c>
      <c r="C149" s="195"/>
      <c r="D149" s="193" t="s">
        <v>58</v>
      </c>
      <c r="E149" s="194"/>
      <c r="F149" s="195"/>
      <c r="G149" s="196">
        <f>_xlfn.IFNA(VLOOKUP(B149, 현재가테이블!$B$2:$D$200, 2, FALSE), "-")</f>
        <v>68581000</v>
      </c>
      <c r="H149" s="197"/>
      <c r="I149" s="198"/>
      <c r="J149" s="193" t="s">
        <v>59</v>
      </c>
      <c r="K149" s="194"/>
      <c r="L149" s="195"/>
      <c r="M149" s="199">
        <f>_xlfn.IFNA(VLOOKUP(B149, 현재가테이블!$B$2:$D$200, 3, FALSE), "-")</f>
        <v>-2.7047857000000002E-3</v>
      </c>
      <c r="N149" s="200"/>
      <c r="O149" s="201"/>
      <c r="Q149" s="192"/>
      <c r="R149" s="192"/>
      <c r="S149" s="192"/>
    </row>
    <row r="150" spans="1:19" ht="17.25" thickBot="1">
      <c r="A150" s="237" t="s">
        <v>55</v>
      </c>
      <c r="B150" s="233" t="str">
        <f>TEXT($G$1, "[$-ko-KR]yyyy-mm-dd(ddd) ") &amp; "오전 00:00"</f>
        <v>2021-05-04(화) 오전 00:00</v>
      </c>
      <c r="C150" s="234"/>
      <c r="D150" s="206" t="str">
        <f>TEXT($G$1, "[$-ko-KR]yyyy-mm-dd(ddd) ") &amp; "오후 14:00"</f>
        <v>2021-05-04(화) 오후 14:00</v>
      </c>
      <c r="E150" s="207"/>
      <c r="F150" s="208"/>
      <c r="G150" s="206" t="str">
        <f>TEXT($G$1, "[$-ko-KR]yyyy-mm-dd(ddd) ") &amp; "오후 19:00"</f>
        <v>2021-05-04(화) 오후 19:00</v>
      </c>
      <c r="H150" s="207"/>
      <c r="I150" s="208"/>
      <c r="J150" s="206" t="str">
        <f>TEXT($G$1, "[$-ko-KR]yyyy-mm-dd(ddd) ") &amp; "오후 21:00"</f>
        <v>2021-05-04(화) 오후 21:00</v>
      </c>
      <c r="K150" s="207"/>
      <c r="L150" s="208"/>
      <c r="M150" s="206" t="str">
        <f>TEXT($G$1+1, "[$-ko-KR]yyyy-mm-dd(ddd) ") &amp; "오전 00:00"</f>
        <v>2021-05-05(수) 오전 00:00</v>
      </c>
      <c r="N150" s="207"/>
      <c r="O150" s="208"/>
      <c r="Q150" s="192"/>
      <c r="R150" s="192"/>
      <c r="S150" s="192"/>
    </row>
    <row r="151" spans="1:19" ht="17.25" thickBot="1">
      <c r="A151" s="238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2"/>
      <c r="R151" s="182"/>
      <c r="S151" s="182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192"/>
      <c r="R152" s="192"/>
      <c r="S152" s="192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192"/>
      <c r="R153" s="192"/>
      <c r="S153" s="192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82"/>
      <c r="R154" s="182"/>
      <c r="S154" s="182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82"/>
      <c r="R155" s="182"/>
      <c r="S155" s="182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82"/>
      <c r="R156" s="182"/>
      <c r="S156" s="182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82"/>
      <c r="R157" s="182"/>
      <c r="S157" s="182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82"/>
      <c r="R158" s="182"/>
      <c r="S158" s="182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82"/>
      <c r="R159" s="182"/>
      <c r="S159" s="182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183"/>
      <c r="R161" s="184"/>
      <c r="S161" s="185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186"/>
      <c r="R162" s="187"/>
      <c r="S162" s="188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189"/>
      <c r="R163" s="190"/>
      <c r="S163" s="191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82"/>
      <c r="R164" s="182"/>
      <c r="S164" s="182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192"/>
      <c r="R165" s="192"/>
      <c r="S165" s="192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192"/>
      <c r="R166" s="192"/>
      <c r="S166" s="192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82"/>
      <c r="R167" s="182"/>
      <c r="S167" s="182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82"/>
      <c r="R168" s="182"/>
      <c r="S168" s="182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82"/>
      <c r="R169" s="182"/>
      <c r="S169" s="182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171"/>
      <c r="R170" s="172"/>
      <c r="S170" s="173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174"/>
      <c r="R171" s="175"/>
      <c r="S171" s="176"/>
    </row>
    <row r="172" spans="1:19" ht="17.25" thickBot="1">
      <c r="A172" s="135" t="s">
        <v>301</v>
      </c>
      <c r="B172" s="235">
        <f>$B$37</f>
        <v>300000</v>
      </c>
      <c r="C172" s="236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177"/>
      <c r="R172" s="178"/>
      <c r="S172" s="17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192"/>
      <c r="R175" s="192"/>
      <c r="S175" s="192"/>
    </row>
    <row r="176" spans="1:19" ht="17.25" thickBot="1">
      <c r="A176" s="116" t="s">
        <v>298</v>
      </c>
      <c r="B176" s="193" t="s">
        <v>49</v>
      </c>
      <c r="C176" s="195"/>
      <c r="D176" s="193" t="s">
        <v>58</v>
      </c>
      <c r="E176" s="194"/>
      <c r="F176" s="195"/>
      <c r="G176" s="196">
        <f>_xlfn.IFNA(VLOOKUP(B176, 현재가테이블!$B$2:$D$200, 2, FALSE), "-")</f>
        <v>68581000</v>
      </c>
      <c r="H176" s="197"/>
      <c r="I176" s="198"/>
      <c r="J176" s="193" t="s">
        <v>59</v>
      </c>
      <c r="K176" s="194"/>
      <c r="L176" s="195"/>
      <c r="M176" s="199">
        <f>_xlfn.IFNA(VLOOKUP(B176, 현재가테이블!$B$2:$D$200, 3, FALSE), "-")</f>
        <v>-2.7047857000000002E-3</v>
      </c>
      <c r="N176" s="200"/>
      <c r="O176" s="201"/>
      <c r="Q176" s="192"/>
      <c r="R176" s="192"/>
      <c r="S176" s="192"/>
    </row>
    <row r="177" spans="1:19" ht="17.25" thickBot="1">
      <c r="A177" s="237" t="s">
        <v>55</v>
      </c>
      <c r="B177" s="233" t="str">
        <f>TEXT($G$1, "[$-ko-KR]yyyy-mm-dd(ddd) ") &amp; "오전 00:00"</f>
        <v>2021-05-04(화) 오전 00:00</v>
      </c>
      <c r="C177" s="234"/>
      <c r="D177" s="206" t="str">
        <f>TEXT($G$1, "[$-ko-KR]yyyy-mm-dd(ddd) ") &amp; "오후 14:00"</f>
        <v>2021-05-04(화) 오후 14:00</v>
      </c>
      <c r="E177" s="207"/>
      <c r="F177" s="208"/>
      <c r="G177" s="206" t="str">
        <f>TEXT($G$1, "[$-ko-KR]yyyy-mm-dd(ddd) ") &amp; "오후 19:00"</f>
        <v>2021-05-04(화) 오후 19:00</v>
      </c>
      <c r="H177" s="207"/>
      <c r="I177" s="208"/>
      <c r="J177" s="206" t="str">
        <f>TEXT($G$1, "[$-ko-KR]yyyy-mm-dd(ddd) ") &amp; "오후 21:00"</f>
        <v>2021-05-04(화) 오후 21:00</v>
      </c>
      <c r="K177" s="207"/>
      <c r="L177" s="208"/>
      <c r="M177" s="206" t="str">
        <f>TEXT($G$1+1, "[$-ko-KR]yyyy-mm-dd(ddd) ") &amp; "오전 00:00"</f>
        <v>2021-05-05(수) 오전 00:00</v>
      </c>
      <c r="N177" s="207"/>
      <c r="O177" s="208"/>
      <c r="Q177" s="192"/>
      <c r="R177" s="192"/>
      <c r="S177" s="192"/>
    </row>
    <row r="178" spans="1:19" ht="17.25" thickBot="1">
      <c r="A178" s="238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2"/>
      <c r="R178" s="182"/>
      <c r="S178" s="182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192"/>
      <c r="R179" s="192"/>
      <c r="S179" s="192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192"/>
      <c r="R180" s="192"/>
      <c r="S180" s="192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82"/>
      <c r="R181" s="182"/>
      <c r="S181" s="182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82"/>
      <c r="R182" s="182"/>
      <c r="S182" s="182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82"/>
      <c r="R183" s="182"/>
      <c r="S183" s="182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82"/>
      <c r="R184" s="182"/>
      <c r="S184" s="182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82"/>
      <c r="R185" s="182"/>
      <c r="S185" s="182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82"/>
      <c r="R186" s="182"/>
      <c r="S186" s="182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183"/>
      <c r="R188" s="184"/>
      <c r="S188" s="185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186"/>
      <c r="R189" s="187"/>
      <c r="S189" s="188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189"/>
      <c r="R190" s="190"/>
      <c r="S190" s="191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82"/>
      <c r="R191" s="182"/>
      <c r="S191" s="182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192"/>
      <c r="R192" s="192"/>
      <c r="S192" s="192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192"/>
      <c r="R193" s="192"/>
      <c r="S193" s="192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82"/>
      <c r="R194" s="182"/>
      <c r="S194" s="182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82"/>
      <c r="R195" s="182"/>
      <c r="S195" s="182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82"/>
      <c r="R196" s="182"/>
      <c r="S196" s="182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171"/>
      <c r="R197" s="172"/>
      <c r="S197" s="173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174"/>
      <c r="R198" s="175"/>
      <c r="S198" s="176"/>
    </row>
    <row r="199" spans="1:19" ht="17.25" thickBot="1">
      <c r="A199" s="135" t="s">
        <v>301</v>
      </c>
      <c r="B199" s="235">
        <f>$B$37</f>
        <v>300000</v>
      </c>
      <c r="C199" s="236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177"/>
      <c r="R199" s="178"/>
      <c r="S199" s="17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224">
        <v>44321</v>
      </c>
      <c r="H1" s="225"/>
      <c r="I1" s="226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20" t="s">
        <v>3</v>
      </c>
      <c r="B2" s="227" t="s">
        <v>4</v>
      </c>
      <c r="C2" s="228"/>
      <c r="D2" s="228"/>
      <c r="E2" s="228"/>
      <c r="F2" s="229"/>
      <c r="G2" s="221" t="s">
        <v>46</v>
      </c>
      <c r="H2" s="222"/>
      <c r="I2" s="223"/>
      <c r="J2" s="1" t="s">
        <v>3</v>
      </c>
      <c r="K2" s="227" t="s">
        <v>5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21" t="s">
        <v>7</v>
      </c>
      <c r="B3" s="218" t="s">
        <v>8</v>
      </c>
      <c r="C3" s="219"/>
      <c r="D3" s="219"/>
      <c r="E3" s="219"/>
      <c r="F3" s="220"/>
      <c r="G3" s="21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15"/>
      <c r="I3" s="216"/>
      <c r="J3" s="4" t="s">
        <v>7</v>
      </c>
      <c r="K3" s="218" t="s">
        <v>9</v>
      </c>
      <c r="L3" s="219"/>
      <c r="M3" s="219"/>
      <c r="N3" s="219"/>
      <c r="O3" s="220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8" t="s">
        <v>12</v>
      </c>
      <c r="C4" s="219"/>
      <c r="D4" s="219"/>
      <c r="E4" s="219"/>
      <c r="F4" s="220"/>
      <c r="G4" s="221" t="s">
        <v>44</v>
      </c>
      <c r="H4" s="222"/>
      <c r="I4" s="223"/>
      <c r="J4" s="4" t="s">
        <v>11</v>
      </c>
      <c r="K4" s="218" t="s">
        <v>13</v>
      </c>
      <c r="L4" s="219"/>
      <c r="M4" s="219"/>
      <c r="N4" s="219"/>
      <c r="O4" s="220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8" t="s">
        <v>16</v>
      </c>
      <c r="C5" s="219"/>
      <c r="D5" s="219"/>
      <c r="E5" s="219"/>
      <c r="F5" s="220"/>
      <c r="G5" s="21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15"/>
      <c r="I5" s="216"/>
      <c r="J5" s="4" t="s">
        <v>15</v>
      </c>
      <c r="K5" s="218" t="s">
        <v>17</v>
      </c>
      <c r="L5" s="219"/>
      <c r="M5" s="219"/>
      <c r="N5" s="219"/>
      <c r="O5" s="220"/>
    </row>
    <row r="6" spans="1:19">
      <c r="A6" s="121" t="s">
        <v>18</v>
      </c>
      <c r="B6" s="218" t="s">
        <v>19</v>
      </c>
      <c r="C6" s="219"/>
      <c r="D6" s="219"/>
      <c r="E6" s="219"/>
      <c r="F6" s="220"/>
      <c r="G6" s="221" t="s">
        <v>45</v>
      </c>
      <c r="H6" s="222"/>
      <c r="I6" s="223"/>
      <c r="J6" s="4" t="s">
        <v>18</v>
      </c>
      <c r="K6" s="218" t="s">
        <v>20</v>
      </c>
      <c r="L6" s="219"/>
      <c r="M6" s="219"/>
      <c r="N6" s="219"/>
      <c r="O6" s="220"/>
    </row>
    <row r="7" spans="1:19" ht="17.25" thickBot="1">
      <c r="A7" s="121" t="s">
        <v>21</v>
      </c>
      <c r="B7" s="218" t="s">
        <v>22</v>
      </c>
      <c r="C7" s="219"/>
      <c r="D7" s="219"/>
      <c r="E7" s="219"/>
      <c r="F7" s="220"/>
      <c r="G7" s="21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15"/>
      <c r="I7" s="216"/>
      <c r="J7" s="4" t="s">
        <v>21</v>
      </c>
      <c r="K7" s="218" t="s">
        <v>23</v>
      </c>
      <c r="L7" s="219"/>
      <c r="M7" s="219"/>
      <c r="N7" s="219"/>
      <c r="O7" s="220"/>
    </row>
    <row r="8" spans="1:19" ht="17.25" thickBot="1">
      <c r="A8" s="121" t="s">
        <v>24</v>
      </c>
      <c r="B8" s="218" t="s">
        <v>25</v>
      </c>
      <c r="C8" s="219"/>
      <c r="D8" s="219"/>
      <c r="E8" s="219"/>
      <c r="F8" s="220"/>
      <c r="G8" s="221" t="s">
        <v>285</v>
      </c>
      <c r="H8" s="222"/>
      <c r="I8" s="223"/>
      <c r="J8" s="4" t="s">
        <v>24</v>
      </c>
      <c r="K8" s="218" t="s">
        <v>26</v>
      </c>
      <c r="L8" s="219"/>
      <c r="M8" s="219"/>
      <c r="N8" s="219"/>
      <c r="O8" s="220"/>
      <c r="Q8" s="193" t="s">
        <v>27</v>
      </c>
      <c r="R8" s="195"/>
    </row>
    <row r="9" spans="1:19" ht="17.25" thickBot="1">
      <c r="A9" s="121" t="s">
        <v>28</v>
      </c>
      <c r="B9" s="218"/>
      <c r="C9" s="219"/>
      <c r="D9" s="219"/>
      <c r="E9" s="219"/>
      <c r="F9" s="220"/>
      <c r="G9" s="21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15"/>
      <c r="I9" s="216"/>
      <c r="J9" s="4" t="s">
        <v>28</v>
      </c>
      <c r="K9" s="218" t="s">
        <v>293</v>
      </c>
      <c r="L9" s="219"/>
      <c r="M9" s="219"/>
      <c r="N9" s="219"/>
      <c r="O9" s="220"/>
      <c r="Q9" s="2" t="s">
        <v>29</v>
      </c>
      <c r="R9" s="6">
        <v>10</v>
      </c>
    </row>
    <row r="10" spans="1:19">
      <c r="A10" s="121" t="s">
        <v>30</v>
      </c>
      <c r="B10" s="218"/>
      <c r="C10" s="219"/>
      <c r="D10" s="219"/>
      <c r="E10" s="219"/>
      <c r="F10" s="220"/>
      <c r="G10" s="221" t="s">
        <v>47</v>
      </c>
      <c r="H10" s="222"/>
      <c r="I10" s="223"/>
      <c r="J10" s="4" t="s">
        <v>30</v>
      </c>
      <c r="K10" s="218"/>
      <c r="L10" s="219"/>
      <c r="M10" s="219"/>
      <c r="N10" s="219"/>
      <c r="O10" s="220"/>
      <c r="Q10" s="2" t="s">
        <v>31</v>
      </c>
      <c r="R10" s="6">
        <v>100</v>
      </c>
    </row>
    <row r="11" spans="1:19" ht="17.25" thickBot="1">
      <c r="A11" s="122" t="s">
        <v>32</v>
      </c>
      <c r="B11" s="211"/>
      <c r="C11" s="212"/>
      <c r="D11" s="212"/>
      <c r="E11" s="212"/>
      <c r="F11" s="213"/>
      <c r="G11" s="21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5"/>
      <c r="I11" s="216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192"/>
      <c r="R13" s="192"/>
      <c r="S13" s="192"/>
    </row>
    <row r="14" spans="1:19" ht="17.25" customHeight="1" thickBot="1">
      <c r="A14" s="153" t="s">
        <v>35</v>
      </c>
      <c r="B14" s="193" t="s">
        <v>36</v>
      </c>
      <c r="C14" s="195"/>
      <c r="D14" s="193" t="s">
        <v>37</v>
      </c>
      <c r="E14" s="194"/>
      <c r="F14" s="195"/>
      <c r="G14" s="196">
        <f>_xlfn.IFNA(VLOOKUP(B14, 현재가테이블!$B$2:$D$200, 2, FALSE), "-")</f>
        <v>68581000</v>
      </c>
      <c r="H14" s="197"/>
      <c r="I14" s="198"/>
      <c r="J14" s="193" t="s">
        <v>38</v>
      </c>
      <c r="K14" s="194"/>
      <c r="L14" s="195"/>
      <c r="M14" s="199">
        <f>_xlfn.IFNA(VLOOKUP(B14, 현재가테이블!$B$2:$D$200, 3, FALSE), "-")</f>
        <v>-2.7047857000000002E-3</v>
      </c>
      <c r="N14" s="200"/>
      <c r="O14" s="201"/>
      <c r="Q14" s="192"/>
      <c r="R14" s="192"/>
      <c r="S14" s="192"/>
    </row>
    <row r="15" spans="1:19" ht="17.25" customHeight="1" thickBot="1">
      <c r="A15" s="230" t="s">
        <v>39</v>
      </c>
      <c r="B15" s="231" t="str">
        <f>TEXT($G$1, "[$-ko-KR]yyyy-mm-dd(ddd) ") &amp; "오전 00:00"</f>
        <v>2021-05-05(수) 오전 00:00</v>
      </c>
      <c r="C15" s="232"/>
      <c r="D15" s="206" t="str">
        <f>TEXT($G$1, "[$-ko-KR]yyyy-mm-dd(ddd) ") &amp; "오후 14:00"</f>
        <v>2021-05-05(수) 오후 14:00</v>
      </c>
      <c r="E15" s="207"/>
      <c r="F15" s="208"/>
      <c r="G15" s="206" t="str">
        <f>TEXT($G$1, "[$-ko-KR]yyyy-mm-dd(ddd) ") &amp; "오후 19:00"</f>
        <v>2021-05-05(수) 오후 19:00</v>
      </c>
      <c r="H15" s="207"/>
      <c r="I15" s="208"/>
      <c r="J15" s="206" t="str">
        <f>TEXT($G$1, "[$-ko-KR]yyyy-mm-dd(ddd) ") &amp; "오후 21:00"</f>
        <v>2021-05-05(수) 오후 21:00</v>
      </c>
      <c r="K15" s="207"/>
      <c r="L15" s="208"/>
      <c r="M15" s="206" t="str">
        <f>TEXT($G$1+1, "[$-ko-KR]yyyy-mm-dd(ddd) ") &amp; "오전 00:00"</f>
        <v>2021-05-06(목) 오전 00:00</v>
      </c>
      <c r="N15" s="207"/>
      <c r="O15" s="208"/>
      <c r="Q15" s="192"/>
      <c r="R15" s="192"/>
      <c r="S15" s="192"/>
    </row>
    <row r="16" spans="1:19" ht="17.25" customHeight="1" thickBot="1">
      <c r="A16" s="230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2"/>
      <c r="R16" s="182"/>
      <c r="S16" s="182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2"/>
      <c r="R17" s="192"/>
      <c r="S17" s="192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2"/>
      <c r="R18" s="192"/>
      <c r="S18" s="192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2"/>
      <c r="R19" s="182"/>
      <c r="S19" s="182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2"/>
      <c r="R20" s="182"/>
      <c r="S20" s="182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2"/>
      <c r="R21" s="182"/>
      <c r="S21" s="182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2"/>
      <c r="R22" s="182"/>
      <c r="S22" s="182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2"/>
      <c r="R23" s="182"/>
      <c r="S23" s="182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2"/>
      <c r="R24" s="182"/>
      <c r="S24" s="182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3"/>
      <c r="R26" s="184"/>
      <c r="S26" s="185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6"/>
      <c r="R27" s="187"/>
      <c r="S27" s="188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9"/>
      <c r="R28" s="190"/>
      <c r="S28" s="191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2"/>
      <c r="R29" s="182"/>
      <c r="S29" s="182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2"/>
      <c r="R32" s="182"/>
      <c r="S32" s="182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2"/>
      <c r="R33" s="182"/>
      <c r="S33" s="182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2"/>
      <c r="R34" s="182"/>
      <c r="S34" s="182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1"/>
      <c r="R35" s="172"/>
      <c r="S35" s="173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4"/>
      <c r="R36" s="175"/>
      <c r="S36" s="176"/>
    </row>
    <row r="37" spans="1:19" ht="17.25" customHeight="1" thickBot="1">
      <c r="A37" s="135" t="s">
        <v>42</v>
      </c>
      <c r="B37" s="235">
        <v>150000</v>
      </c>
      <c r="C37" s="23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7"/>
      <c r="R37" s="178"/>
      <c r="S37" s="17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192"/>
      <c r="R40" s="192"/>
      <c r="S40" s="192"/>
    </row>
    <row r="41" spans="1:19" ht="17.25" customHeight="1" thickBot="1">
      <c r="A41" s="153" t="s">
        <v>298</v>
      </c>
      <c r="B41" s="193" t="s">
        <v>49</v>
      </c>
      <c r="C41" s="195"/>
      <c r="D41" s="193" t="s">
        <v>58</v>
      </c>
      <c r="E41" s="194"/>
      <c r="F41" s="195"/>
      <c r="G41" s="196">
        <f>_xlfn.IFNA(VLOOKUP(B41, 현재가테이블!$B$2:$D$200, 2, FALSE), "-")</f>
        <v>68581000</v>
      </c>
      <c r="H41" s="197"/>
      <c r="I41" s="198"/>
      <c r="J41" s="193" t="s">
        <v>59</v>
      </c>
      <c r="K41" s="194"/>
      <c r="L41" s="195"/>
      <c r="M41" s="199">
        <f>_xlfn.IFNA(VLOOKUP(B41, 현재가테이블!$B$2:$D$200, 3, FALSE), "-")</f>
        <v>-2.7047857000000002E-3</v>
      </c>
      <c r="N41" s="200"/>
      <c r="O41" s="201"/>
      <c r="Q41" s="192"/>
      <c r="R41" s="192"/>
      <c r="S41" s="192"/>
    </row>
    <row r="42" spans="1:19" ht="17.25" customHeight="1" thickBot="1">
      <c r="A42" s="237" t="s">
        <v>55</v>
      </c>
      <c r="B42" s="233" t="str">
        <f>TEXT($G$1, "[$-ko-KR]yyyy-mm-dd(ddd) ") &amp; "오전 00:00"</f>
        <v>2021-05-05(수) 오전 00:00</v>
      </c>
      <c r="C42" s="234"/>
      <c r="D42" s="206" t="str">
        <f>TEXT($G$1, "[$-ko-KR]yyyy-mm-dd(ddd) ") &amp; "오후 14:00"</f>
        <v>2021-05-05(수) 오후 14:00</v>
      </c>
      <c r="E42" s="207"/>
      <c r="F42" s="208"/>
      <c r="G42" s="206" t="str">
        <f>TEXT($G$1, "[$-ko-KR]yyyy-mm-dd(ddd) ") &amp; "오후 19:00"</f>
        <v>2021-05-05(수) 오후 19:00</v>
      </c>
      <c r="H42" s="207"/>
      <c r="I42" s="208"/>
      <c r="J42" s="206" t="str">
        <f>TEXT($G$1, "[$-ko-KR]yyyy-mm-dd(ddd) ") &amp; "오후 21:00"</f>
        <v>2021-05-05(수) 오후 21:00</v>
      </c>
      <c r="K42" s="207"/>
      <c r="L42" s="208"/>
      <c r="M42" s="206" t="str">
        <f>TEXT($G$1+1, "[$-ko-KR]yyyy-mm-dd(ddd) ") &amp; "오전 00:00"</f>
        <v>2021-05-06(목) 오전 00:00</v>
      </c>
      <c r="N42" s="207"/>
      <c r="O42" s="208"/>
      <c r="Q42" s="192"/>
      <c r="R42" s="192"/>
      <c r="S42" s="192"/>
    </row>
    <row r="43" spans="1:19" ht="17.25" customHeight="1" thickBot="1">
      <c r="A43" s="238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2"/>
      <c r="R43" s="182"/>
      <c r="S43" s="182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192"/>
      <c r="R44" s="192"/>
      <c r="S44" s="192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192"/>
      <c r="R45" s="192"/>
      <c r="S45" s="192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182"/>
      <c r="R46" s="182"/>
      <c r="S46" s="182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182"/>
      <c r="R47" s="182"/>
      <c r="S47" s="182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182"/>
      <c r="R48" s="182"/>
      <c r="S48" s="182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>
        <v>93.6</v>
      </c>
      <c r="N49" s="107">
        <f>IF(ISNUMBER(M49), (M49 - $B49) / $B49, "")</f>
        <v>7.534983853605905E-3</v>
      </c>
      <c r="O49" s="108">
        <f>IF(ISNUMBER(M49), $B64 * N49, "")</f>
        <v>1130.2475780408859</v>
      </c>
      <c r="Q49" s="182"/>
      <c r="R49" s="182"/>
      <c r="S49" s="182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182"/>
      <c r="R50" s="182"/>
      <c r="S50" s="182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182"/>
      <c r="R51" s="182"/>
      <c r="S51" s="182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>
        <v>18.7</v>
      </c>
      <c r="N53" s="25">
        <f t="shared" si="21"/>
        <v>-4.102564102564106E-2</v>
      </c>
      <c r="O53" s="104">
        <f>IF(ISNUMBER(M53), $B64 * N53, "")</f>
        <v>-6153.8461538461588</v>
      </c>
      <c r="Q53" s="183"/>
      <c r="R53" s="184"/>
      <c r="S53" s="185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186"/>
      <c r="R54" s="187"/>
      <c r="S54" s="188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189"/>
      <c r="R55" s="190"/>
      <c r="S55" s="191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182"/>
      <c r="R56" s="182"/>
      <c r="S56" s="182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192"/>
      <c r="R57" s="192"/>
      <c r="S57" s="192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192"/>
      <c r="R58" s="192"/>
      <c r="S58" s="192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>
        <v>51.5</v>
      </c>
      <c r="N59" s="107">
        <f>IF(ISNUMBER(M59), (M59 - $B59) / $B59, "")</f>
        <v>0.12938596491228066</v>
      </c>
      <c r="O59" s="108">
        <f>IF(ISNUMBER(M59), $B64 * N59, "")</f>
        <v>19407.8947368421</v>
      </c>
      <c r="Q59" s="182"/>
      <c r="R59" s="182"/>
      <c r="S59" s="182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182"/>
      <c r="R60" s="182"/>
      <c r="S60" s="182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82"/>
      <c r="R61" s="182"/>
      <c r="S61" s="182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1"/>
      <c r="R62" s="172"/>
      <c r="S62" s="17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4"/>
      <c r="R63" s="175"/>
      <c r="S63" s="176"/>
    </row>
    <row r="64" spans="1:19" ht="17.25" customHeight="1" thickBot="1">
      <c r="A64" s="135" t="s">
        <v>301</v>
      </c>
      <c r="B64" s="235">
        <f>$B$37</f>
        <v>150000</v>
      </c>
      <c r="C64" s="236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177"/>
      <c r="R64" s="178"/>
      <c r="S64" s="17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192"/>
      <c r="R67" s="192"/>
      <c r="S67" s="192"/>
    </row>
    <row r="68" spans="1:19" ht="17.25" thickBot="1">
      <c r="A68" s="153" t="s">
        <v>298</v>
      </c>
      <c r="B68" s="193" t="s">
        <v>49</v>
      </c>
      <c r="C68" s="195"/>
      <c r="D68" s="193" t="s">
        <v>58</v>
      </c>
      <c r="E68" s="194"/>
      <c r="F68" s="195"/>
      <c r="G68" s="196">
        <f>_xlfn.IFNA(VLOOKUP(B68, 현재가테이블!$B$2:$D$200, 2, FALSE), "-")</f>
        <v>68581000</v>
      </c>
      <c r="H68" s="197"/>
      <c r="I68" s="198"/>
      <c r="J68" s="193" t="s">
        <v>59</v>
      </c>
      <c r="K68" s="194"/>
      <c r="L68" s="195"/>
      <c r="M68" s="199">
        <f>_xlfn.IFNA(VLOOKUP(B68, 현재가테이블!$B$2:$D$200, 3, FALSE), "-")</f>
        <v>-2.7047857000000002E-3</v>
      </c>
      <c r="N68" s="200"/>
      <c r="O68" s="201"/>
      <c r="Q68" s="192"/>
      <c r="R68" s="192"/>
      <c r="S68" s="192"/>
    </row>
    <row r="69" spans="1:19" ht="17.25" thickBot="1">
      <c r="A69" s="237" t="s">
        <v>55</v>
      </c>
      <c r="B69" s="233" t="str">
        <f>TEXT($G$1, "[$-ko-KR]yyyy-mm-dd(ddd) ") &amp; "오전 00:00"</f>
        <v>2021-05-05(수) 오전 00:00</v>
      </c>
      <c r="C69" s="234"/>
      <c r="D69" s="206" t="str">
        <f>TEXT($G$1, "[$-ko-KR]yyyy-mm-dd(ddd) ") &amp; "오후 14:00"</f>
        <v>2021-05-05(수) 오후 14:00</v>
      </c>
      <c r="E69" s="207"/>
      <c r="F69" s="208"/>
      <c r="G69" s="206" t="str">
        <f>TEXT($G$1, "[$-ko-KR]yyyy-mm-dd(ddd) ") &amp; "오후 19:00"</f>
        <v>2021-05-05(수) 오후 19:00</v>
      </c>
      <c r="H69" s="207"/>
      <c r="I69" s="208"/>
      <c r="J69" s="206" t="str">
        <f>TEXT($G$1, "[$-ko-KR]yyyy-mm-dd(ddd) ") &amp; "오후 21:00"</f>
        <v>2021-05-05(수) 오후 21:00</v>
      </c>
      <c r="K69" s="207"/>
      <c r="L69" s="208"/>
      <c r="M69" s="206" t="str">
        <f>TEXT($G$1+1, "[$-ko-KR]yyyy-mm-dd(ddd) ") &amp; "오전 00:00"</f>
        <v>2021-05-06(목) 오전 00:00</v>
      </c>
      <c r="N69" s="207"/>
      <c r="O69" s="208"/>
      <c r="Q69" s="192"/>
      <c r="R69" s="192"/>
      <c r="S69" s="192"/>
    </row>
    <row r="70" spans="1:19" ht="17.25" thickBot="1">
      <c r="A70" s="238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2"/>
      <c r="R70" s="182"/>
      <c r="S70" s="182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192"/>
      <c r="R71" s="192"/>
      <c r="S71" s="192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192"/>
      <c r="R72" s="192"/>
      <c r="S72" s="192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182"/>
      <c r="R73" s="182"/>
      <c r="S73" s="182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182"/>
      <c r="R74" s="182"/>
      <c r="S74" s="182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182"/>
      <c r="R75" s="182"/>
      <c r="S75" s="182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>
        <v>699</v>
      </c>
      <c r="N76" s="107">
        <f>IF(ISNUMBER(M76), (M76 - $B76) / $B76, "")</f>
        <v>7.2085889570552147E-2</v>
      </c>
      <c r="O76" s="108">
        <f>IF(ISNUMBER(M76), $B91 * N76, "")</f>
        <v>10812.883435582822</v>
      </c>
      <c r="Q76" s="182"/>
      <c r="R76" s="182"/>
      <c r="S76" s="182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182"/>
      <c r="R77" s="182"/>
      <c r="S77" s="182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182"/>
      <c r="R78" s="182"/>
      <c r="S78" s="182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>
        <v>99.8</v>
      </c>
      <c r="N80" s="25">
        <f t="shared" si="37"/>
        <v>-4.9523809523809553E-2</v>
      </c>
      <c r="O80" s="104">
        <f>IF(ISNUMBER(M80), $B91 * N80, "")</f>
        <v>-7428.571428571433</v>
      </c>
      <c r="Q80" s="183"/>
      <c r="R80" s="184"/>
      <c r="S80" s="185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186"/>
      <c r="R81" s="187"/>
      <c r="S81" s="188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189"/>
      <c r="R82" s="190"/>
      <c r="S82" s="191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182"/>
      <c r="R83" s="182"/>
      <c r="S83" s="182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192"/>
      <c r="R84" s="192"/>
      <c r="S84" s="192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192"/>
      <c r="R85" s="192"/>
      <c r="S85" s="192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>
        <v>371</v>
      </c>
      <c r="N86" s="107">
        <f>IF(ISNUMBER(M86), (M86 - $B86) / $B86, "")</f>
        <v>-3.8860103626943004E-2</v>
      </c>
      <c r="O86" s="108">
        <f>IF(ISNUMBER(M86), $B91 * N86, "")</f>
        <v>-5829.015544041451</v>
      </c>
      <c r="Q86" s="182"/>
      <c r="R86" s="182"/>
      <c r="S86" s="182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82"/>
      <c r="R87" s="182"/>
      <c r="S87" s="182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182"/>
      <c r="R88" s="182"/>
      <c r="S88" s="182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171"/>
      <c r="R89" s="172"/>
      <c r="S89" s="173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>
        <v>401</v>
      </c>
      <c r="N90" s="25">
        <f t="shared" si="45"/>
        <v>-4.5238095238095237E-2</v>
      </c>
      <c r="O90" s="104">
        <f>IF(ISNUMBER(M90), $B91 * N90, "")</f>
        <v>-6785.7142857142853</v>
      </c>
      <c r="Q90" s="174"/>
      <c r="R90" s="175"/>
      <c r="S90" s="176"/>
    </row>
    <row r="91" spans="1:19" ht="17.25" thickBot="1">
      <c r="A91" s="135" t="s">
        <v>301</v>
      </c>
      <c r="B91" s="235">
        <f>$B$37</f>
        <v>150000</v>
      </c>
      <c r="C91" s="236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177"/>
      <c r="R91" s="178"/>
      <c r="S91" s="17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192"/>
      <c r="R94" s="192"/>
      <c r="S94" s="192"/>
    </row>
    <row r="95" spans="1:19" ht="17.25" thickBot="1">
      <c r="A95" s="153" t="s">
        <v>298</v>
      </c>
      <c r="B95" s="193" t="s">
        <v>49</v>
      </c>
      <c r="C95" s="195"/>
      <c r="D95" s="193" t="s">
        <v>58</v>
      </c>
      <c r="E95" s="194"/>
      <c r="F95" s="195"/>
      <c r="G95" s="196">
        <f>_xlfn.IFNA(VLOOKUP(B95, 현재가테이블!$B$2:$D$200, 2, FALSE), "-")</f>
        <v>68581000</v>
      </c>
      <c r="H95" s="197"/>
      <c r="I95" s="198"/>
      <c r="J95" s="193" t="s">
        <v>59</v>
      </c>
      <c r="K95" s="194"/>
      <c r="L95" s="195"/>
      <c r="M95" s="199">
        <f>_xlfn.IFNA(VLOOKUP(B95, 현재가테이블!$B$2:$D$200, 3, FALSE), "-")</f>
        <v>-2.7047857000000002E-3</v>
      </c>
      <c r="N95" s="200"/>
      <c r="O95" s="201"/>
      <c r="Q95" s="192"/>
      <c r="R95" s="192"/>
      <c r="S95" s="192"/>
    </row>
    <row r="96" spans="1:19" ht="17.25" thickBot="1">
      <c r="A96" s="237" t="s">
        <v>55</v>
      </c>
      <c r="B96" s="233" t="str">
        <f>TEXT($G$1, "[$-ko-KR]yyyy-mm-dd(ddd) ") &amp; "오전 00:00"</f>
        <v>2021-05-05(수) 오전 00:00</v>
      </c>
      <c r="C96" s="234"/>
      <c r="D96" s="206" t="str">
        <f>TEXT($G$1, "[$-ko-KR]yyyy-mm-dd(ddd) ") &amp; "오후 14:00"</f>
        <v>2021-05-05(수) 오후 14:00</v>
      </c>
      <c r="E96" s="207"/>
      <c r="F96" s="208"/>
      <c r="G96" s="206" t="str">
        <f>TEXT($G$1, "[$-ko-KR]yyyy-mm-dd(ddd) ") &amp; "오후 19:00"</f>
        <v>2021-05-05(수) 오후 19:00</v>
      </c>
      <c r="H96" s="207"/>
      <c r="I96" s="208"/>
      <c r="J96" s="206" t="str">
        <f>TEXT($G$1, "[$-ko-KR]yyyy-mm-dd(ddd) ") &amp; "오후 21:00"</f>
        <v>2021-05-05(수) 오후 21:00</v>
      </c>
      <c r="K96" s="207"/>
      <c r="L96" s="208"/>
      <c r="M96" s="206" t="str">
        <f>TEXT($G$1+1, "[$-ko-KR]yyyy-mm-dd(ddd) ") &amp; "오전 00:00"</f>
        <v>2021-05-06(목) 오전 00:00</v>
      </c>
      <c r="N96" s="207"/>
      <c r="O96" s="208"/>
      <c r="Q96" s="192"/>
      <c r="R96" s="192"/>
      <c r="S96" s="192"/>
    </row>
    <row r="97" spans="1:19" ht="17.25" thickBot="1">
      <c r="A97" s="238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2"/>
      <c r="R97" s="182"/>
      <c r="S97" s="182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192"/>
      <c r="R98" s="192"/>
      <c r="S98" s="192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192"/>
      <c r="R99" s="192"/>
      <c r="S99" s="192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182"/>
      <c r="R100" s="182"/>
      <c r="S100" s="182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182"/>
      <c r="R101" s="182"/>
      <c r="S101" s="182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182"/>
      <c r="R102" s="182"/>
      <c r="S102" s="182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>
        <v>413800</v>
      </c>
      <c r="N103" s="107">
        <f>IF(ISNUMBER(M103), (M103 - $B103) / $B103, "")</f>
        <v>7.7744497981508009E-2</v>
      </c>
      <c r="O103" s="108">
        <f>IF(ISNUMBER(M103), $B118 * N103, "")</f>
        <v>11661.674697226201</v>
      </c>
      <c r="Q103" s="182"/>
      <c r="R103" s="182"/>
      <c r="S103" s="182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182"/>
      <c r="R104" s="182"/>
      <c r="S104" s="182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182"/>
      <c r="R105" s="182"/>
      <c r="S105" s="182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>
        <v>2530</v>
      </c>
      <c r="N107" s="25">
        <f t="shared" si="53"/>
        <v>-4.3478260869565216E-2</v>
      </c>
      <c r="O107" s="104">
        <f>IF(ISNUMBER(M107), $B118 * N107, "")</f>
        <v>-6521.7391304347821</v>
      </c>
      <c r="Q107" s="183"/>
      <c r="R107" s="184"/>
      <c r="S107" s="185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186"/>
      <c r="R108" s="187"/>
      <c r="S108" s="188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189"/>
      <c r="R109" s="190"/>
      <c r="S109" s="191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182"/>
      <c r="R110" s="182"/>
      <c r="S110" s="182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192"/>
      <c r="R111" s="192"/>
      <c r="S111" s="192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192"/>
      <c r="R112" s="192"/>
      <c r="S112" s="192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>
        <v>4043000</v>
      </c>
      <c r="N113" s="107">
        <f>IF(ISNUMBER(M113), (M113 - $B113) / $B113, "")</f>
        <v>-3.9895511754927573E-2</v>
      </c>
      <c r="O113" s="108">
        <f>IF(ISNUMBER(M113), $B118 * N113, "")</f>
        <v>-5984.3267632391362</v>
      </c>
      <c r="Q113" s="182"/>
      <c r="R113" s="182"/>
      <c r="S113" s="182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182"/>
      <c r="R114" s="182"/>
      <c r="S114" s="182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182"/>
      <c r="R115" s="182"/>
      <c r="S115" s="182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171"/>
      <c r="R116" s="172"/>
      <c r="S116" s="173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>
        <v>7745</v>
      </c>
      <c r="N117" s="25">
        <f t="shared" si="61"/>
        <v>6.827586206896552E-2</v>
      </c>
      <c r="O117" s="104">
        <f>IF(ISNUMBER(M117), $B118 * N117, "")</f>
        <v>10241.379310344828</v>
      </c>
      <c r="Q117" s="174"/>
      <c r="R117" s="175"/>
      <c r="S117" s="176"/>
    </row>
    <row r="118" spans="1:19" ht="17.25" thickBot="1">
      <c r="A118" s="135" t="s">
        <v>301</v>
      </c>
      <c r="B118" s="235">
        <f>$B$37</f>
        <v>150000</v>
      </c>
      <c r="C118" s="236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177"/>
      <c r="R118" s="178"/>
      <c r="S118" s="17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192"/>
      <c r="R121" s="192"/>
      <c r="S121" s="192"/>
    </row>
    <row r="122" spans="1:19" ht="17.25" thickBot="1">
      <c r="A122" s="153" t="s">
        <v>298</v>
      </c>
      <c r="B122" s="193" t="s">
        <v>49</v>
      </c>
      <c r="C122" s="195"/>
      <c r="D122" s="193" t="s">
        <v>58</v>
      </c>
      <c r="E122" s="194"/>
      <c r="F122" s="195"/>
      <c r="G122" s="196">
        <f>_xlfn.IFNA(VLOOKUP(B122, 현재가테이블!$B$2:$D$200, 2, FALSE), "-")</f>
        <v>68581000</v>
      </c>
      <c r="H122" s="197"/>
      <c r="I122" s="198"/>
      <c r="J122" s="193" t="s">
        <v>59</v>
      </c>
      <c r="K122" s="194"/>
      <c r="L122" s="195"/>
      <c r="M122" s="199">
        <f>_xlfn.IFNA(VLOOKUP(B122, 현재가테이블!$B$2:$D$200, 3, FALSE), "-")</f>
        <v>-2.7047857000000002E-3</v>
      </c>
      <c r="N122" s="200"/>
      <c r="O122" s="201"/>
      <c r="Q122" s="192"/>
      <c r="R122" s="192"/>
      <c r="S122" s="192"/>
    </row>
    <row r="123" spans="1:19" ht="17.25" thickBot="1">
      <c r="A123" s="237" t="s">
        <v>55</v>
      </c>
      <c r="B123" s="233" t="str">
        <f>TEXT($G$1, "[$-ko-KR]yyyy-mm-dd(ddd) ") &amp; "오전 00:00"</f>
        <v>2021-05-05(수) 오전 00:00</v>
      </c>
      <c r="C123" s="234"/>
      <c r="D123" s="206" t="str">
        <f>TEXT($G$1, "[$-ko-KR]yyyy-mm-dd(ddd) ") &amp; "오후 14:00"</f>
        <v>2021-05-05(수) 오후 14:00</v>
      </c>
      <c r="E123" s="207"/>
      <c r="F123" s="208"/>
      <c r="G123" s="206" t="str">
        <f>TEXT($G$1, "[$-ko-KR]yyyy-mm-dd(ddd) ") &amp; "오후 19:00"</f>
        <v>2021-05-05(수) 오후 19:00</v>
      </c>
      <c r="H123" s="207"/>
      <c r="I123" s="208"/>
      <c r="J123" s="206" t="str">
        <f>TEXT($G$1, "[$-ko-KR]yyyy-mm-dd(ddd) ") &amp; "오후 21:00"</f>
        <v>2021-05-05(수) 오후 21:00</v>
      </c>
      <c r="K123" s="207"/>
      <c r="L123" s="208"/>
      <c r="M123" s="206" t="str">
        <f>TEXT($G$1+1, "[$-ko-KR]yyyy-mm-dd(ddd) ") &amp; "오전 00:00"</f>
        <v>2021-05-06(목) 오전 00:00</v>
      </c>
      <c r="N123" s="207"/>
      <c r="O123" s="208"/>
      <c r="Q123" s="192"/>
      <c r="R123" s="192"/>
      <c r="S123" s="192"/>
    </row>
    <row r="124" spans="1:19" ht="17.25" thickBot="1">
      <c r="A124" s="238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2"/>
      <c r="R124" s="182"/>
      <c r="S124" s="182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192"/>
      <c r="R125" s="192"/>
      <c r="S125" s="192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192"/>
      <c r="R126" s="192"/>
      <c r="S126" s="192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182"/>
      <c r="R127" s="182"/>
      <c r="S127" s="182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182"/>
      <c r="R128" s="182"/>
      <c r="S128" s="182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182"/>
      <c r="R129" s="182"/>
      <c r="S129" s="182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>
        <v>93.6</v>
      </c>
      <c r="N130" s="107">
        <f>IF(ISNUMBER(M130), (M130 - $B130) / $B130, "")</f>
        <v>7.534983853605905E-3</v>
      </c>
      <c r="O130" s="108">
        <f>IF(ISNUMBER(M130), $B145 * N130, "")</f>
        <v>1130.2475780408859</v>
      </c>
      <c r="Q130" s="182"/>
      <c r="R130" s="182"/>
      <c r="S130" s="182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182"/>
      <c r="R131" s="182"/>
      <c r="S131" s="182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182"/>
      <c r="R132" s="182"/>
      <c r="S132" s="182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>
        <v>18.7</v>
      </c>
      <c r="N134" s="25">
        <f t="shared" si="69"/>
        <v>-4.102564102564106E-2</v>
      </c>
      <c r="O134" s="104">
        <f>IF(ISNUMBER(M134), $B145 * N134, "")</f>
        <v>-6153.8461538461588</v>
      </c>
      <c r="Q134" s="183"/>
      <c r="R134" s="184"/>
      <c r="S134" s="185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186"/>
      <c r="R135" s="187"/>
      <c r="S135" s="188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189"/>
      <c r="R136" s="190"/>
      <c r="S136" s="191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182"/>
      <c r="R137" s="182"/>
      <c r="S137" s="182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192"/>
      <c r="R138" s="192"/>
      <c r="S138" s="192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192"/>
      <c r="R139" s="192"/>
      <c r="S139" s="192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>
        <v>51.5</v>
      </c>
      <c r="N140" s="107">
        <f>IF(ISNUMBER(M140), (M140 - $B140) / $B140, "")</f>
        <v>0.12938596491228066</v>
      </c>
      <c r="O140" s="108">
        <f>IF(ISNUMBER(M140), $B145 * N140, "")</f>
        <v>19407.8947368421</v>
      </c>
      <c r="Q140" s="182"/>
      <c r="R140" s="182"/>
      <c r="S140" s="182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182"/>
      <c r="R141" s="182"/>
      <c r="S141" s="182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82"/>
      <c r="R142" s="182"/>
      <c r="S142" s="182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1"/>
      <c r="R143" s="172"/>
      <c r="S143" s="17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4"/>
      <c r="R144" s="175"/>
      <c r="S144" s="176"/>
    </row>
    <row r="145" spans="1:19" ht="17.25" thickBot="1">
      <c r="A145" s="135" t="s">
        <v>301</v>
      </c>
      <c r="B145" s="235">
        <f>$B$37</f>
        <v>150000</v>
      </c>
      <c r="C145" s="236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177"/>
      <c r="R145" s="178"/>
      <c r="S145" s="17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192"/>
      <c r="R148" s="192"/>
      <c r="S148" s="192"/>
    </row>
    <row r="149" spans="1:19" ht="17.25" thickBot="1">
      <c r="A149" s="153" t="s">
        <v>298</v>
      </c>
      <c r="B149" s="193" t="s">
        <v>49</v>
      </c>
      <c r="C149" s="195"/>
      <c r="D149" s="193" t="s">
        <v>58</v>
      </c>
      <c r="E149" s="194"/>
      <c r="F149" s="195"/>
      <c r="G149" s="196">
        <f>_xlfn.IFNA(VLOOKUP(B149, 현재가테이블!$B$2:$D$200, 2, FALSE), "-")</f>
        <v>68581000</v>
      </c>
      <c r="H149" s="197"/>
      <c r="I149" s="198"/>
      <c r="J149" s="193" t="s">
        <v>59</v>
      </c>
      <c r="K149" s="194"/>
      <c r="L149" s="195"/>
      <c r="M149" s="199">
        <f>_xlfn.IFNA(VLOOKUP(B149, 현재가테이블!$B$2:$D$200, 3, FALSE), "-")</f>
        <v>-2.7047857000000002E-3</v>
      </c>
      <c r="N149" s="200"/>
      <c r="O149" s="201"/>
      <c r="Q149" s="192"/>
      <c r="R149" s="192"/>
      <c r="S149" s="192"/>
    </row>
    <row r="150" spans="1:19" ht="17.25" thickBot="1">
      <c r="A150" s="237" t="s">
        <v>55</v>
      </c>
      <c r="B150" s="233" t="str">
        <f>TEXT($G$1, "[$-ko-KR]yyyy-mm-dd(ddd) ") &amp; "오전 00:00"</f>
        <v>2021-05-05(수) 오전 00:00</v>
      </c>
      <c r="C150" s="234"/>
      <c r="D150" s="206" t="str">
        <f>TEXT($G$1, "[$-ko-KR]yyyy-mm-dd(ddd) ") &amp; "오후 14:00"</f>
        <v>2021-05-05(수) 오후 14:00</v>
      </c>
      <c r="E150" s="207"/>
      <c r="F150" s="208"/>
      <c r="G150" s="206" t="str">
        <f>TEXT($G$1, "[$-ko-KR]yyyy-mm-dd(ddd) ") &amp; "오후 19:00"</f>
        <v>2021-05-05(수) 오후 19:00</v>
      </c>
      <c r="H150" s="207"/>
      <c r="I150" s="208"/>
      <c r="J150" s="206" t="str">
        <f>TEXT($G$1, "[$-ko-KR]yyyy-mm-dd(ddd) ") &amp; "오후 21:00"</f>
        <v>2021-05-05(수) 오후 21:00</v>
      </c>
      <c r="K150" s="207"/>
      <c r="L150" s="208"/>
      <c r="M150" s="206" t="str">
        <f>TEXT($G$1+1, "[$-ko-KR]yyyy-mm-dd(ddd) ") &amp; "오전 00:00"</f>
        <v>2021-05-06(목) 오전 00:00</v>
      </c>
      <c r="N150" s="207"/>
      <c r="O150" s="208"/>
      <c r="Q150" s="192"/>
      <c r="R150" s="192"/>
      <c r="S150" s="192"/>
    </row>
    <row r="151" spans="1:19" ht="17.25" thickBot="1">
      <c r="A151" s="238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2"/>
      <c r="R151" s="182"/>
      <c r="S151" s="182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192"/>
      <c r="R152" s="192"/>
      <c r="S152" s="192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192"/>
      <c r="R153" s="192"/>
      <c r="S153" s="192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182"/>
      <c r="R154" s="182"/>
      <c r="S154" s="182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182"/>
      <c r="R155" s="182"/>
      <c r="S155" s="182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182"/>
      <c r="R156" s="182"/>
      <c r="S156" s="182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>
        <v>507</v>
      </c>
      <c r="N157" s="107">
        <f>IF(ISNUMBER(M157), (M157 - $B157) / $B157, "")</f>
        <v>-2.3121387283236993E-2</v>
      </c>
      <c r="O157" s="108">
        <f>IF(ISNUMBER(M157), $B172 * N157, "")</f>
        <v>-3468.2080924855491</v>
      </c>
      <c r="Q157" s="182"/>
      <c r="R157" s="182"/>
      <c r="S157" s="182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182"/>
      <c r="R158" s="182"/>
      <c r="S158" s="182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182"/>
      <c r="R159" s="182"/>
      <c r="S159" s="182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>
        <v>502</v>
      </c>
      <c r="N161" s="25">
        <f t="shared" si="85"/>
        <v>-3.6468330134357005E-2</v>
      </c>
      <c r="O161" s="104">
        <f>IF(ISNUMBER(M161), $B172 * N161, "")</f>
        <v>-5470.2495201535503</v>
      </c>
      <c r="Q161" s="183"/>
      <c r="R161" s="184"/>
      <c r="S161" s="185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186"/>
      <c r="R162" s="187"/>
      <c r="S162" s="188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189"/>
      <c r="R163" s="190"/>
      <c r="S163" s="191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182"/>
      <c r="R164" s="182"/>
      <c r="S164" s="182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192"/>
      <c r="R165" s="192"/>
      <c r="S165" s="192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192"/>
      <c r="R166" s="192"/>
      <c r="S166" s="192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>
        <v>378</v>
      </c>
      <c r="N167" s="107">
        <f>IF(ISNUMBER(M167), (M167 - $B167) / $B167, "")</f>
        <v>3.8461538461538464E-2</v>
      </c>
      <c r="O167" s="108">
        <f>IF(ISNUMBER(M167), $B172 * N167, "")</f>
        <v>5769.2307692307695</v>
      </c>
      <c r="Q167" s="182"/>
      <c r="R167" s="182"/>
      <c r="S167" s="182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182"/>
      <c r="R168" s="182"/>
      <c r="S168" s="182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182"/>
      <c r="R169" s="182"/>
      <c r="S169" s="182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171"/>
      <c r="R170" s="172"/>
      <c r="S170" s="173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>
        <v>153</v>
      </c>
      <c r="N171" s="25">
        <f t="shared" si="93"/>
        <v>-4.3749999999999997E-2</v>
      </c>
      <c r="O171" s="104">
        <f>IF(ISNUMBER(M171), $B172 * N171, "")</f>
        <v>-6562.5</v>
      </c>
      <c r="Q171" s="174"/>
      <c r="R171" s="175"/>
      <c r="S171" s="176"/>
    </row>
    <row r="172" spans="1:19" ht="17.25" thickBot="1">
      <c r="A172" s="135" t="s">
        <v>301</v>
      </c>
      <c r="B172" s="235">
        <f>$B$37</f>
        <v>150000</v>
      </c>
      <c r="C172" s="236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177"/>
      <c r="R172" s="178"/>
      <c r="S172" s="17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192"/>
      <c r="R175" s="192"/>
      <c r="S175" s="192"/>
    </row>
    <row r="176" spans="1:19" ht="17.25" thickBot="1">
      <c r="A176" s="153" t="s">
        <v>298</v>
      </c>
      <c r="B176" s="193" t="s">
        <v>49</v>
      </c>
      <c r="C176" s="195"/>
      <c r="D176" s="193" t="s">
        <v>58</v>
      </c>
      <c r="E176" s="194"/>
      <c r="F176" s="195"/>
      <c r="G176" s="196">
        <f>_xlfn.IFNA(VLOOKUP(B176, 현재가테이블!$B$2:$D$200, 2, FALSE), "-")</f>
        <v>68581000</v>
      </c>
      <c r="H176" s="197"/>
      <c r="I176" s="198"/>
      <c r="J176" s="193" t="s">
        <v>59</v>
      </c>
      <c r="K176" s="194"/>
      <c r="L176" s="195"/>
      <c r="M176" s="199">
        <f>_xlfn.IFNA(VLOOKUP(B176, 현재가테이블!$B$2:$D$200, 3, FALSE), "-")</f>
        <v>-2.7047857000000002E-3</v>
      </c>
      <c r="N176" s="200"/>
      <c r="O176" s="201"/>
      <c r="Q176" s="192"/>
      <c r="R176" s="192"/>
      <c r="S176" s="192"/>
    </row>
    <row r="177" spans="1:19" ht="17.25" thickBot="1">
      <c r="A177" s="237" t="s">
        <v>55</v>
      </c>
      <c r="B177" s="233" t="str">
        <f>TEXT($G$1, "[$-ko-KR]yyyy-mm-dd(ddd) ") &amp; "오전 00:00"</f>
        <v>2021-05-05(수) 오전 00:00</v>
      </c>
      <c r="C177" s="234"/>
      <c r="D177" s="206" t="str">
        <f>TEXT($G$1, "[$-ko-KR]yyyy-mm-dd(ddd) ") &amp; "오후 14:00"</f>
        <v>2021-05-05(수) 오후 14:00</v>
      </c>
      <c r="E177" s="207"/>
      <c r="F177" s="208"/>
      <c r="G177" s="206" t="str">
        <f>TEXT($G$1, "[$-ko-KR]yyyy-mm-dd(ddd) ") &amp; "오후 19:00"</f>
        <v>2021-05-05(수) 오후 19:00</v>
      </c>
      <c r="H177" s="207"/>
      <c r="I177" s="208"/>
      <c r="J177" s="206" t="str">
        <f>TEXT($G$1, "[$-ko-KR]yyyy-mm-dd(ddd) ") &amp; "오후 21:00"</f>
        <v>2021-05-05(수) 오후 21:00</v>
      </c>
      <c r="K177" s="207"/>
      <c r="L177" s="208"/>
      <c r="M177" s="206" t="str">
        <f>TEXT($G$1+1, "[$-ko-KR]yyyy-mm-dd(ddd) ") &amp; "오전 00:00"</f>
        <v>2021-05-06(목) 오전 00:00</v>
      </c>
      <c r="N177" s="207"/>
      <c r="O177" s="208"/>
      <c r="Q177" s="192"/>
      <c r="R177" s="192"/>
      <c r="S177" s="192"/>
    </row>
    <row r="178" spans="1:19" ht="17.25" thickBot="1">
      <c r="A178" s="238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2"/>
      <c r="R178" s="182"/>
      <c r="S178" s="182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192"/>
      <c r="R179" s="192"/>
      <c r="S179" s="192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192"/>
      <c r="R180" s="192"/>
      <c r="S180" s="192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182"/>
      <c r="R181" s="182"/>
      <c r="S181" s="182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182"/>
      <c r="R182" s="182"/>
      <c r="S182" s="182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182"/>
      <c r="R183" s="182"/>
      <c r="S183" s="182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>
        <v>69.599999999999994</v>
      </c>
      <c r="N184" s="107">
        <f>IF(ISNUMBER(M184), (M184 - $B184) / $B184, "")</f>
        <v>-3.6011080332410086E-2</v>
      </c>
      <c r="O184" s="108">
        <f>IF(ISNUMBER(M184), $B199 * N184, "")</f>
        <v>-5401.662049861513</v>
      </c>
      <c r="Q184" s="182"/>
      <c r="R184" s="182"/>
      <c r="S184" s="182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182"/>
      <c r="R185" s="182"/>
      <c r="S185" s="182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182"/>
      <c r="R186" s="182"/>
      <c r="S186" s="182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>
        <v>29</v>
      </c>
      <c r="N188" s="25">
        <f t="shared" si="101"/>
        <v>-3.0100334448160487E-2</v>
      </c>
      <c r="O188" s="104">
        <f>IF(ISNUMBER(M188), $B199 * N188, "")</f>
        <v>-4515.0501672240734</v>
      </c>
      <c r="Q188" s="183"/>
      <c r="R188" s="184"/>
      <c r="S188" s="185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186"/>
      <c r="R189" s="187"/>
      <c r="S189" s="188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189"/>
      <c r="R190" s="190"/>
      <c r="S190" s="191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182"/>
      <c r="R191" s="182"/>
      <c r="S191" s="182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192"/>
      <c r="R192" s="192"/>
      <c r="S192" s="192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192"/>
      <c r="R193" s="192"/>
      <c r="S193" s="192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>
        <v>215</v>
      </c>
      <c r="N194" s="107">
        <f>IF(ISNUMBER(M194), (M194 - $B194) / $B194, "")</f>
        <v>-4.8672566371681415E-2</v>
      </c>
      <c r="O194" s="108">
        <f>IF(ISNUMBER(M194), $B199 * N194, "")</f>
        <v>-7300.8849557522126</v>
      </c>
      <c r="Q194" s="182"/>
      <c r="R194" s="182"/>
      <c r="S194" s="182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182"/>
      <c r="R195" s="182"/>
      <c r="S195" s="182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182"/>
      <c r="R196" s="182"/>
      <c r="S196" s="182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171"/>
      <c r="R197" s="172"/>
      <c r="S197" s="173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>
        <v>153</v>
      </c>
      <c r="N198" s="25">
        <f t="shared" si="109"/>
        <v>-4.3749999999999997E-2</v>
      </c>
      <c r="O198" s="104">
        <f>IF(ISNUMBER(M198), $B199 * N198, "")</f>
        <v>-6562.5</v>
      </c>
      <c r="Q198" s="174"/>
      <c r="R198" s="175"/>
      <c r="S198" s="176"/>
    </row>
    <row r="199" spans="1:19" ht="17.25" thickBot="1">
      <c r="A199" s="135" t="s">
        <v>301</v>
      </c>
      <c r="B199" s="235">
        <f>$B$37</f>
        <v>150000</v>
      </c>
      <c r="C199" s="236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177"/>
      <c r="R199" s="178"/>
      <c r="S199" s="1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9" zoomScaleNormal="100" workbookViewId="0">
      <selection activeCell="N23" sqref="N23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224">
        <v>44322</v>
      </c>
      <c r="H1" s="225"/>
      <c r="I1" s="226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20" t="s">
        <v>3</v>
      </c>
      <c r="B2" s="227" t="s">
        <v>4</v>
      </c>
      <c r="C2" s="228"/>
      <c r="D2" s="228"/>
      <c r="E2" s="228"/>
      <c r="F2" s="229"/>
      <c r="G2" s="221" t="s">
        <v>46</v>
      </c>
      <c r="H2" s="222"/>
      <c r="I2" s="223"/>
      <c r="J2" s="1" t="s">
        <v>3</v>
      </c>
      <c r="K2" s="227" t="s">
        <v>5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21" t="s">
        <v>7</v>
      </c>
      <c r="B3" s="218" t="s">
        <v>8</v>
      </c>
      <c r="C3" s="219"/>
      <c r="D3" s="219"/>
      <c r="E3" s="219"/>
      <c r="F3" s="220"/>
      <c r="G3" s="21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15"/>
      <c r="I3" s="216"/>
      <c r="J3" s="4" t="s">
        <v>7</v>
      </c>
      <c r="K3" s="218" t="s">
        <v>9</v>
      </c>
      <c r="L3" s="219"/>
      <c r="M3" s="219"/>
      <c r="N3" s="219"/>
      <c r="O3" s="220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8" t="s">
        <v>12</v>
      </c>
      <c r="C4" s="219"/>
      <c r="D4" s="219"/>
      <c r="E4" s="219"/>
      <c r="F4" s="220"/>
      <c r="G4" s="221" t="s">
        <v>44</v>
      </c>
      <c r="H4" s="222"/>
      <c r="I4" s="223"/>
      <c r="J4" s="4" t="s">
        <v>11</v>
      </c>
      <c r="K4" s="218" t="s">
        <v>13</v>
      </c>
      <c r="L4" s="219"/>
      <c r="M4" s="219"/>
      <c r="N4" s="219"/>
      <c r="O4" s="220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8" t="s">
        <v>16</v>
      </c>
      <c r="C5" s="219"/>
      <c r="D5" s="219"/>
      <c r="E5" s="219"/>
      <c r="F5" s="220"/>
      <c r="G5" s="21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15"/>
      <c r="I5" s="216"/>
      <c r="J5" s="4" t="s">
        <v>15</v>
      </c>
      <c r="K5" s="218" t="s">
        <v>17</v>
      </c>
      <c r="L5" s="219"/>
      <c r="M5" s="219"/>
      <c r="N5" s="219"/>
      <c r="O5" s="220"/>
    </row>
    <row r="6" spans="1:19">
      <c r="A6" s="121" t="s">
        <v>18</v>
      </c>
      <c r="B6" s="218" t="s">
        <v>19</v>
      </c>
      <c r="C6" s="219"/>
      <c r="D6" s="219"/>
      <c r="E6" s="219"/>
      <c r="F6" s="220"/>
      <c r="G6" s="221" t="s">
        <v>45</v>
      </c>
      <c r="H6" s="222"/>
      <c r="I6" s="223"/>
      <c r="J6" s="4" t="s">
        <v>18</v>
      </c>
      <c r="K6" s="218" t="s">
        <v>20</v>
      </c>
      <c r="L6" s="219"/>
      <c r="M6" s="219"/>
      <c r="N6" s="219"/>
      <c r="O6" s="220"/>
    </row>
    <row r="7" spans="1:19" ht="17.25" thickBot="1">
      <c r="A7" s="121" t="s">
        <v>21</v>
      </c>
      <c r="B7" s="218" t="s">
        <v>22</v>
      </c>
      <c r="C7" s="219"/>
      <c r="D7" s="219"/>
      <c r="E7" s="219"/>
      <c r="F7" s="220"/>
      <c r="G7" s="21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15"/>
      <c r="I7" s="216"/>
      <c r="J7" s="4" t="s">
        <v>21</v>
      </c>
      <c r="K7" s="218" t="s">
        <v>23</v>
      </c>
      <c r="L7" s="219"/>
      <c r="M7" s="219"/>
      <c r="N7" s="219"/>
      <c r="O7" s="220"/>
    </row>
    <row r="8" spans="1:19" ht="17.25" thickBot="1">
      <c r="A8" s="121" t="s">
        <v>24</v>
      </c>
      <c r="B8" s="218" t="s">
        <v>25</v>
      </c>
      <c r="C8" s="219"/>
      <c r="D8" s="219"/>
      <c r="E8" s="219"/>
      <c r="F8" s="220"/>
      <c r="G8" s="221" t="s">
        <v>285</v>
      </c>
      <c r="H8" s="222"/>
      <c r="I8" s="223"/>
      <c r="J8" s="4" t="s">
        <v>24</v>
      </c>
      <c r="K8" s="218" t="s">
        <v>26</v>
      </c>
      <c r="L8" s="219"/>
      <c r="M8" s="219"/>
      <c r="N8" s="219"/>
      <c r="O8" s="220"/>
      <c r="Q8" s="193" t="s">
        <v>27</v>
      </c>
      <c r="R8" s="195"/>
    </row>
    <row r="9" spans="1:19" ht="17.25" thickBot="1">
      <c r="A9" s="121" t="s">
        <v>28</v>
      </c>
      <c r="B9" s="218"/>
      <c r="C9" s="219"/>
      <c r="D9" s="219"/>
      <c r="E9" s="219"/>
      <c r="F9" s="220"/>
      <c r="G9" s="21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15"/>
      <c r="I9" s="216"/>
      <c r="J9" s="4" t="s">
        <v>28</v>
      </c>
      <c r="K9" s="218" t="s">
        <v>293</v>
      </c>
      <c r="L9" s="219"/>
      <c r="M9" s="219"/>
      <c r="N9" s="219"/>
      <c r="O9" s="220"/>
      <c r="Q9" s="2" t="s">
        <v>29</v>
      </c>
      <c r="R9" s="6">
        <v>10</v>
      </c>
    </row>
    <row r="10" spans="1:19">
      <c r="A10" s="121" t="s">
        <v>30</v>
      </c>
      <c r="B10" s="218"/>
      <c r="C10" s="219"/>
      <c r="D10" s="219"/>
      <c r="E10" s="219"/>
      <c r="F10" s="220"/>
      <c r="G10" s="221" t="s">
        <v>47</v>
      </c>
      <c r="H10" s="222"/>
      <c r="I10" s="223"/>
      <c r="J10" s="4" t="s">
        <v>30</v>
      </c>
      <c r="K10" s="218"/>
      <c r="L10" s="219"/>
      <c r="M10" s="219"/>
      <c r="N10" s="219"/>
      <c r="O10" s="220"/>
      <c r="Q10" s="2" t="s">
        <v>31</v>
      </c>
      <c r="R10" s="6">
        <v>100</v>
      </c>
    </row>
    <row r="11" spans="1:19" ht="17.25" thickBot="1">
      <c r="A11" s="122" t="s">
        <v>32</v>
      </c>
      <c r="B11" s="211"/>
      <c r="C11" s="212"/>
      <c r="D11" s="212"/>
      <c r="E11" s="212"/>
      <c r="F11" s="213"/>
      <c r="G11" s="21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15"/>
      <c r="I11" s="216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192"/>
      <c r="R13" s="192"/>
      <c r="S13" s="192"/>
    </row>
    <row r="14" spans="1:19" ht="17.25" customHeight="1" thickBot="1">
      <c r="A14" s="163" t="s">
        <v>35</v>
      </c>
      <c r="B14" s="193" t="s">
        <v>36</v>
      </c>
      <c r="C14" s="195"/>
      <c r="D14" s="193" t="s">
        <v>37</v>
      </c>
      <c r="E14" s="194"/>
      <c r="F14" s="195"/>
      <c r="G14" s="196">
        <f>_xlfn.IFNA(VLOOKUP(B14, 현재가테이블!$B$2:$D$200, 2, FALSE), "-")</f>
        <v>68581000</v>
      </c>
      <c r="H14" s="197"/>
      <c r="I14" s="198"/>
      <c r="J14" s="193" t="s">
        <v>38</v>
      </c>
      <c r="K14" s="194"/>
      <c r="L14" s="195"/>
      <c r="M14" s="199">
        <f>_xlfn.IFNA(VLOOKUP(B14, 현재가테이블!$B$2:$D$200, 3, FALSE), "-")</f>
        <v>-2.7047857000000002E-3</v>
      </c>
      <c r="N14" s="200"/>
      <c r="O14" s="201"/>
      <c r="Q14" s="192"/>
      <c r="R14" s="192"/>
      <c r="S14" s="192"/>
    </row>
    <row r="15" spans="1:19" ht="17.25" customHeight="1" thickBot="1">
      <c r="A15" s="230" t="s">
        <v>39</v>
      </c>
      <c r="B15" s="231" t="str">
        <f>TEXT($G$1, "[$-ko-KR]yyyy-mm-dd(ddd) ") &amp; "오전 00:00"</f>
        <v>2021-05-06(목) 오전 00:00</v>
      </c>
      <c r="C15" s="232"/>
      <c r="D15" s="206" t="str">
        <f>TEXT($G$1, "[$-ko-KR]yyyy-mm-dd(ddd) ") &amp; "오후 14:00"</f>
        <v>2021-05-06(목) 오후 14:00</v>
      </c>
      <c r="E15" s="207"/>
      <c r="F15" s="208"/>
      <c r="G15" s="206" t="str">
        <f>TEXT($G$1, "[$-ko-KR]yyyy-mm-dd(ddd) ") &amp; "오후 19:00"</f>
        <v>2021-05-06(목) 오후 19:00</v>
      </c>
      <c r="H15" s="207"/>
      <c r="I15" s="208"/>
      <c r="J15" s="206" t="str">
        <f>TEXT($G$1, "[$-ko-KR]yyyy-mm-dd(ddd) ") &amp; "오후 21:00"</f>
        <v>2021-05-06(목) 오후 21:00</v>
      </c>
      <c r="K15" s="207"/>
      <c r="L15" s="208"/>
      <c r="M15" s="206" t="str">
        <f>TEXT($G$1+1, "[$-ko-KR]yyyy-mm-dd(ddd) ") &amp; "오전 00:00"</f>
        <v>2021-05-07(금) 오전 00:00</v>
      </c>
      <c r="N15" s="207"/>
      <c r="O15" s="208"/>
      <c r="Q15" s="192"/>
      <c r="R15" s="192"/>
      <c r="S15" s="192"/>
    </row>
    <row r="16" spans="1:19" ht="17.25" customHeight="1" thickBot="1">
      <c r="A16" s="230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2"/>
      <c r="R16" s="182"/>
      <c r="S16" s="182"/>
    </row>
    <row r="17" spans="1:19" ht="17.25" customHeight="1" thickBot="1">
      <c r="A17" s="126" t="s">
        <v>78</v>
      </c>
      <c r="B17" s="127">
        <f>IF(NOT(ISBLANK(_xlfn.IFNA(VLOOKUP($A17, $A$40:$O$199, 2, FALSE), ))), _xlfn.IFNA(VLOOKUP($A17, $A$40:$O$199, 2, FALSE), ), "")</f>
        <v>1497500</v>
      </c>
      <c r="C17" s="76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100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192"/>
      <c r="R17" s="192"/>
      <c r="S17" s="192"/>
    </row>
    <row r="18" spans="1:19" ht="17.25" customHeight="1" thickBot="1">
      <c r="A18" s="128" t="s">
        <v>321</v>
      </c>
      <c r="B18" s="129">
        <f t="shared" ref="B18:B36" si="0">IF(NOT(ISBLANK(_xlfn.IFNA(VLOOKUP($A18, $A$40:$O$199, 2, FALSE), ))), _xlfn.IFNA(VLOOKUP($A18, $A$40:$O$199, 2, FALSE), ), "")</f>
        <v>65.5</v>
      </c>
      <c r="C18" s="77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101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192"/>
      <c r="R18" s="192"/>
      <c r="S18" s="192"/>
    </row>
    <row r="19" spans="1:19" ht="17.25" customHeight="1" thickBot="1">
      <c r="A19" s="128" t="s">
        <v>86</v>
      </c>
      <c r="B19" s="129">
        <f t="shared" si="0"/>
        <v>9180</v>
      </c>
      <c r="C19" s="77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101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182"/>
      <c r="R19" s="182"/>
      <c r="S19" s="182"/>
    </row>
    <row r="20" spans="1:19" ht="17.25" customHeight="1" thickBot="1">
      <c r="A20" s="128" t="s">
        <v>152</v>
      </c>
      <c r="B20" s="129">
        <f t="shared" si="0"/>
        <v>51.5</v>
      </c>
      <c r="C20" s="77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101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182"/>
      <c r="R20" s="182"/>
      <c r="S20" s="182"/>
    </row>
    <row r="21" spans="1:19" ht="17.25" customHeight="1" thickBot="1">
      <c r="A21" s="130" t="s">
        <v>90</v>
      </c>
      <c r="B21" s="131">
        <f t="shared" si="0"/>
        <v>465900</v>
      </c>
      <c r="C21" s="78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5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182"/>
      <c r="R21" s="182"/>
      <c r="S21" s="182"/>
    </row>
    <row r="22" spans="1:19" ht="17.25" customHeight="1" thickBot="1">
      <c r="A22" s="128" t="s">
        <v>108</v>
      </c>
      <c r="B22" s="132">
        <f t="shared" si="0"/>
        <v>62240</v>
      </c>
      <c r="C22" s="80">
        <f t="shared" si="1"/>
        <v>0.1265158371</v>
      </c>
      <c r="D22" s="106">
        <f t="shared" si="2"/>
        <v>75040</v>
      </c>
      <c r="E22" s="107">
        <f t="shared" si="3"/>
        <v>0.20565552699228792</v>
      </c>
      <c r="F22" s="108">
        <f t="shared" si="4"/>
        <v>30848.329048843189</v>
      </c>
      <c r="G22" s="109">
        <f t="shared" si="5"/>
        <v>74000</v>
      </c>
      <c r="H22" s="107">
        <f t="shared" si="6"/>
        <v>0.18894601542416453</v>
      </c>
      <c r="I22" s="110">
        <f t="shared" si="7"/>
        <v>28341.90231362468</v>
      </c>
      <c r="J22" s="106">
        <f t="shared" si="8"/>
        <v>76620</v>
      </c>
      <c r="K22" s="107">
        <f t="shared" si="9"/>
        <v>0.23104113110539845</v>
      </c>
      <c r="L22" s="108">
        <f t="shared" si="10"/>
        <v>34656.169665809764</v>
      </c>
      <c r="M22" s="109">
        <f t="shared" si="11"/>
        <v>73110</v>
      </c>
      <c r="N22" s="107">
        <f t="shared" si="12"/>
        <v>0.17464652956298202</v>
      </c>
      <c r="O22" s="108">
        <f t="shared" si="13"/>
        <v>26196.979434447301</v>
      </c>
      <c r="Q22" s="182"/>
      <c r="R22" s="182"/>
      <c r="S22" s="182"/>
    </row>
    <row r="23" spans="1:19" ht="17.25" customHeight="1" thickBot="1">
      <c r="A23" s="128" t="s">
        <v>98</v>
      </c>
      <c r="B23" s="129">
        <f t="shared" si="0"/>
        <v>7745</v>
      </c>
      <c r="C23" s="77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101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182"/>
      <c r="R23" s="182"/>
      <c r="S23" s="182"/>
    </row>
    <row r="24" spans="1:19" ht="17.25" customHeight="1" thickBot="1">
      <c r="A24" s="128" t="s">
        <v>138</v>
      </c>
      <c r="B24" s="129">
        <f t="shared" si="0"/>
        <v>48830</v>
      </c>
      <c r="C24" s="77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101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182"/>
      <c r="R24" s="182"/>
      <c r="S24" s="182"/>
    </row>
    <row r="25" spans="1:19" ht="17.25" customHeight="1" thickBot="1">
      <c r="A25" s="128" t="s">
        <v>142</v>
      </c>
      <c r="B25" s="129">
        <f t="shared" si="0"/>
        <v>460</v>
      </c>
      <c r="C25" s="77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101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33" t="s">
        <v>51</v>
      </c>
      <c r="B26" s="134">
        <f t="shared" si="0"/>
        <v>699</v>
      </c>
      <c r="C26" s="79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4">
        <f t="shared" si="4"/>
        <v>12446.351931330473</v>
      </c>
      <c r="G26" s="102">
        <f t="shared" si="5"/>
        <v>739</v>
      </c>
      <c r="H26" s="25">
        <f t="shared" si="6"/>
        <v>5.7224606580829757E-2</v>
      </c>
      <c r="I26" s="103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4">
        <f t="shared" si="10"/>
        <v>11373.390557939914</v>
      </c>
      <c r="M26" s="102">
        <f t="shared" si="11"/>
        <v>767</v>
      </c>
      <c r="N26" s="25">
        <f t="shared" si="12"/>
        <v>9.7281831187410586E-2</v>
      </c>
      <c r="O26" s="104">
        <f t="shared" si="13"/>
        <v>14592.274678111587</v>
      </c>
      <c r="Q26" s="183"/>
      <c r="R26" s="184"/>
      <c r="S26" s="185"/>
    </row>
    <row r="27" spans="1:19" ht="17.25" customHeight="1">
      <c r="A27" s="126" t="s">
        <v>144</v>
      </c>
      <c r="B27" s="127">
        <f t="shared" si="0"/>
        <v>11990</v>
      </c>
      <c r="C27" s="76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100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186"/>
      <c r="R27" s="187"/>
      <c r="S27" s="188"/>
    </row>
    <row r="28" spans="1:19" ht="17.25" customHeight="1" thickBot="1">
      <c r="A28" s="128" t="s">
        <v>80</v>
      </c>
      <c r="B28" s="129">
        <f t="shared" si="0"/>
        <v>1605</v>
      </c>
      <c r="C28" s="77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101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189"/>
      <c r="R28" s="190"/>
      <c r="S28" s="191"/>
    </row>
    <row r="29" spans="1:19" ht="17.25" customHeight="1" thickBot="1">
      <c r="A29" s="128" t="s">
        <v>178</v>
      </c>
      <c r="B29" s="129">
        <f t="shared" si="0"/>
        <v>53330</v>
      </c>
      <c r="C29" s="77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101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182"/>
      <c r="R29" s="182"/>
      <c r="S29" s="182"/>
    </row>
    <row r="30" spans="1:19" ht="17.25" customHeight="1" thickBot="1">
      <c r="A30" s="128" t="s">
        <v>92</v>
      </c>
      <c r="B30" s="129">
        <f t="shared" si="0"/>
        <v>1895</v>
      </c>
      <c r="C30" s="77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101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192"/>
      <c r="R30" s="192"/>
      <c r="S30" s="192"/>
    </row>
    <row r="31" spans="1:19" ht="17.25" customHeight="1" thickBot="1">
      <c r="A31" s="130" t="s">
        <v>104</v>
      </c>
      <c r="B31" s="131">
        <f t="shared" si="0"/>
        <v>2410</v>
      </c>
      <c r="C31" s="78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5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192"/>
      <c r="R31" s="192"/>
      <c r="S31" s="192"/>
    </row>
    <row r="32" spans="1:19" ht="17.25" customHeight="1" thickBot="1">
      <c r="A32" s="128" t="s">
        <v>102</v>
      </c>
      <c r="B32" s="132">
        <f t="shared" si="0"/>
        <v>93120</v>
      </c>
      <c r="C32" s="80">
        <f t="shared" si="1"/>
        <v>8.2790697699999999E-2</v>
      </c>
      <c r="D32" s="106">
        <f t="shared" si="2"/>
        <v>114900</v>
      </c>
      <c r="E32" s="107">
        <f t="shared" si="3"/>
        <v>0.23389175257731959</v>
      </c>
      <c r="F32" s="108">
        <f t="shared" si="4"/>
        <v>35083.762886597935</v>
      </c>
      <c r="G32" s="109">
        <f t="shared" si="5"/>
        <v>120000</v>
      </c>
      <c r="H32" s="107">
        <f t="shared" si="6"/>
        <v>0.28865979381443296</v>
      </c>
      <c r="I32" s="110">
        <f t="shared" si="7"/>
        <v>43298.969072164946</v>
      </c>
      <c r="J32" s="106">
        <f t="shared" si="8"/>
        <v>129000</v>
      </c>
      <c r="K32" s="107">
        <f t="shared" si="9"/>
        <v>0.38530927835051548</v>
      </c>
      <c r="L32" s="108">
        <f t="shared" si="10"/>
        <v>57796.391752577321</v>
      </c>
      <c r="M32" s="109">
        <f t="shared" si="11"/>
        <v>137000</v>
      </c>
      <c r="N32" s="107">
        <f t="shared" si="12"/>
        <v>0.47121993127147765</v>
      </c>
      <c r="O32" s="108">
        <f t="shared" si="13"/>
        <v>70682.989690721646</v>
      </c>
      <c r="Q32" s="182"/>
      <c r="R32" s="182"/>
      <c r="S32" s="182"/>
    </row>
    <row r="33" spans="1:19" ht="17.25" customHeight="1" thickBot="1">
      <c r="A33" s="128" t="s">
        <v>188</v>
      </c>
      <c r="B33" s="129">
        <f t="shared" si="0"/>
        <v>18760</v>
      </c>
      <c r="C33" s="77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101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182"/>
      <c r="R33" s="182"/>
      <c r="S33" s="182"/>
    </row>
    <row r="34" spans="1:19" ht="17.25" customHeight="1" thickBot="1">
      <c r="A34" s="128" t="s">
        <v>61</v>
      </c>
      <c r="B34" s="129">
        <f t="shared" si="0"/>
        <v>1720</v>
      </c>
      <c r="C34" s="77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101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182"/>
      <c r="R34" s="182"/>
      <c r="S34" s="182"/>
    </row>
    <row r="35" spans="1:19" ht="17.25" customHeight="1">
      <c r="A35" s="128" t="s">
        <v>130</v>
      </c>
      <c r="B35" s="129">
        <f t="shared" si="0"/>
        <v>413800</v>
      </c>
      <c r="C35" s="77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101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171"/>
      <c r="R35" s="172"/>
      <c r="S35" s="173"/>
    </row>
    <row r="36" spans="1:19" ht="17.25" customHeight="1" thickBot="1">
      <c r="A36" s="133" t="s">
        <v>156</v>
      </c>
      <c r="B36" s="134">
        <f t="shared" si="0"/>
        <v>161</v>
      </c>
      <c r="C36" s="79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4">
        <f t="shared" si="4"/>
        <v>13975.155279503106</v>
      </c>
      <c r="G36" s="102">
        <f t="shared" si="5"/>
        <v>172</v>
      </c>
      <c r="H36" s="25">
        <f t="shared" si="6"/>
        <v>6.8322981366459631E-2</v>
      </c>
      <c r="I36" s="103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4">
        <f t="shared" si="10"/>
        <v>12111.801242236024</v>
      </c>
      <c r="M36" s="102">
        <f t="shared" si="11"/>
        <v>183</v>
      </c>
      <c r="N36" s="25">
        <f t="shared" si="12"/>
        <v>0.13664596273291926</v>
      </c>
      <c r="O36" s="104">
        <f t="shared" si="13"/>
        <v>20496.89440993789</v>
      </c>
      <c r="Q36" s="174"/>
      <c r="R36" s="175"/>
      <c r="S36" s="176"/>
    </row>
    <row r="37" spans="1:19" ht="17.25" customHeight="1" thickBot="1">
      <c r="A37" s="135" t="s">
        <v>42</v>
      </c>
      <c r="B37" s="235">
        <v>150000</v>
      </c>
      <c r="C37" s="236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177"/>
      <c r="R37" s="178"/>
      <c r="S37" s="17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192"/>
      <c r="R40" s="192"/>
      <c r="S40" s="192"/>
    </row>
    <row r="41" spans="1:19" ht="17.25" customHeight="1" thickBot="1">
      <c r="A41" s="163" t="s">
        <v>298</v>
      </c>
      <c r="B41" s="193" t="s">
        <v>49</v>
      </c>
      <c r="C41" s="195"/>
      <c r="D41" s="193" t="s">
        <v>58</v>
      </c>
      <c r="E41" s="194"/>
      <c r="F41" s="195"/>
      <c r="G41" s="196">
        <f>_xlfn.IFNA(VLOOKUP(B41, 현재가테이블!$B$2:$D$200, 2, FALSE), "-")</f>
        <v>68581000</v>
      </c>
      <c r="H41" s="197"/>
      <c r="I41" s="198"/>
      <c r="J41" s="193" t="s">
        <v>59</v>
      </c>
      <c r="K41" s="194"/>
      <c r="L41" s="195"/>
      <c r="M41" s="199">
        <f>_xlfn.IFNA(VLOOKUP(B41, 현재가테이블!$B$2:$D$200, 3, FALSE), "-")</f>
        <v>-2.7047857000000002E-3</v>
      </c>
      <c r="N41" s="200"/>
      <c r="O41" s="201"/>
      <c r="Q41" s="192"/>
      <c r="R41" s="192"/>
      <c r="S41" s="192"/>
    </row>
    <row r="42" spans="1:19" ht="17.25" customHeight="1" thickBot="1">
      <c r="A42" s="237" t="s">
        <v>55</v>
      </c>
      <c r="B42" s="233" t="str">
        <f>TEXT($G$1, "[$-ko-KR]yyyy-mm-dd(ddd) ") &amp; "오전 00:00"</f>
        <v>2021-05-06(목) 오전 00:00</v>
      </c>
      <c r="C42" s="234"/>
      <c r="D42" s="206" t="str">
        <f>TEXT($G$1, "[$-ko-KR]yyyy-mm-dd(ddd) ") &amp; "오후 14:00"</f>
        <v>2021-05-06(목) 오후 14:00</v>
      </c>
      <c r="E42" s="207"/>
      <c r="F42" s="208"/>
      <c r="G42" s="206" t="str">
        <f>TEXT($G$1, "[$-ko-KR]yyyy-mm-dd(ddd) ") &amp; "오후 19:00"</f>
        <v>2021-05-06(목) 오후 19:00</v>
      </c>
      <c r="H42" s="207"/>
      <c r="I42" s="208"/>
      <c r="J42" s="206" t="str">
        <f>TEXT($G$1, "[$-ko-KR]yyyy-mm-dd(ddd) ") &amp; "오후 21:00"</f>
        <v>2021-05-06(목) 오후 21:00</v>
      </c>
      <c r="K42" s="207"/>
      <c r="L42" s="208"/>
      <c r="M42" s="206" t="str">
        <f>TEXT($G$1+1, "[$-ko-KR]yyyy-mm-dd(ddd) ") &amp; "오전 00:00"</f>
        <v>2021-05-07(금) 오전 00:00</v>
      </c>
      <c r="N42" s="207"/>
      <c r="O42" s="208"/>
      <c r="Q42" s="192"/>
      <c r="R42" s="192"/>
      <c r="S42" s="192"/>
    </row>
    <row r="43" spans="1:19" ht="17.25" customHeight="1" thickBot="1">
      <c r="A43" s="238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2"/>
      <c r="R43" s="182"/>
      <c r="S43" s="182"/>
    </row>
    <row r="44" spans="1:19" ht="17.25" customHeight="1" thickBot="1">
      <c r="A44" s="126" t="s">
        <v>152</v>
      </c>
      <c r="B44" s="127">
        <v>51.5</v>
      </c>
      <c r="C44" s="76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100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192"/>
      <c r="R44" s="192"/>
      <c r="S44" s="192"/>
    </row>
    <row r="45" spans="1:19" ht="17.25" customHeight="1" thickBot="1">
      <c r="A45" s="128" t="s">
        <v>126</v>
      </c>
      <c r="B45" s="129">
        <v>65.5</v>
      </c>
      <c r="C45" s="77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101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192"/>
      <c r="R45" s="192"/>
      <c r="S45" s="192"/>
    </row>
    <row r="46" spans="1:19" ht="17.25" customHeight="1" thickBot="1">
      <c r="A46" s="128" t="s">
        <v>100</v>
      </c>
      <c r="B46" s="129">
        <v>8.52</v>
      </c>
      <c r="C46" s="77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101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182"/>
      <c r="R46" s="182"/>
      <c r="S46" s="182"/>
    </row>
    <row r="47" spans="1:19" ht="17.25" customHeight="1" thickBot="1">
      <c r="A47" s="128" t="s">
        <v>72</v>
      </c>
      <c r="B47" s="129">
        <v>36.1</v>
      </c>
      <c r="C47" s="77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101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182"/>
      <c r="R47" s="182"/>
      <c r="S47" s="182"/>
    </row>
    <row r="48" spans="1:19" ht="17.25" customHeight="1" thickBot="1">
      <c r="A48" s="130" t="s">
        <v>65</v>
      </c>
      <c r="B48" s="131">
        <v>73.8</v>
      </c>
      <c r="C48" s="78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5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182"/>
      <c r="R48" s="182"/>
      <c r="S48" s="182"/>
    </row>
    <row r="49" spans="1:19" ht="17.25" customHeight="1" thickBot="1">
      <c r="A49" s="128" t="s">
        <v>254</v>
      </c>
      <c r="B49" s="132">
        <v>93.6</v>
      </c>
      <c r="C49" s="80">
        <v>3.08370044E-2</v>
      </c>
      <c r="D49" s="106">
        <v>87.5</v>
      </c>
      <c r="E49" s="107">
        <f>IF(ISNUMBER(D49), (D49 - $B49) / $B49, "")</f>
        <v>-6.517094017094012E-2</v>
      </c>
      <c r="F49" s="108">
        <f>IF(ISNUMBER(D49), $B64 * E49, "")</f>
        <v>-9775.6410256410181</v>
      </c>
      <c r="G49" s="109">
        <v>87.7</v>
      </c>
      <c r="H49" s="107">
        <f>IF(ISNUMBER(G49), (G49 - $B49) / $B49, "")</f>
        <v>-6.3034188034187949E-2</v>
      </c>
      <c r="I49" s="110">
        <f>IF(ISNUMBER(G49), $B64 * H49, "")</f>
        <v>-9455.1282051281923</v>
      </c>
      <c r="J49" s="106">
        <v>86.9</v>
      </c>
      <c r="K49" s="107">
        <f>IF(ISNUMBER(J49), (J49 - $B49) / $B49, "")</f>
        <v>-7.1581196581196466E-2</v>
      </c>
      <c r="L49" s="108">
        <f>IF(ISNUMBER(J49), $B64 * K49, "")</f>
        <v>-10737.17948717947</v>
      </c>
      <c r="M49" s="109">
        <v>86</v>
      </c>
      <c r="N49" s="107">
        <f>IF(ISNUMBER(M49), (M49 - $B49) / $B49, "")</f>
        <v>-8.1196581196581144E-2</v>
      </c>
      <c r="O49" s="108">
        <f>IF(ISNUMBER(M49), $B64 * N49, "")</f>
        <v>-12179.487179487172</v>
      </c>
      <c r="Q49" s="182"/>
      <c r="R49" s="182"/>
      <c r="S49" s="182"/>
    </row>
    <row r="50" spans="1:19" ht="17.25" customHeight="1" thickBot="1">
      <c r="A50" s="128" t="s">
        <v>196</v>
      </c>
      <c r="B50" s="129">
        <v>20.9</v>
      </c>
      <c r="C50" s="77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101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182"/>
      <c r="R50" s="182"/>
      <c r="S50" s="182"/>
    </row>
    <row r="51" spans="1:19" ht="17.25" customHeight="1" thickBot="1">
      <c r="A51" s="128" t="s">
        <v>220</v>
      </c>
      <c r="B51" s="129">
        <v>22.3</v>
      </c>
      <c r="C51" s="77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101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182"/>
      <c r="R51" s="182"/>
      <c r="S51" s="182"/>
    </row>
    <row r="52" spans="1:19" ht="17.25" customHeight="1" thickBot="1">
      <c r="A52" s="128" t="s">
        <v>268</v>
      </c>
      <c r="B52" s="129">
        <v>99.8</v>
      </c>
      <c r="C52" s="77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101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33" t="s">
        <v>198</v>
      </c>
      <c r="B53" s="134">
        <v>29</v>
      </c>
      <c r="C53" s="79">
        <v>-3.4364260999999998E-3</v>
      </c>
      <c r="D53" s="24">
        <v>28.7</v>
      </c>
      <c r="E53" s="25">
        <f t="shared" si="18"/>
        <v>-1.0344827586206921E-2</v>
      </c>
      <c r="F53" s="104">
        <f>IF(ISNUMBER(D53), $B64 * E53, "")</f>
        <v>-1551.7241379310381</v>
      </c>
      <c r="G53" s="102">
        <v>28.3</v>
      </c>
      <c r="H53" s="25">
        <f t="shared" si="19"/>
        <v>-2.4137931034482734E-2</v>
      </c>
      <c r="I53" s="103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4">
        <f>IF(ISNUMBER(J53), $B64 * K53, "")</f>
        <v>-3620.6896551724103</v>
      </c>
      <c r="M53" s="102">
        <v>28.3</v>
      </c>
      <c r="N53" s="25">
        <f t="shared" si="21"/>
        <v>-2.4137931034482734E-2</v>
      </c>
      <c r="O53" s="104">
        <f>IF(ISNUMBER(M53), $B64 * N53, "")</f>
        <v>-3620.6896551724103</v>
      </c>
      <c r="Q53" s="183"/>
      <c r="R53" s="184"/>
      <c r="S53" s="185"/>
    </row>
    <row r="54" spans="1:19" ht="17.25" customHeight="1">
      <c r="A54" s="126" t="s">
        <v>186</v>
      </c>
      <c r="B54" s="127">
        <v>25.9</v>
      </c>
      <c r="C54" s="76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100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186"/>
      <c r="R54" s="187"/>
      <c r="S54" s="188"/>
    </row>
    <row r="55" spans="1:19" ht="17.25" customHeight="1" thickBot="1">
      <c r="A55" s="128" t="s">
        <v>228</v>
      </c>
      <c r="B55" s="129">
        <v>18.7</v>
      </c>
      <c r="C55" s="77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101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189"/>
      <c r="R55" s="190"/>
      <c r="S55" s="191"/>
    </row>
    <row r="56" spans="1:19" ht="17.25" customHeight="1" thickBot="1">
      <c r="A56" s="128" t="s">
        <v>222</v>
      </c>
      <c r="B56" s="129">
        <v>18.7</v>
      </c>
      <c r="C56" s="77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101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182"/>
      <c r="R56" s="182"/>
      <c r="S56" s="182"/>
    </row>
    <row r="57" spans="1:19" ht="17.25" customHeight="1" thickBot="1">
      <c r="A57" s="128" t="s">
        <v>154</v>
      </c>
      <c r="B57" s="129">
        <v>21.5</v>
      </c>
      <c r="C57" s="77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101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192"/>
      <c r="R57" s="192"/>
      <c r="S57" s="192"/>
    </row>
    <row r="58" spans="1:19" ht="17.25" customHeight="1" thickBot="1">
      <c r="A58" s="130" t="s">
        <v>236</v>
      </c>
      <c r="B58" s="131">
        <v>69.599999999999994</v>
      </c>
      <c r="C58" s="78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5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192"/>
      <c r="R58" s="192"/>
      <c r="S58" s="192"/>
    </row>
    <row r="59" spans="1:19" ht="17.25" customHeight="1" thickBot="1">
      <c r="A59" s="128" t="s">
        <v>172</v>
      </c>
      <c r="B59" s="132">
        <v>25.6</v>
      </c>
      <c r="C59" s="80">
        <v>-1.5384615399999999E-2</v>
      </c>
      <c r="D59" s="106">
        <v>25.6</v>
      </c>
      <c r="E59" s="107">
        <f>IF(ISNUMBER(D59), (D59 - $B59) / $B59, "")</f>
        <v>0</v>
      </c>
      <c r="F59" s="108">
        <f>IF(ISNUMBER(D59), $B64 * E59, "")</f>
        <v>0</v>
      </c>
      <c r="G59" s="109">
        <v>25.5</v>
      </c>
      <c r="H59" s="107">
        <f>IF(ISNUMBER(G59), (G59 - $B59) / $B59, "")</f>
        <v>-3.9062500000000555E-3</v>
      </c>
      <c r="I59" s="110">
        <f>IF(ISNUMBER(G59), $B64 * H59, "")</f>
        <v>-585.9375000000083</v>
      </c>
      <c r="J59" s="106">
        <v>25.3</v>
      </c>
      <c r="K59" s="107">
        <f>IF(ISNUMBER(J59), (J59 - $B59) / $B59, "")</f>
        <v>-1.1718750000000028E-2</v>
      </c>
      <c r="L59" s="108">
        <f>IF(ISNUMBER(J59), $B64 * K59, "")</f>
        <v>-1757.8125000000041</v>
      </c>
      <c r="M59" s="109">
        <v>25.2</v>
      </c>
      <c r="N59" s="107">
        <f>IF(ISNUMBER(M59), (M59 - $B59) / $B59, "")</f>
        <v>-1.5625000000000083E-2</v>
      </c>
      <c r="O59" s="108">
        <f>IF(ISNUMBER(M59), $B64 * N59, "")</f>
        <v>-2343.7500000000123</v>
      </c>
      <c r="Q59" s="182"/>
      <c r="R59" s="182"/>
      <c r="S59" s="182"/>
    </row>
    <row r="60" spans="1:19" ht="17.25" customHeight="1" thickBot="1">
      <c r="A60" s="128" t="s">
        <v>214</v>
      </c>
      <c r="B60" s="129">
        <v>22.4</v>
      </c>
      <c r="C60" s="77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101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182"/>
      <c r="R60" s="182"/>
      <c r="S60" s="182"/>
    </row>
    <row r="61" spans="1:19" ht="17.25" customHeight="1" thickBot="1">
      <c r="A61" s="128" t="s">
        <v>218</v>
      </c>
      <c r="B61" s="129">
        <v>28.8</v>
      </c>
      <c r="C61" s="77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101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182"/>
      <c r="R61" s="182"/>
      <c r="S61" s="182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1"/>
      <c r="R62" s="172"/>
      <c r="S62" s="17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4"/>
      <c r="R63" s="175"/>
      <c r="S63" s="176"/>
    </row>
    <row r="64" spans="1:19" ht="17.25" customHeight="1" thickBot="1">
      <c r="A64" s="135" t="s">
        <v>301</v>
      </c>
      <c r="B64" s="235">
        <f>$B$37</f>
        <v>150000</v>
      </c>
      <c r="C64" s="236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177"/>
      <c r="R64" s="178"/>
      <c r="S64" s="17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192"/>
      <c r="R67" s="192"/>
      <c r="S67" s="192"/>
    </row>
    <row r="68" spans="1:19" ht="17.25" thickBot="1">
      <c r="A68" s="163" t="s">
        <v>298</v>
      </c>
      <c r="B68" s="193" t="s">
        <v>49</v>
      </c>
      <c r="C68" s="195"/>
      <c r="D68" s="193" t="s">
        <v>58</v>
      </c>
      <c r="E68" s="194"/>
      <c r="F68" s="195"/>
      <c r="G68" s="196">
        <f>_xlfn.IFNA(VLOOKUP(B68, 현재가테이블!$B$2:$D$200, 2, FALSE), "-")</f>
        <v>68581000</v>
      </c>
      <c r="H68" s="197"/>
      <c r="I68" s="198"/>
      <c r="J68" s="193" t="s">
        <v>59</v>
      </c>
      <c r="K68" s="194"/>
      <c r="L68" s="195"/>
      <c r="M68" s="199">
        <f>_xlfn.IFNA(VLOOKUP(B68, 현재가테이블!$B$2:$D$200, 3, FALSE), "-")</f>
        <v>-2.7047857000000002E-3</v>
      </c>
      <c r="N68" s="200"/>
      <c r="O68" s="201"/>
      <c r="Q68" s="192"/>
      <c r="R68" s="192"/>
      <c r="S68" s="192"/>
    </row>
    <row r="69" spans="1:19" ht="17.25" thickBot="1">
      <c r="A69" s="237" t="s">
        <v>55</v>
      </c>
      <c r="B69" s="233" t="str">
        <f>TEXT($G$1, "[$-ko-KR]yyyy-mm-dd(ddd) ") &amp; "오전 00:00"</f>
        <v>2021-05-06(목) 오전 00:00</v>
      </c>
      <c r="C69" s="234"/>
      <c r="D69" s="206" t="str">
        <f>TEXT($G$1, "[$-ko-KR]yyyy-mm-dd(ddd) ") &amp; "오후 14:00"</f>
        <v>2021-05-06(목) 오후 14:00</v>
      </c>
      <c r="E69" s="207"/>
      <c r="F69" s="208"/>
      <c r="G69" s="206" t="str">
        <f>TEXT($G$1, "[$-ko-KR]yyyy-mm-dd(ddd) ") &amp; "오후 19:00"</f>
        <v>2021-05-06(목) 오후 19:00</v>
      </c>
      <c r="H69" s="207"/>
      <c r="I69" s="208"/>
      <c r="J69" s="206" t="str">
        <f>TEXT($G$1, "[$-ko-KR]yyyy-mm-dd(ddd) ") &amp; "오후 21:00"</f>
        <v>2021-05-06(목) 오후 21:00</v>
      </c>
      <c r="K69" s="207"/>
      <c r="L69" s="208"/>
      <c r="M69" s="206" t="str">
        <f>TEXT($G$1+1, "[$-ko-KR]yyyy-mm-dd(ddd) ") &amp; "오전 00:00"</f>
        <v>2021-05-07(금) 오전 00:00</v>
      </c>
      <c r="N69" s="207"/>
      <c r="O69" s="208"/>
      <c r="Q69" s="192"/>
      <c r="R69" s="192"/>
      <c r="S69" s="192"/>
    </row>
    <row r="70" spans="1:19" ht="17.25" thickBot="1">
      <c r="A70" s="238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2"/>
      <c r="R70" s="182"/>
      <c r="S70" s="182"/>
    </row>
    <row r="71" spans="1:19" ht="17.25" thickBot="1">
      <c r="A71" s="126" t="s">
        <v>296</v>
      </c>
      <c r="B71" s="127">
        <v>788</v>
      </c>
      <c r="C71" s="76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100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192"/>
      <c r="R71" s="192"/>
      <c r="S71" s="192"/>
    </row>
    <row r="72" spans="1:19" ht="17.25" thickBot="1">
      <c r="A72" s="128" t="s">
        <v>142</v>
      </c>
      <c r="B72" s="129">
        <v>460</v>
      </c>
      <c r="C72" s="77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101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192"/>
      <c r="R72" s="192"/>
      <c r="S72" s="192"/>
    </row>
    <row r="73" spans="1:19" ht="17.25" thickBot="1">
      <c r="A73" s="128" t="s">
        <v>51</v>
      </c>
      <c r="B73" s="129">
        <v>699</v>
      </c>
      <c r="C73" s="77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101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182"/>
      <c r="R73" s="182"/>
      <c r="S73" s="182"/>
    </row>
    <row r="74" spans="1:19" ht="17.25" thickBot="1">
      <c r="A74" s="128" t="s">
        <v>156</v>
      </c>
      <c r="B74" s="129">
        <v>161</v>
      </c>
      <c r="C74" s="77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101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182"/>
      <c r="R74" s="182"/>
      <c r="S74" s="182"/>
    </row>
    <row r="75" spans="1:19" ht="17.25" thickBot="1">
      <c r="A75" s="130" t="s">
        <v>54</v>
      </c>
      <c r="B75" s="131">
        <v>378</v>
      </c>
      <c r="C75" s="78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5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182"/>
      <c r="R75" s="182"/>
      <c r="S75" s="182"/>
    </row>
    <row r="76" spans="1:19" ht="17.25" thickBot="1">
      <c r="A76" s="128" t="s">
        <v>168</v>
      </c>
      <c r="B76" s="132">
        <v>210</v>
      </c>
      <c r="C76" s="80">
        <v>6.0606060599999997E-2</v>
      </c>
      <c r="D76" s="106">
        <v>257</v>
      </c>
      <c r="E76" s="107">
        <f>IF(ISNUMBER(D76), (D76 - $B76) / $B76, "")</f>
        <v>0.22380952380952382</v>
      </c>
      <c r="F76" s="108">
        <f>IF(ISNUMBER(D76), $B91 * E76, "")</f>
        <v>33571.428571428572</v>
      </c>
      <c r="G76" s="109">
        <v>254</v>
      </c>
      <c r="H76" s="107">
        <f>IF(ISNUMBER(G76), (G76 - $B76) / $B76, "")</f>
        <v>0.20952380952380953</v>
      </c>
      <c r="I76" s="110">
        <f>IF(ISNUMBER(G76), $B91 * H76, "")</f>
        <v>31428.571428571428</v>
      </c>
      <c r="J76" s="106">
        <v>254</v>
      </c>
      <c r="K76" s="107">
        <f>IF(ISNUMBER(J76), (J76 - $B76) / $B76, "")</f>
        <v>0.20952380952380953</v>
      </c>
      <c r="L76" s="108">
        <f>IF(ISNUMBER(J76), $B91 * K76, "")</f>
        <v>31428.571428571428</v>
      </c>
      <c r="M76" s="109">
        <v>255</v>
      </c>
      <c r="N76" s="107">
        <f>IF(ISNUMBER(M76), (M76 - $B76) / $B76, "")</f>
        <v>0.21428571428571427</v>
      </c>
      <c r="O76" s="108">
        <f>IF(ISNUMBER(M76), $B91 * N76, "")</f>
        <v>32142.857142857141</v>
      </c>
      <c r="Q76" s="182"/>
      <c r="R76" s="182"/>
      <c r="S76" s="182"/>
    </row>
    <row r="77" spans="1:19" ht="17.25" thickBot="1">
      <c r="A77" s="128" t="s">
        <v>136</v>
      </c>
      <c r="B77" s="129">
        <v>255</v>
      </c>
      <c r="C77" s="77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101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182"/>
      <c r="R77" s="182"/>
      <c r="S77" s="182"/>
    </row>
    <row r="78" spans="1:19" ht="17.25" thickBot="1">
      <c r="A78" s="128" t="s">
        <v>57</v>
      </c>
      <c r="B78" s="129">
        <v>406</v>
      </c>
      <c r="C78" s="77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101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182"/>
      <c r="R78" s="182"/>
      <c r="S78" s="182"/>
    </row>
    <row r="79" spans="1:19" ht="17.25" thickBot="1">
      <c r="A79" s="128" t="s">
        <v>278</v>
      </c>
      <c r="B79" s="129">
        <v>156</v>
      </c>
      <c r="C79" s="77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101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33" t="s">
        <v>120</v>
      </c>
      <c r="B80" s="134">
        <v>215</v>
      </c>
      <c r="C80" s="79">
        <v>3.8647343000000001E-2</v>
      </c>
      <c r="D80" s="24">
        <v>223</v>
      </c>
      <c r="E80" s="25">
        <f t="shared" si="34"/>
        <v>3.7209302325581395E-2</v>
      </c>
      <c r="F80" s="104">
        <f>IF(ISNUMBER(D80), $B91 * E80, "")</f>
        <v>5581.395348837209</v>
      </c>
      <c r="G80" s="102">
        <v>228</v>
      </c>
      <c r="H80" s="25">
        <f t="shared" si="35"/>
        <v>6.0465116279069767E-2</v>
      </c>
      <c r="I80" s="103">
        <f>IF(ISNUMBER(G80), $B91 * H80, "")</f>
        <v>9069.7674418604656</v>
      </c>
      <c r="J80" s="24">
        <v>231</v>
      </c>
      <c r="K80" s="25">
        <f t="shared" si="36"/>
        <v>7.441860465116279E-2</v>
      </c>
      <c r="L80" s="104">
        <f>IF(ISNUMBER(J80), $B91 * K80, "")</f>
        <v>11162.790697674418</v>
      </c>
      <c r="M80" s="102">
        <v>230</v>
      </c>
      <c r="N80" s="25">
        <f t="shared" si="37"/>
        <v>6.9767441860465115E-2</v>
      </c>
      <c r="O80" s="104">
        <f>IF(ISNUMBER(M80), $B91 * N80, "")</f>
        <v>10465.116279069767</v>
      </c>
      <c r="Q80" s="183"/>
      <c r="R80" s="184"/>
      <c r="S80" s="185"/>
    </row>
    <row r="81" spans="1:19">
      <c r="A81" s="126" t="s">
        <v>132</v>
      </c>
      <c r="B81" s="127">
        <v>244</v>
      </c>
      <c r="C81" s="76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100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186"/>
      <c r="R81" s="187"/>
      <c r="S81" s="188"/>
    </row>
    <row r="82" spans="1:19" ht="17.25" thickBot="1">
      <c r="A82" s="128" t="s">
        <v>134</v>
      </c>
      <c r="B82" s="129">
        <v>151</v>
      </c>
      <c r="C82" s="77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101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189"/>
      <c r="R82" s="190"/>
      <c r="S82" s="191"/>
    </row>
    <row r="83" spans="1:19" ht="17.25" thickBot="1">
      <c r="A83" s="128" t="s">
        <v>182</v>
      </c>
      <c r="B83" s="129">
        <v>468</v>
      </c>
      <c r="C83" s="77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101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182"/>
      <c r="R83" s="182"/>
      <c r="S83" s="182"/>
    </row>
    <row r="84" spans="1:19" ht="17.25" thickBot="1">
      <c r="A84" s="128" t="s">
        <v>148</v>
      </c>
      <c r="B84" s="129">
        <v>198</v>
      </c>
      <c r="C84" s="77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101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192"/>
      <c r="R84" s="192"/>
      <c r="S84" s="192"/>
    </row>
    <row r="85" spans="1:19" ht="17.25" thickBot="1">
      <c r="A85" s="130" t="s">
        <v>266</v>
      </c>
      <c r="B85" s="131">
        <v>103</v>
      </c>
      <c r="C85" s="78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5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192"/>
      <c r="R85" s="192"/>
      <c r="S85" s="192"/>
    </row>
    <row r="86" spans="1:19" ht="17.25" thickBot="1">
      <c r="A86" s="128" t="s">
        <v>88</v>
      </c>
      <c r="B86" s="132">
        <v>625</v>
      </c>
      <c r="C86" s="80">
        <v>1.9575856400000001E-2</v>
      </c>
      <c r="D86" s="106">
        <v>625</v>
      </c>
      <c r="E86" s="107">
        <f>IF(ISNUMBER(D86), (D86 - $B86) / $B86, "")</f>
        <v>0</v>
      </c>
      <c r="F86" s="108">
        <f>IF(ISNUMBER(D86), $B91 * E86, "")</f>
        <v>0</v>
      </c>
      <c r="G86" s="109">
        <v>618</v>
      </c>
      <c r="H86" s="107">
        <f>IF(ISNUMBER(G86), (G86 - $B86) / $B86, "")</f>
        <v>-1.12E-2</v>
      </c>
      <c r="I86" s="110">
        <f>IF(ISNUMBER(G86), $B91 * H86, "")</f>
        <v>-1680</v>
      </c>
      <c r="J86" s="106">
        <v>620</v>
      </c>
      <c r="K86" s="107">
        <f>IF(ISNUMBER(J86), (J86 - $B86) / $B86, "")</f>
        <v>-8.0000000000000002E-3</v>
      </c>
      <c r="L86" s="108">
        <f>IF(ISNUMBER(J86), $B91 * K86, "")</f>
        <v>-1200</v>
      </c>
      <c r="M86" s="109">
        <v>638</v>
      </c>
      <c r="N86" s="107">
        <f>IF(ISNUMBER(M86), (M86 - $B86) / $B86, "")</f>
        <v>2.0799999999999999E-2</v>
      </c>
      <c r="O86" s="108">
        <f>IF(ISNUMBER(M86), $B91 * N86, "")</f>
        <v>3120</v>
      </c>
      <c r="Q86" s="182"/>
      <c r="R86" s="182"/>
      <c r="S86" s="182"/>
    </row>
    <row r="87" spans="1:19" ht="17.25" thickBot="1">
      <c r="A87" s="128" t="s">
        <v>128</v>
      </c>
      <c r="B87" s="129">
        <v>680</v>
      </c>
      <c r="C87" s="77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101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182"/>
      <c r="R87" s="182"/>
      <c r="S87" s="182"/>
    </row>
    <row r="88" spans="1:19" ht="17.25" thickBot="1">
      <c r="A88" s="128" t="s">
        <v>116</v>
      </c>
      <c r="B88" s="129">
        <v>731</v>
      </c>
      <c r="C88" s="77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101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182"/>
      <c r="R88" s="182"/>
      <c r="S88" s="182"/>
    </row>
    <row r="89" spans="1:19">
      <c r="A89" s="128" t="s">
        <v>256</v>
      </c>
      <c r="B89" s="129">
        <v>265</v>
      </c>
      <c r="C89" s="77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101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171"/>
      <c r="R89" s="172"/>
      <c r="S89" s="173"/>
    </row>
    <row r="90" spans="1:19" ht="17.25" thickBot="1">
      <c r="A90" s="133" t="s">
        <v>216</v>
      </c>
      <c r="B90" s="134">
        <v>449</v>
      </c>
      <c r="C90" s="79">
        <v>1.12612613E-2</v>
      </c>
      <c r="D90" s="24">
        <v>466</v>
      </c>
      <c r="E90" s="25">
        <f t="shared" si="42"/>
        <v>3.7861915367483297E-2</v>
      </c>
      <c r="F90" s="104">
        <f>IF(ISNUMBER(D90), $B91 * E90, "")</f>
        <v>5679.2873051224942</v>
      </c>
      <c r="G90" s="102">
        <v>471</v>
      </c>
      <c r="H90" s="25">
        <f t="shared" si="43"/>
        <v>4.8997772828507792E-2</v>
      </c>
      <c r="I90" s="103">
        <f>IF(ISNUMBER(G90), $B91 * H90, "")</f>
        <v>7349.6659242761689</v>
      </c>
      <c r="J90" s="24">
        <v>466</v>
      </c>
      <c r="K90" s="25">
        <f t="shared" si="44"/>
        <v>3.7861915367483297E-2</v>
      </c>
      <c r="L90" s="104">
        <f>IF(ISNUMBER(J90), $B91 * K90, "")</f>
        <v>5679.2873051224942</v>
      </c>
      <c r="M90" s="102">
        <v>465</v>
      </c>
      <c r="N90" s="25">
        <f t="shared" si="45"/>
        <v>3.5634743875278395E-2</v>
      </c>
      <c r="O90" s="104">
        <f>IF(ISNUMBER(M90), $B91 * N90, "")</f>
        <v>5345.2115812917591</v>
      </c>
      <c r="Q90" s="174"/>
      <c r="R90" s="175"/>
      <c r="S90" s="176"/>
    </row>
    <row r="91" spans="1:19" ht="17.25" thickBot="1">
      <c r="A91" s="135" t="s">
        <v>301</v>
      </c>
      <c r="B91" s="235">
        <f>$B$37</f>
        <v>150000</v>
      </c>
      <c r="C91" s="236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177"/>
      <c r="R91" s="178"/>
      <c r="S91" s="17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192"/>
      <c r="R94" s="192"/>
      <c r="S94" s="192"/>
    </row>
    <row r="95" spans="1:19" ht="17.25" thickBot="1">
      <c r="A95" s="163" t="s">
        <v>298</v>
      </c>
      <c r="B95" s="193" t="s">
        <v>49</v>
      </c>
      <c r="C95" s="195"/>
      <c r="D95" s="193" t="s">
        <v>58</v>
      </c>
      <c r="E95" s="194"/>
      <c r="F95" s="195"/>
      <c r="G95" s="196">
        <f>_xlfn.IFNA(VLOOKUP(B95, 현재가테이블!$B$2:$D$200, 2, FALSE), "-")</f>
        <v>68581000</v>
      </c>
      <c r="H95" s="197"/>
      <c r="I95" s="198"/>
      <c r="J95" s="193" t="s">
        <v>59</v>
      </c>
      <c r="K95" s="194"/>
      <c r="L95" s="195"/>
      <c r="M95" s="199">
        <f>_xlfn.IFNA(VLOOKUP(B95, 현재가테이블!$B$2:$D$200, 3, FALSE), "-")</f>
        <v>-2.7047857000000002E-3</v>
      </c>
      <c r="N95" s="200"/>
      <c r="O95" s="201"/>
      <c r="Q95" s="192"/>
      <c r="R95" s="192"/>
      <c r="S95" s="192"/>
    </row>
    <row r="96" spans="1:19" ht="17.25" thickBot="1">
      <c r="A96" s="237" t="s">
        <v>55</v>
      </c>
      <c r="B96" s="233" t="str">
        <f>TEXT($G$1, "[$-ko-KR]yyyy-mm-dd(ddd) ") &amp; "오전 00:00"</f>
        <v>2021-05-06(목) 오전 00:00</v>
      </c>
      <c r="C96" s="234"/>
      <c r="D96" s="206" t="str">
        <f>TEXT($G$1, "[$-ko-KR]yyyy-mm-dd(ddd) ") &amp; "오후 14:00"</f>
        <v>2021-05-06(목) 오후 14:00</v>
      </c>
      <c r="E96" s="207"/>
      <c r="F96" s="208"/>
      <c r="G96" s="206" t="str">
        <f>TEXT($G$1, "[$-ko-KR]yyyy-mm-dd(ddd) ") &amp; "오후 19:00"</f>
        <v>2021-05-06(목) 오후 19:00</v>
      </c>
      <c r="H96" s="207"/>
      <c r="I96" s="208"/>
      <c r="J96" s="206" t="str">
        <f>TEXT($G$1, "[$-ko-KR]yyyy-mm-dd(ddd) ") &amp; "오후 21:00"</f>
        <v>2021-05-06(목) 오후 21:00</v>
      </c>
      <c r="K96" s="207"/>
      <c r="L96" s="208"/>
      <c r="M96" s="206" t="str">
        <f>TEXT($G$1+1, "[$-ko-KR]yyyy-mm-dd(ddd) ") &amp; "오전 00:00"</f>
        <v>2021-05-07(금) 오전 00:00</v>
      </c>
      <c r="N96" s="207"/>
      <c r="O96" s="208"/>
      <c r="Q96" s="192"/>
      <c r="R96" s="192"/>
      <c r="S96" s="192"/>
    </row>
    <row r="97" spans="1:19" ht="17.25" thickBot="1">
      <c r="A97" s="238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2"/>
      <c r="R97" s="182"/>
      <c r="S97" s="182"/>
    </row>
    <row r="98" spans="1:19" ht="17.25" thickBot="1">
      <c r="A98" s="126" t="s">
        <v>78</v>
      </c>
      <c r="B98" s="127">
        <v>1497500</v>
      </c>
      <c r="C98" s="76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100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192"/>
      <c r="R98" s="192"/>
      <c r="S98" s="192"/>
    </row>
    <row r="99" spans="1:19" ht="17.25" thickBot="1">
      <c r="A99" s="128" t="s">
        <v>296</v>
      </c>
      <c r="B99" s="129">
        <v>788</v>
      </c>
      <c r="C99" s="77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101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192"/>
      <c r="R99" s="192"/>
      <c r="S99" s="192"/>
    </row>
    <row r="100" spans="1:19" ht="17.25" thickBot="1">
      <c r="A100" s="128" t="s">
        <v>86</v>
      </c>
      <c r="B100" s="129">
        <v>9180</v>
      </c>
      <c r="C100" s="77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101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182"/>
      <c r="R100" s="182"/>
      <c r="S100" s="182"/>
    </row>
    <row r="101" spans="1:19" ht="17.25" thickBot="1">
      <c r="A101" s="128" t="s">
        <v>152</v>
      </c>
      <c r="B101" s="129">
        <v>51.5</v>
      </c>
      <c r="C101" s="77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101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182"/>
      <c r="R101" s="182"/>
      <c r="S101" s="182"/>
    </row>
    <row r="102" spans="1:19" ht="17.25" thickBot="1">
      <c r="A102" s="130" t="s">
        <v>90</v>
      </c>
      <c r="B102" s="131">
        <v>465900</v>
      </c>
      <c r="C102" s="78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5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182"/>
      <c r="R102" s="182"/>
      <c r="S102" s="182"/>
    </row>
    <row r="103" spans="1:19" ht="17.25" thickBot="1">
      <c r="A103" s="128" t="s">
        <v>108</v>
      </c>
      <c r="B103" s="132">
        <v>62240</v>
      </c>
      <c r="C103" s="80">
        <v>0.1265158371</v>
      </c>
      <c r="D103" s="106">
        <v>75040</v>
      </c>
      <c r="E103" s="107">
        <f>IF(ISNUMBER(D103), (D103 - $B103) / $B103, "")</f>
        <v>0.20565552699228792</v>
      </c>
      <c r="F103" s="108">
        <f>IF(ISNUMBER(D103), $B118 * E103, "")</f>
        <v>30848.329048843189</v>
      </c>
      <c r="G103" s="109">
        <v>74000</v>
      </c>
      <c r="H103" s="107">
        <f>IF(ISNUMBER(G103), (G103 - $B103) / $B103, "")</f>
        <v>0.18894601542416453</v>
      </c>
      <c r="I103" s="110">
        <f>IF(ISNUMBER(G103), $B118 * H103, "")</f>
        <v>28341.90231362468</v>
      </c>
      <c r="J103" s="106">
        <v>76620</v>
      </c>
      <c r="K103" s="107">
        <f>IF(ISNUMBER(J103), (J103 - $B103) / $B103, "")</f>
        <v>0.23104113110539845</v>
      </c>
      <c r="L103" s="108">
        <f>IF(ISNUMBER(J103), $B118 * K103, "")</f>
        <v>34656.169665809764</v>
      </c>
      <c r="M103" s="109">
        <v>73110</v>
      </c>
      <c r="N103" s="107">
        <f>IF(ISNUMBER(M103), (M103 - $B103) / $B103, "")</f>
        <v>0.17464652956298202</v>
      </c>
      <c r="O103" s="108">
        <f>IF(ISNUMBER(M103), $B118 * N103, "")</f>
        <v>26196.979434447301</v>
      </c>
      <c r="Q103" s="182"/>
      <c r="R103" s="182"/>
      <c r="S103" s="182"/>
    </row>
    <row r="104" spans="1:19" ht="17.25" thickBot="1">
      <c r="A104" s="128" t="s">
        <v>98</v>
      </c>
      <c r="B104" s="129">
        <v>7745</v>
      </c>
      <c r="C104" s="77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101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182"/>
      <c r="R104" s="182"/>
      <c r="S104" s="182"/>
    </row>
    <row r="105" spans="1:19" ht="17.25" thickBot="1">
      <c r="A105" s="128" t="s">
        <v>138</v>
      </c>
      <c r="B105" s="129">
        <v>48830</v>
      </c>
      <c r="C105" s="77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101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182"/>
      <c r="R105" s="182"/>
      <c r="S105" s="182"/>
    </row>
    <row r="106" spans="1:19" ht="17.25" thickBot="1">
      <c r="A106" s="128" t="s">
        <v>142</v>
      </c>
      <c r="B106" s="129">
        <v>460</v>
      </c>
      <c r="C106" s="77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101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33" t="s">
        <v>51</v>
      </c>
      <c r="B107" s="134">
        <v>699</v>
      </c>
      <c r="C107" s="79">
        <v>0.1077654517</v>
      </c>
      <c r="D107" s="24">
        <v>757</v>
      </c>
      <c r="E107" s="25">
        <f t="shared" si="50"/>
        <v>8.2975679542203154E-2</v>
      </c>
      <c r="F107" s="104">
        <f>IF(ISNUMBER(D107), $B118 * E107, "")</f>
        <v>12446.351931330473</v>
      </c>
      <c r="G107" s="102">
        <v>739</v>
      </c>
      <c r="H107" s="25">
        <f t="shared" si="51"/>
        <v>5.7224606580829757E-2</v>
      </c>
      <c r="I107" s="103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4">
        <f>IF(ISNUMBER(J107), $B118 * K107, "")</f>
        <v>11373.390557939914</v>
      </c>
      <c r="M107" s="102">
        <v>767</v>
      </c>
      <c r="N107" s="25">
        <f t="shared" si="53"/>
        <v>9.7281831187410586E-2</v>
      </c>
      <c r="O107" s="104">
        <f>IF(ISNUMBER(M107), $B118 * N107, "")</f>
        <v>14592.274678111587</v>
      </c>
      <c r="Q107" s="183"/>
      <c r="R107" s="184"/>
      <c r="S107" s="185"/>
    </row>
    <row r="108" spans="1:19">
      <c r="A108" s="126" t="s">
        <v>144</v>
      </c>
      <c r="B108" s="127">
        <v>11990</v>
      </c>
      <c r="C108" s="76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100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186"/>
      <c r="R108" s="187"/>
      <c r="S108" s="188"/>
    </row>
    <row r="109" spans="1:19" ht="17.25" thickBot="1">
      <c r="A109" s="128" t="s">
        <v>80</v>
      </c>
      <c r="B109" s="129">
        <v>1605</v>
      </c>
      <c r="C109" s="77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101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189"/>
      <c r="R109" s="190"/>
      <c r="S109" s="191"/>
    </row>
    <row r="110" spans="1:19" ht="17.25" thickBot="1">
      <c r="A110" s="128" t="s">
        <v>178</v>
      </c>
      <c r="B110" s="129">
        <v>53330</v>
      </c>
      <c r="C110" s="77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101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182"/>
      <c r="R110" s="182"/>
      <c r="S110" s="182"/>
    </row>
    <row r="111" spans="1:19" ht="17.25" thickBot="1">
      <c r="A111" s="128" t="s">
        <v>92</v>
      </c>
      <c r="B111" s="129">
        <v>1895</v>
      </c>
      <c r="C111" s="77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101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192"/>
      <c r="R111" s="192"/>
      <c r="S111" s="192"/>
    </row>
    <row r="112" spans="1:19" ht="17.25" thickBot="1">
      <c r="A112" s="130" t="s">
        <v>104</v>
      </c>
      <c r="B112" s="131">
        <v>2410</v>
      </c>
      <c r="C112" s="78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5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192"/>
      <c r="R112" s="192"/>
      <c r="S112" s="192"/>
    </row>
    <row r="113" spans="1:19" ht="17.25" thickBot="1">
      <c r="A113" s="128" t="s">
        <v>102</v>
      </c>
      <c r="B113" s="132">
        <v>93120</v>
      </c>
      <c r="C113" s="80">
        <v>8.2790697699999999E-2</v>
      </c>
      <c r="D113" s="106">
        <v>114900</v>
      </c>
      <c r="E113" s="107">
        <f>IF(ISNUMBER(D113), (D113 - $B113) / $B113, "")</f>
        <v>0.23389175257731959</v>
      </c>
      <c r="F113" s="108">
        <f>IF(ISNUMBER(D113), $B118 * E113, "")</f>
        <v>35083.762886597935</v>
      </c>
      <c r="G113" s="109">
        <v>120000</v>
      </c>
      <c r="H113" s="107">
        <f>IF(ISNUMBER(G113), (G113 - $B113) / $B113, "")</f>
        <v>0.28865979381443296</v>
      </c>
      <c r="I113" s="110">
        <f>IF(ISNUMBER(G113), $B118 * H113, "")</f>
        <v>43298.969072164946</v>
      </c>
      <c r="J113" s="106">
        <v>129000</v>
      </c>
      <c r="K113" s="107">
        <f>IF(ISNUMBER(J113), (J113 - $B113) / $B113, "")</f>
        <v>0.38530927835051548</v>
      </c>
      <c r="L113" s="108">
        <f>IF(ISNUMBER(J113), $B118 * K113, "")</f>
        <v>57796.391752577321</v>
      </c>
      <c r="M113" s="109">
        <v>137000</v>
      </c>
      <c r="N113" s="107">
        <f>IF(ISNUMBER(M113), (M113 - $B113) / $B113, "")</f>
        <v>0.47121993127147765</v>
      </c>
      <c r="O113" s="108">
        <f>IF(ISNUMBER(M113), $B118 * N113, "")</f>
        <v>70682.989690721646</v>
      </c>
      <c r="Q113" s="182"/>
      <c r="R113" s="182"/>
      <c r="S113" s="182"/>
    </row>
    <row r="114" spans="1:19" ht="17.25" thickBot="1">
      <c r="A114" s="128" t="s">
        <v>188</v>
      </c>
      <c r="B114" s="129">
        <v>18760</v>
      </c>
      <c r="C114" s="77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101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182"/>
      <c r="R114" s="182"/>
      <c r="S114" s="182"/>
    </row>
    <row r="115" spans="1:19" ht="17.25" thickBot="1">
      <c r="A115" s="128" t="s">
        <v>61</v>
      </c>
      <c r="B115" s="129">
        <v>1720</v>
      </c>
      <c r="C115" s="77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101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182"/>
      <c r="R115" s="182"/>
      <c r="S115" s="182"/>
    </row>
    <row r="116" spans="1:19">
      <c r="A116" s="128" t="s">
        <v>130</v>
      </c>
      <c r="B116" s="129">
        <v>413800</v>
      </c>
      <c r="C116" s="77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101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171"/>
      <c r="R116" s="172"/>
      <c r="S116" s="173"/>
    </row>
    <row r="117" spans="1:19" ht="17.25" thickBot="1">
      <c r="A117" s="133" t="s">
        <v>156</v>
      </c>
      <c r="B117" s="134">
        <v>161</v>
      </c>
      <c r="C117" s="79">
        <v>7.3333333299999998E-2</v>
      </c>
      <c r="D117" s="24">
        <v>176</v>
      </c>
      <c r="E117" s="25">
        <f t="shared" si="58"/>
        <v>9.3167701863354033E-2</v>
      </c>
      <c r="F117" s="104">
        <f>IF(ISNUMBER(D117), $B118 * E117, "")</f>
        <v>13975.155279503106</v>
      </c>
      <c r="G117" s="102">
        <v>172</v>
      </c>
      <c r="H117" s="25">
        <f t="shared" si="59"/>
        <v>6.8322981366459631E-2</v>
      </c>
      <c r="I117" s="103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4">
        <f>IF(ISNUMBER(J117), $B118 * K117, "")</f>
        <v>12111.801242236024</v>
      </c>
      <c r="M117" s="102">
        <v>183</v>
      </c>
      <c r="N117" s="25">
        <f t="shared" si="61"/>
        <v>0.13664596273291926</v>
      </c>
      <c r="O117" s="104">
        <f>IF(ISNUMBER(M117), $B118 * N117, "")</f>
        <v>20496.89440993789</v>
      </c>
      <c r="Q117" s="174"/>
      <c r="R117" s="175"/>
      <c r="S117" s="176"/>
    </row>
    <row r="118" spans="1:19" ht="17.25" thickBot="1">
      <c r="A118" s="135" t="s">
        <v>301</v>
      </c>
      <c r="B118" s="235">
        <f>$B$37</f>
        <v>150000</v>
      </c>
      <c r="C118" s="236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177"/>
      <c r="R118" s="178"/>
      <c r="S118" s="17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192"/>
      <c r="R121" s="192"/>
      <c r="S121" s="192"/>
    </row>
    <row r="122" spans="1:19" ht="17.25" thickBot="1">
      <c r="A122" s="163" t="s">
        <v>298</v>
      </c>
      <c r="B122" s="193" t="s">
        <v>49</v>
      </c>
      <c r="C122" s="195"/>
      <c r="D122" s="193" t="s">
        <v>58</v>
      </c>
      <c r="E122" s="194"/>
      <c r="F122" s="195"/>
      <c r="G122" s="196">
        <f>_xlfn.IFNA(VLOOKUP(B122, 현재가테이블!$B$2:$D$200, 2, FALSE), "-")</f>
        <v>68581000</v>
      </c>
      <c r="H122" s="197"/>
      <c r="I122" s="198"/>
      <c r="J122" s="193" t="s">
        <v>59</v>
      </c>
      <c r="K122" s="194"/>
      <c r="L122" s="195"/>
      <c r="M122" s="199">
        <f>_xlfn.IFNA(VLOOKUP(B122, 현재가테이블!$B$2:$D$200, 3, FALSE), "-")</f>
        <v>-2.7047857000000002E-3</v>
      </c>
      <c r="N122" s="200"/>
      <c r="O122" s="201"/>
      <c r="Q122" s="192"/>
      <c r="R122" s="192"/>
      <c r="S122" s="192"/>
    </row>
    <row r="123" spans="1:19" ht="17.25" thickBot="1">
      <c r="A123" s="237" t="s">
        <v>55</v>
      </c>
      <c r="B123" s="233" t="str">
        <f>TEXT($G$1, "[$-ko-KR]yyyy-mm-dd(ddd) ") &amp; "오전 00:00"</f>
        <v>2021-05-06(목) 오전 00:00</v>
      </c>
      <c r="C123" s="234"/>
      <c r="D123" s="206" t="str">
        <f>TEXT($G$1, "[$-ko-KR]yyyy-mm-dd(ddd) ") &amp; "오후 14:00"</f>
        <v>2021-05-06(목) 오후 14:00</v>
      </c>
      <c r="E123" s="207"/>
      <c r="F123" s="208"/>
      <c r="G123" s="206" t="str">
        <f>TEXT($G$1, "[$-ko-KR]yyyy-mm-dd(ddd) ") &amp; "오후 19:00"</f>
        <v>2021-05-06(목) 오후 19:00</v>
      </c>
      <c r="H123" s="207"/>
      <c r="I123" s="208"/>
      <c r="J123" s="206" t="str">
        <f>TEXT($G$1, "[$-ko-KR]yyyy-mm-dd(ddd) ") &amp; "오후 21:00"</f>
        <v>2021-05-06(목) 오후 21:00</v>
      </c>
      <c r="K123" s="207"/>
      <c r="L123" s="208"/>
      <c r="M123" s="206" t="str">
        <f>TEXT($G$1+1, "[$-ko-KR]yyyy-mm-dd(ddd) ") &amp; "오전 00:00"</f>
        <v>2021-05-07(금) 오전 00:00</v>
      </c>
      <c r="N123" s="207"/>
      <c r="O123" s="208"/>
      <c r="Q123" s="192"/>
      <c r="R123" s="192"/>
      <c r="S123" s="192"/>
    </row>
    <row r="124" spans="1:19" ht="17.25" thickBot="1">
      <c r="A124" s="238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2"/>
      <c r="R124" s="182"/>
      <c r="S124" s="182"/>
    </row>
    <row r="125" spans="1:19" ht="17.25" thickBot="1">
      <c r="A125" s="126" t="s">
        <v>152</v>
      </c>
      <c r="B125" s="127">
        <v>51.5</v>
      </c>
      <c r="C125" s="76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100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192"/>
      <c r="R125" s="192"/>
      <c r="S125" s="192"/>
    </row>
    <row r="126" spans="1:19" ht="17.25" thickBot="1">
      <c r="A126" s="128" t="s">
        <v>126</v>
      </c>
      <c r="B126" s="129">
        <v>65.5</v>
      </c>
      <c r="C126" s="77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101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192"/>
      <c r="R126" s="192"/>
      <c r="S126" s="192"/>
    </row>
    <row r="127" spans="1:19" ht="17.25" thickBot="1">
      <c r="A127" s="128" t="s">
        <v>100</v>
      </c>
      <c r="B127" s="129">
        <v>8.52</v>
      </c>
      <c r="C127" s="77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101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182"/>
      <c r="R127" s="182"/>
      <c r="S127" s="182"/>
    </row>
    <row r="128" spans="1:19" ht="17.25" thickBot="1">
      <c r="A128" s="128" t="s">
        <v>72</v>
      </c>
      <c r="B128" s="129">
        <v>36.1</v>
      </c>
      <c r="C128" s="77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101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182"/>
      <c r="R128" s="182"/>
      <c r="S128" s="182"/>
    </row>
    <row r="129" spans="1:19" ht="17.25" thickBot="1">
      <c r="A129" s="130" t="s">
        <v>65</v>
      </c>
      <c r="B129" s="131">
        <v>73.8</v>
      </c>
      <c r="C129" s="78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5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182"/>
      <c r="R129" s="182"/>
      <c r="S129" s="182"/>
    </row>
    <row r="130" spans="1:19" ht="17.25" thickBot="1">
      <c r="A130" s="128" t="s">
        <v>254</v>
      </c>
      <c r="B130" s="132">
        <v>93.6</v>
      </c>
      <c r="C130" s="80">
        <v>3.08370044E-2</v>
      </c>
      <c r="D130" s="106">
        <v>87.5</v>
      </c>
      <c r="E130" s="107">
        <f>IF(ISNUMBER(D130), (D130 - $B130) / $B130, "")</f>
        <v>-6.517094017094012E-2</v>
      </c>
      <c r="F130" s="108">
        <f>IF(ISNUMBER(D130), $B145 * E130, "")</f>
        <v>-9775.6410256410181</v>
      </c>
      <c r="G130" s="109">
        <v>87.7</v>
      </c>
      <c r="H130" s="107">
        <f>IF(ISNUMBER(G130), (G130 - $B130) / $B130, "")</f>
        <v>-6.3034188034187949E-2</v>
      </c>
      <c r="I130" s="110">
        <f>IF(ISNUMBER(G130), $B145 * H130, "")</f>
        <v>-9455.1282051281923</v>
      </c>
      <c r="J130" s="106">
        <v>86.9</v>
      </c>
      <c r="K130" s="107">
        <f>IF(ISNUMBER(J130), (J130 - $B130) / $B130, "")</f>
        <v>-7.1581196581196466E-2</v>
      </c>
      <c r="L130" s="108">
        <f>IF(ISNUMBER(J130), $B145 * K130, "")</f>
        <v>-10737.17948717947</v>
      </c>
      <c r="M130" s="109">
        <v>86</v>
      </c>
      <c r="N130" s="107">
        <f>IF(ISNUMBER(M130), (M130 - $B130) / $B130, "")</f>
        <v>-8.1196581196581144E-2</v>
      </c>
      <c r="O130" s="108">
        <f>IF(ISNUMBER(M130), $B145 * N130, "")</f>
        <v>-12179.487179487172</v>
      </c>
      <c r="Q130" s="182"/>
      <c r="R130" s="182"/>
      <c r="S130" s="182"/>
    </row>
    <row r="131" spans="1:19" ht="17.25" thickBot="1">
      <c r="A131" s="128" t="s">
        <v>196</v>
      </c>
      <c r="B131" s="129">
        <v>20.9</v>
      </c>
      <c r="C131" s="77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101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182"/>
      <c r="R131" s="182"/>
      <c r="S131" s="182"/>
    </row>
    <row r="132" spans="1:19" ht="17.25" thickBot="1">
      <c r="A132" s="128" t="s">
        <v>220</v>
      </c>
      <c r="B132" s="129">
        <v>22.3</v>
      </c>
      <c r="C132" s="77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101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182"/>
      <c r="R132" s="182"/>
      <c r="S132" s="182"/>
    </row>
    <row r="133" spans="1:19" ht="17.25" thickBot="1">
      <c r="A133" s="128" t="s">
        <v>268</v>
      </c>
      <c r="B133" s="129">
        <v>99.8</v>
      </c>
      <c r="C133" s="77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101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33" t="s">
        <v>198</v>
      </c>
      <c r="B134" s="134">
        <v>29</v>
      </c>
      <c r="C134" s="79">
        <v>-3.4364260999999998E-3</v>
      </c>
      <c r="D134" s="24">
        <v>28.7</v>
      </c>
      <c r="E134" s="25">
        <f t="shared" si="66"/>
        <v>-1.0344827586206921E-2</v>
      </c>
      <c r="F134" s="104">
        <f>IF(ISNUMBER(D134), $B145 * E134, "")</f>
        <v>-1551.7241379310381</v>
      </c>
      <c r="G134" s="102">
        <v>28.3</v>
      </c>
      <c r="H134" s="25">
        <f t="shared" si="67"/>
        <v>-2.4137931034482734E-2</v>
      </c>
      <c r="I134" s="103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4">
        <f>IF(ISNUMBER(J134), $B145 * K134, "")</f>
        <v>-3620.6896551724103</v>
      </c>
      <c r="M134" s="102">
        <v>28.3</v>
      </c>
      <c r="N134" s="25">
        <f t="shared" si="69"/>
        <v>-2.4137931034482734E-2</v>
      </c>
      <c r="O134" s="104">
        <f>IF(ISNUMBER(M134), $B145 * N134, "")</f>
        <v>-3620.6896551724103</v>
      </c>
      <c r="Q134" s="183"/>
      <c r="R134" s="184"/>
      <c r="S134" s="185"/>
    </row>
    <row r="135" spans="1:19">
      <c r="A135" s="126" t="s">
        <v>186</v>
      </c>
      <c r="B135" s="127">
        <v>25.9</v>
      </c>
      <c r="C135" s="76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100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186"/>
      <c r="R135" s="187"/>
      <c r="S135" s="188"/>
    </row>
    <row r="136" spans="1:19" ht="17.25" thickBot="1">
      <c r="A136" s="128" t="s">
        <v>228</v>
      </c>
      <c r="B136" s="129">
        <v>18.7</v>
      </c>
      <c r="C136" s="77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101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189"/>
      <c r="R136" s="190"/>
      <c r="S136" s="191"/>
    </row>
    <row r="137" spans="1:19" ht="17.25" thickBot="1">
      <c r="A137" s="128" t="s">
        <v>222</v>
      </c>
      <c r="B137" s="129">
        <v>18.7</v>
      </c>
      <c r="C137" s="77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101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182"/>
      <c r="R137" s="182"/>
      <c r="S137" s="182"/>
    </row>
    <row r="138" spans="1:19" ht="17.25" thickBot="1">
      <c r="A138" s="128" t="s">
        <v>154</v>
      </c>
      <c r="B138" s="129">
        <v>21.5</v>
      </c>
      <c r="C138" s="77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101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192"/>
      <c r="R138" s="192"/>
      <c r="S138" s="192"/>
    </row>
    <row r="139" spans="1:19" ht="17.25" thickBot="1">
      <c r="A139" s="130" t="s">
        <v>236</v>
      </c>
      <c r="B139" s="131">
        <v>69.599999999999994</v>
      </c>
      <c r="C139" s="78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5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192"/>
      <c r="R139" s="192"/>
      <c r="S139" s="192"/>
    </row>
    <row r="140" spans="1:19" ht="17.25" thickBot="1">
      <c r="A140" s="128" t="s">
        <v>172</v>
      </c>
      <c r="B140" s="132">
        <v>25.6</v>
      </c>
      <c r="C140" s="80">
        <v>-1.5384615399999999E-2</v>
      </c>
      <c r="D140" s="106">
        <v>25.6</v>
      </c>
      <c r="E140" s="107">
        <f>IF(ISNUMBER(D140), (D140 - $B140) / $B140, "")</f>
        <v>0</v>
      </c>
      <c r="F140" s="108">
        <f>IF(ISNUMBER(D140), $B145 * E140, "")</f>
        <v>0</v>
      </c>
      <c r="G140" s="109">
        <v>25.5</v>
      </c>
      <c r="H140" s="107">
        <f>IF(ISNUMBER(G140), (G140 - $B140) / $B140, "")</f>
        <v>-3.9062500000000555E-3</v>
      </c>
      <c r="I140" s="110">
        <f>IF(ISNUMBER(G140), $B145 * H140, "")</f>
        <v>-585.9375000000083</v>
      </c>
      <c r="J140" s="106">
        <v>25.3</v>
      </c>
      <c r="K140" s="107">
        <f>IF(ISNUMBER(J140), (J140 - $B140) / $B140, "")</f>
        <v>-1.1718750000000028E-2</v>
      </c>
      <c r="L140" s="108">
        <f>IF(ISNUMBER(J140), $B145 * K140, "")</f>
        <v>-1757.8125000000041</v>
      </c>
      <c r="M140" s="109">
        <v>25.2</v>
      </c>
      <c r="N140" s="107">
        <f>IF(ISNUMBER(M140), (M140 - $B140) / $B140, "")</f>
        <v>-1.5625000000000083E-2</v>
      </c>
      <c r="O140" s="108">
        <f>IF(ISNUMBER(M140), $B145 * N140, "")</f>
        <v>-2343.7500000000123</v>
      </c>
      <c r="Q140" s="182"/>
      <c r="R140" s="182"/>
      <c r="S140" s="182"/>
    </row>
    <row r="141" spans="1:19" ht="17.25" thickBot="1">
      <c r="A141" s="128" t="s">
        <v>214</v>
      </c>
      <c r="B141" s="129">
        <v>22.4</v>
      </c>
      <c r="C141" s="77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101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182"/>
      <c r="R141" s="182"/>
      <c r="S141" s="182"/>
    </row>
    <row r="142" spans="1:19" ht="17.25" thickBot="1">
      <c r="A142" s="128" t="s">
        <v>218</v>
      </c>
      <c r="B142" s="129">
        <v>28.8</v>
      </c>
      <c r="C142" s="77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101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182"/>
      <c r="R142" s="182"/>
      <c r="S142" s="182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1"/>
      <c r="R143" s="172"/>
      <c r="S143" s="17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4"/>
      <c r="R144" s="175"/>
      <c r="S144" s="176"/>
    </row>
    <row r="145" spans="1:19" ht="17.25" thickBot="1">
      <c r="A145" s="135" t="s">
        <v>301</v>
      </c>
      <c r="B145" s="235">
        <f>$B$37</f>
        <v>150000</v>
      </c>
      <c r="C145" s="236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177"/>
      <c r="R145" s="178"/>
      <c r="S145" s="17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192"/>
      <c r="R148" s="192"/>
      <c r="S148" s="192"/>
    </row>
    <row r="149" spans="1:19" ht="17.25" thickBot="1">
      <c r="A149" s="163" t="s">
        <v>298</v>
      </c>
      <c r="B149" s="193" t="s">
        <v>49</v>
      </c>
      <c r="C149" s="195"/>
      <c r="D149" s="193" t="s">
        <v>58</v>
      </c>
      <c r="E149" s="194"/>
      <c r="F149" s="195"/>
      <c r="G149" s="196">
        <f>_xlfn.IFNA(VLOOKUP(B149, 현재가테이블!$B$2:$D$200, 2, FALSE), "-")</f>
        <v>68581000</v>
      </c>
      <c r="H149" s="197"/>
      <c r="I149" s="198"/>
      <c r="J149" s="193" t="s">
        <v>59</v>
      </c>
      <c r="K149" s="194"/>
      <c r="L149" s="195"/>
      <c r="M149" s="199">
        <f>_xlfn.IFNA(VLOOKUP(B149, 현재가테이블!$B$2:$D$200, 3, FALSE), "-")</f>
        <v>-2.7047857000000002E-3</v>
      </c>
      <c r="N149" s="200"/>
      <c r="O149" s="201"/>
      <c r="Q149" s="192"/>
      <c r="R149" s="192"/>
      <c r="S149" s="192"/>
    </row>
    <row r="150" spans="1:19" ht="17.25" thickBot="1">
      <c r="A150" s="237" t="s">
        <v>55</v>
      </c>
      <c r="B150" s="233" t="str">
        <f>TEXT($G$1, "[$-ko-KR]yyyy-mm-dd(ddd) ") &amp; "오전 00:00"</f>
        <v>2021-05-06(목) 오전 00:00</v>
      </c>
      <c r="C150" s="234"/>
      <c r="D150" s="206" t="str">
        <f>TEXT($G$1, "[$-ko-KR]yyyy-mm-dd(ddd) ") &amp; "오후 14:00"</f>
        <v>2021-05-06(목) 오후 14:00</v>
      </c>
      <c r="E150" s="207"/>
      <c r="F150" s="208"/>
      <c r="G150" s="206" t="str">
        <f>TEXT($G$1, "[$-ko-KR]yyyy-mm-dd(ddd) ") &amp; "오후 19:00"</f>
        <v>2021-05-06(목) 오후 19:00</v>
      </c>
      <c r="H150" s="207"/>
      <c r="I150" s="208"/>
      <c r="J150" s="206" t="str">
        <f>TEXT($G$1, "[$-ko-KR]yyyy-mm-dd(ddd) ") &amp; "오후 21:00"</f>
        <v>2021-05-06(목) 오후 21:00</v>
      </c>
      <c r="K150" s="207"/>
      <c r="L150" s="208"/>
      <c r="M150" s="206" t="str">
        <f>TEXT($G$1+1, "[$-ko-KR]yyyy-mm-dd(ddd) ") &amp; "오전 00:00"</f>
        <v>2021-05-07(금) 오전 00:00</v>
      </c>
      <c r="N150" s="207"/>
      <c r="O150" s="208"/>
      <c r="Q150" s="192"/>
      <c r="R150" s="192"/>
      <c r="S150" s="192"/>
    </row>
    <row r="151" spans="1:19" ht="17.25" thickBot="1">
      <c r="A151" s="238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2"/>
      <c r="R151" s="182"/>
      <c r="S151" s="182"/>
    </row>
    <row r="152" spans="1:19" ht="17.25" thickBot="1">
      <c r="A152" s="126" t="s">
        <v>264</v>
      </c>
      <c r="B152" s="127">
        <v>173</v>
      </c>
      <c r="C152" s="76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100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192"/>
      <c r="R152" s="192"/>
      <c r="S152" s="192"/>
    </row>
    <row r="153" spans="1:19" ht="17.25" thickBot="1">
      <c r="A153" s="128" t="s">
        <v>112</v>
      </c>
      <c r="B153" s="129">
        <v>256</v>
      </c>
      <c r="C153" s="77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101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192"/>
      <c r="R153" s="192"/>
      <c r="S153" s="192"/>
    </row>
    <row r="154" spans="1:19" ht="17.25" thickBot="1">
      <c r="A154" s="128" t="s">
        <v>202</v>
      </c>
      <c r="B154" s="129">
        <v>215</v>
      </c>
      <c r="C154" s="77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101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182"/>
      <c r="R154" s="182"/>
      <c r="S154" s="182"/>
    </row>
    <row r="155" spans="1:19" ht="17.25" thickBot="1">
      <c r="A155" s="128" t="s">
        <v>174</v>
      </c>
      <c r="B155" s="129">
        <v>276</v>
      </c>
      <c r="C155" s="77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101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182"/>
      <c r="R155" s="182"/>
      <c r="S155" s="182"/>
    </row>
    <row r="156" spans="1:19" ht="17.25" thickBot="1">
      <c r="A156" s="130" t="s">
        <v>210</v>
      </c>
      <c r="B156" s="131">
        <v>197</v>
      </c>
      <c r="C156" s="78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5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182"/>
      <c r="R156" s="182"/>
      <c r="S156" s="182"/>
    </row>
    <row r="157" spans="1:19" ht="17.25" thickBot="1">
      <c r="A157" s="128" t="s">
        <v>208</v>
      </c>
      <c r="B157" s="132">
        <v>494</v>
      </c>
      <c r="C157" s="80">
        <v>-1.5936255E-2</v>
      </c>
      <c r="D157" s="106">
        <v>496</v>
      </c>
      <c r="E157" s="107">
        <f>IF(ISNUMBER(D157), (D157 - $B157) / $B157, "")</f>
        <v>4.048582995951417E-3</v>
      </c>
      <c r="F157" s="108">
        <f>IF(ISNUMBER(D157), $B172 * E157, "")</f>
        <v>607.28744939271257</v>
      </c>
      <c r="G157" s="109">
        <v>491</v>
      </c>
      <c r="H157" s="107">
        <f>IF(ISNUMBER(G157), (G157 - $B157) / $B157, "")</f>
        <v>-6.0728744939271256E-3</v>
      </c>
      <c r="I157" s="110">
        <f>IF(ISNUMBER(G157), $B172 * H157, "")</f>
        <v>-910.9311740890688</v>
      </c>
      <c r="J157" s="106">
        <v>490</v>
      </c>
      <c r="K157" s="107">
        <f>IF(ISNUMBER(J157), (J157 - $B157) / $B157, "")</f>
        <v>-8.0971659919028341E-3</v>
      </c>
      <c r="L157" s="108">
        <f>IF(ISNUMBER(J157), $B172 * K157, "")</f>
        <v>-1214.5748987854251</v>
      </c>
      <c r="M157" s="109">
        <v>490</v>
      </c>
      <c r="N157" s="107">
        <f>IF(ISNUMBER(M157), (M157 - $B157) / $B157, "")</f>
        <v>-8.0971659919028341E-3</v>
      </c>
      <c r="O157" s="108">
        <f>IF(ISNUMBER(M157), $B172 * N157, "")</f>
        <v>-1214.5748987854251</v>
      </c>
      <c r="Q157" s="182"/>
      <c r="R157" s="182"/>
      <c r="S157" s="182"/>
    </row>
    <row r="158" spans="1:19" ht="17.25" thickBot="1">
      <c r="A158" s="128" t="s">
        <v>238</v>
      </c>
      <c r="B158" s="129">
        <v>294</v>
      </c>
      <c r="C158" s="77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101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182"/>
      <c r="R158" s="182"/>
      <c r="S158" s="182"/>
    </row>
    <row r="159" spans="1:19" ht="17.25" thickBot="1">
      <c r="A159" s="128" t="s">
        <v>246</v>
      </c>
      <c r="B159" s="129">
        <v>401</v>
      </c>
      <c r="C159" s="77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101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182"/>
      <c r="R159" s="182"/>
      <c r="S159" s="182"/>
    </row>
    <row r="160" spans="1:19" ht="17.25" thickBot="1">
      <c r="A160" s="128" t="s">
        <v>282</v>
      </c>
      <c r="B160" s="129">
        <v>163</v>
      </c>
      <c r="C160" s="77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101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33" t="s">
        <v>212</v>
      </c>
      <c r="B161" s="134">
        <v>153</v>
      </c>
      <c r="C161" s="79">
        <v>-1.9230769200000001E-2</v>
      </c>
      <c r="D161" s="24">
        <v>162</v>
      </c>
      <c r="E161" s="25">
        <f t="shared" si="82"/>
        <v>5.8823529411764705E-2</v>
      </c>
      <c r="F161" s="104">
        <f>IF(ISNUMBER(D161), $B172 * E161, "")</f>
        <v>8823.5294117647063</v>
      </c>
      <c r="G161" s="102">
        <v>157</v>
      </c>
      <c r="H161" s="25">
        <f t="shared" si="83"/>
        <v>2.6143790849673203E-2</v>
      </c>
      <c r="I161" s="103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4">
        <f>IF(ISNUMBER(J161), $B172 * K161, "")</f>
        <v>4901.9607843137255</v>
      </c>
      <c r="M161" s="102">
        <v>156</v>
      </c>
      <c r="N161" s="25">
        <f t="shared" si="85"/>
        <v>1.9607843137254902E-2</v>
      </c>
      <c r="O161" s="104">
        <f>IF(ISNUMBER(M161), $B172 * N161, "")</f>
        <v>2941.1764705882351</v>
      </c>
      <c r="Q161" s="183"/>
      <c r="R161" s="184"/>
      <c r="S161" s="185"/>
    </row>
    <row r="162" spans="1:19">
      <c r="A162" s="126" t="s">
        <v>226</v>
      </c>
      <c r="B162" s="127">
        <v>502</v>
      </c>
      <c r="C162" s="76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100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186"/>
      <c r="R162" s="187"/>
      <c r="S162" s="188"/>
    </row>
    <row r="163" spans="1:19" ht="17.25" thickBot="1">
      <c r="A163" s="128" t="s">
        <v>284</v>
      </c>
      <c r="B163" s="129">
        <v>441</v>
      </c>
      <c r="C163" s="77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101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189"/>
      <c r="R163" s="190"/>
      <c r="S163" s="191"/>
    </row>
    <row r="164" spans="1:19" ht="17.25" thickBot="1">
      <c r="A164" s="128" t="s">
        <v>240</v>
      </c>
      <c r="B164" s="129">
        <v>188</v>
      </c>
      <c r="C164" s="77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101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182"/>
      <c r="R164" s="182"/>
      <c r="S164" s="182"/>
    </row>
    <row r="165" spans="1:19" ht="17.25" thickBot="1">
      <c r="A165" s="128" t="s">
        <v>200</v>
      </c>
      <c r="B165" s="129">
        <v>371</v>
      </c>
      <c r="C165" s="77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101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192"/>
      <c r="R165" s="192"/>
      <c r="S165" s="192"/>
    </row>
    <row r="166" spans="1:19" ht="17.25" thickBot="1">
      <c r="A166" s="130" t="s">
        <v>230</v>
      </c>
      <c r="B166" s="131">
        <v>177</v>
      </c>
      <c r="C166" s="78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5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192"/>
      <c r="R166" s="192"/>
      <c r="S166" s="192"/>
    </row>
    <row r="167" spans="1:19" ht="17.25" thickBot="1">
      <c r="A167" s="128" t="s">
        <v>232</v>
      </c>
      <c r="B167" s="132">
        <v>173</v>
      </c>
      <c r="C167" s="80">
        <v>-2.2598870100000001E-2</v>
      </c>
      <c r="D167" s="106">
        <v>176</v>
      </c>
      <c r="E167" s="107">
        <f>IF(ISNUMBER(D167), (D167 - $B167) / $B167, "")</f>
        <v>1.7341040462427744E-2</v>
      </c>
      <c r="F167" s="108">
        <f>IF(ISNUMBER(D167), $B172 * E167, "")</f>
        <v>2601.1560693641618</v>
      </c>
      <c r="G167" s="109">
        <v>175</v>
      </c>
      <c r="H167" s="107">
        <f>IF(ISNUMBER(G167), (G167 - $B167) / $B167, "")</f>
        <v>1.1560693641618497E-2</v>
      </c>
      <c r="I167" s="110">
        <f>IF(ISNUMBER(G167), $B172 * H167, "")</f>
        <v>1734.1040462427745</v>
      </c>
      <c r="J167" s="106">
        <v>175</v>
      </c>
      <c r="K167" s="107">
        <f>IF(ISNUMBER(J167), (J167 - $B167) / $B167, "")</f>
        <v>1.1560693641618497E-2</v>
      </c>
      <c r="L167" s="108">
        <f>IF(ISNUMBER(J167), $B172 * K167, "")</f>
        <v>1734.1040462427745</v>
      </c>
      <c r="M167" s="109">
        <v>173</v>
      </c>
      <c r="N167" s="107">
        <f>IF(ISNUMBER(M167), (M167 - $B167) / $B167, "")</f>
        <v>0</v>
      </c>
      <c r="O167" s="108">
        <f>IF(ISNUMBER(M167), $B172 * N167, "")</f>
        <v>0</v>
      </c>
      <c r="Q167" s="182"/>
      <c r="R167" s="182"/>
      <c r="S167" s="182"/>
    </row>
    <row r="168" spans="1:19" ht="17.25" thickBot="1">
      <c r="A168" s="128" t="s">
        <v>260</v>
      </c>
      <c r="B168" s="129">
        <v>122</v>
      </c>
      <c r="C168" s="77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101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182"/>
      <c r="R168" s="182"/>
      <c r="S168" s="182"/>
    </row>
    <row r="169" spans="1:19" ht="17.25" thickBot="1">
      <c r="A169" s="128" t="s">
        <v>122</v>
      </c>
      <c r="B169" s="129">
        <v>116</v>
      </c>
      <c r="C169" s="77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101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182"/>
      <c r="R169" s="182"/>
      <c r="S169" s="182"/>
    </row>
    <row r="170" spans="1:19">
      <c r="A170" s="128" t="s">
        <v>258</v>
      </c>
      <c r="B170" s="129">
        <v>720</v>
      </c>
      <c r="C170" s="77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101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171"/>
      <c r="R170" s="172"/>
      <c r="S170" s="173"/>
    </row>
    <row r="171" spans="1:19" ht="17.25" thickBot="1">
      <c r="A171" s="133" t="s">
        <v>252</v>
      </c>
      <c r="B171" s="134">
        <v>544</v>
      </c>
      <c r="C171" s="79">
        <v>-2.85714286E-2</v>
      </c>
      <c r="D171" s="24">
        <v>559</v>
      </c>
      <c r="E171" s="25">
        <f t="shared" si="90"/>
        <v>2.7573529411764705E-2</v>
      </c>
      <c r="F171" s="104">
        <f>IF(ISNUMBER(D171), $B172 * E171, "")</f>
        <v>4136.0294117647054</v>
      </c>
      <c r="G171" s="102">
        <v>555</v>
      </c>
      <c r="H171" s="25">
        <f t="shared" si="91"/>
        <v>2.0220588235294119E-2</v>
      </c>
      <c r="I171" s="103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4">
        <f>IF(ISNUMBER(J171), $B172 * K171, "")</f>
        <v>4411.7647058823532</v>
      </c>
      <c r="M171" s="102">
        <v>557</v>
      </c>
      <c r="N171" s="25">
        <f t="shared" si="93"/>
        <v>2.389705882352941E-2</v>
      </c>
      <c r="O171" s="104">
        <f>IF(ISNUMBER(M171), $B172 * N171, "")</f>
        <v>3584.5588235294117</v>
      </c>
      <c r="Q171" s="174"/>
      <c r="R171" s="175"/>
      <c r="S171" s="176"/>
    </row>
    <row r="172" spans="1:19" ht="17.25" thickBot="1">
      <c r="A172" s="135" t="s">
        <v>301</v>
      </c>
      <c r="B172" s="235">
        <f>$B$37</f>
        <v>150000</v>
      </c>
      <c r="C172" s="236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177"/>
      <c r="R172" s="178"/>
      <c r="S172" s="17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192"/>
      <c r="R175" s="192"/>
      <c r="S175" s="192"/>
    </row>
    <row r="176" spans="1:19" ht="17.25" thickBot="1">
      <c r="A176" s="163" t="s">
        <v>298</v>
      </c>
      <c r="B176" s="193" t="s">
        <v>49</v>
      </c>
      <c r="C176" s="195"/>
      <c r="D176" s="193" t="s">
        <v>58</v>
      </c>
      <c r="E176" s="194"/>
      <c r="F176" s="195"/>
      <c r="G176" s="196">
        <f>_xlfn.IFNA(VLOOKUP(B176, 현재가테이블!$B$2:$D$200, 2, FALSE), "-")</f>
        <v>68581000</v>
      </c>
      <c r="H176" s="197"/>
      <c r="I176" s="198"/>
      <c r="J176" s="193" t="s">
        <v>59</v>
      </c>
      <c r="K176" s="194"/>
      <c r="L176" s="195"/>
      <c r="M176" s="199">
        <f>_xlfn.IFNA(VLOOKUP(B176, 현재가테이블!$B$2:$D$200, 3, FALSE), "-")</f>
        <v>-2.7047857000000002E-3</v>
      </c>
      <c r="N176" s="200"/>
      <c r="O176" s="201"/>
      <c r="Q176" s="192"/>
      <c r="R176" s="192"/>
      <c r="S176" s="192"/>
    </row>
    <row r="177" spans="1:19" ht="17.25" thickBot="1">
      <c r="A177" s="237" t="s">
        <v>55</v>
      </c>
      <c r="B177" s="233" t="str">
        <f>TEXT($G$1, "[$-ko-KR]yyyy-mm-dd(ddd) ") &amp; "오전 00:00"</f>
        <v>2021-05-06(목) 오전 00:00</v>
      </c>
      <c r="C177" s="234"/>
      <c r="D177" s="206" t="str">
        <f>TEXT($G$1, "[$-ko-KR]yyyy-mm-dd(ddd) ") &amp; "오후 14:00"</f>
        <v>2021-05-06(목) 오후 14:00</v>
      </c>
      <c r="E177" s="207"/>
      <c r="F177" s="208"/>
      <c r="G177" s="206" t="str">
        <f>TEXT($G$1, "[$-ko-KR]yyyy-mm-dd(ddd) ") &amp; "오후 19:00"</f>
        <v>2021-05-06(목) 오후 19:00</v>
      </c>
      <c r="H177" s="207"/>
      <c r="I177" s="208"/>
      <c r="J177" s="206" t="str">
        <f>TEXT($G$1, "[$-ko-KR]yyyy-mm-dd(ddd) ") &amp; "오후 21:00"</f>
        <v>2021-05-06(목) 오후 21:00</v>
      </c>
      <c r="K177" s="207"/>
      <c r="L177" s="208"/>
      <c r="M177" s="206" t="str">
        <f>TEXT($G$1+1, "[$-ko-KR]yyyy-mm-dd(ddd) ") &amp; "오전 00:00"</f>
        <v>2021-05-07(금) 오전 00:00</v>
      </c>
      <c r="N177" s="207"/>
      <c r="O177" s="208"/>
      <c r="Q177" s="192"/>
      <c r="R177" s="192"/>
      <c r="S177" s="192"/>
    </row>
    <row r="178" spans="1:19" ht="17.25" thickBot="1">
      <c r="A178" s="238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2"/>
      <c r="R178" s="182"/>
      <c r="S178" s="182"/>
    </row>
    <row r="179" spans="1:19" ht="17.25" thickBot="1">
      <c r="A179" s="126" t="s">
        <v>284</v>
      </c>
      <c r="B179" s="127">
        <v>441</v>
      </c>
      <c r="C179" s="76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100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192"/>
      <c r="R179" s="192"/>
      <c r="S179" s="192"/>
    </row>
    <row r="180" spans="1:19" ht="17.25" thickBot="1">
      <c r="A180" s="128" t="s">
        <v>218</v>
      </c>
      <c r="B180" s="129">
        <v>28.8</v>
      </c>
      <c r="C180" s="77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101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192"/>
      <c r="R180" s="192"/>
      <c r="S180" s="192"/>
    </row>
    <row r="181" spans="1:19" ht="17.25" thickBot="1">
      <c r="A181" s="128" t="s">
        <v>240</v>
      </c>
      <c r="B181" s="129">
        <v>188</v>
      </c>
      <c r="C181" s="77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101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182"/>
      <c r="R181" s="182"/>
      <c r="S181" s="182"/>
    </row>
    <row r="182" spans="1:19" ht="17.25" thickBot="1">
      <c r="A182" s="128" t="s">
        <v>234</v>
      </c>
      <c r="B182" s="129">
        <v>1395</v>
      </c>
      <c r="C182" s="77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101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182"/>
      <c r="R182" s="182"/>
      <c r="S182" s="182"/>
    </row>
    <row r="183" spans="1:19" ht="17.25" thickBot="1">
      <c r="A183" s="130" t="s">
        <v>200</v>
      </c>
      <c r="B183" s="131">
        <v>371</v>
      </c>
      <c r="C183" s="78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5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182"/>
      <c r="R183" s="182"/>
      <c r="S183" s="182"/>
    </row>
    <row r="184" spans="1:19" ht="17.25" thickBot="1">
      <c r="A184" s="128" t="s">
        <v>230</v>
      </c>
      <c r="B184" s="132">
        <v>177</v>
      </c>
      <c r="C184" s="80">
        <v>-2.2099447500000001E-2</v>
      </c>
      <c r="D184" s="106">
        <v>177</v>
      </c>
      <c r="E184" s="107">
        <f>IF(ISNUMBER(D184), (D184 - $B184) / $B184, "")</f>
        <v>0</v>
      </c>
      <c r="F184" s="108">
        <f>IF(ISNUMBER(D184), $B199 * E184, "")</f>
        <v>0</v>
      </c>
      <c r="G184" s="109">
        <v>176</v>
      </c>
      <c r="H184" s="107">
        <f>IF(ISNUMBER(G184), (G184 - $B184) / $B184, "")</f>
        <v>-5.6497175141242938E-3</v>
      </c>
      <c r="I184" s="110">
        <f>IF(ISNUMBER(G184), $B199 * H184, "")</f>
        <v>-847.45762711864404</v>
      </c>
      <c r="J184" s="106">
        <v>175</v>
      </c>
      <c r="K184" s="107">
        <f>IF(ISNUMBER(J184), (J184 - $B184) / $B184, "")</f>
        <v>-1.1299435028248588E-2</v>
      </c>
      <c r="L184" s="108">
        <f>IF(ISNUMBER(J184), $B199 * K184, "")</f>
        <v>-1694.9152542372881</v>
      </c>
      <c r="M184" s="109">
        <v>173</v>
      </c>
      <c r="N184" s="107">
        <f>IF(ISNUMBER(M184), (M184 - $B184) / $B184, "")</f>
        <v>-2.2598870056497175E-2</v>
      </c>
      <c r="O184" s="108">
        <f>IF(ISNUMBER(M184), $B199 * N184, "")</f>
        <v>-3389.8305084745762</v>
      </c>
      <c r="Q184" s="182"/>
      <c r="R184" s="182"/>
      <c r="S184" s="182"/>
    </row>
    <row r="185" spans="1:19" ht="17.25" thickBot="1">
      <c r="A185" s="128" t="s">
        <v>232</v>
      </c>
      <c r="B185" s="129">
        <v>173</v>
      </c>
      <c r="C185" s="77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101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82"/>
      <c r="R185" s="182"/>
      <c r="S185" s="182"/>
    </row>
    <row r="186" spans="1:19" ht="17.25" thickBot="1">
      <c r="A186" s="128" t="s">
        <v>260</v>
      </c>
      <c r="B186" s="129">
        <v>122</v>
      </c>
      <c r="C186" s="77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101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182"/>
      <c r="R186" s="182"/>
      <c r="S186" s="182"/>
    </row>
    <row r="187" spans="1:19" ht="17.25" thickBot="1">
      <c r="A187" s="128" t="s">
        <v>224</v>
      </c>
      <c r="B187" s="129">
        <v>2015</v>
      </c>
      <c r="C187" s="77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101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33" t="s">
        <v>122</v>
      </c>
      <c r="B188" s="134">
        <v>116</v>
      </c>
      <c r="C188" s="79">
        <v>-2.5210084000000001E-2</v>
      </c>
      <c r="D188" s="24">
        <v>119</v>
      </c>
      <c r="E188" s="25">
        <f t="shared" si="98"/>
        <v>2.5862068965517241E-2</v>
      </c>
      <c r="F188" s="104">
        <f>IF(ISNUMBER(D188), $B199 * E188, "")</f>
        <v>3879.3103448275861</v>
      </c>
      <c r="G188" s="102">
        <v>119</v>
      </c>
      <c r="H188" s="25">
        <f t="shared" si="99"/>
        <v>2.5862068965517241E-2</v>
      </c>
      <c r="I188" s="103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4">
        <f>IF(ISNUMBER(J188), $B199 * K188, "")</f>
        <v>3879.3103448275861</v>
      </c>
      <c r="M188" s="102">
        <v>117</v>
      </c>
      <c r="N188" s="25">
        <f t="shared" si="101"/>
        <v>8.6206896551724137E-3</v>
      </c>
      <c r="O188" s="104">
        <f>IF(ISNUMBER(M188), $B199 * N188, "")</f>
        <v>1293.1034482758621</v>
      </c>
      <c r="Q188" s="183"/>
      <c r="R188" s="184"/>
      <c r="S188" s="185"/>
    </row>
    <row r="189" spans="1:19">
      <c r="A189" s="126" t="s">
        <v>82</v>
      </c>
      <c r="B189" s="127">
        <v>1530</v>
      </c>
      <c r="C189" s="76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100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186"/>
      <c r="R189" s="187"/>
      <c r="S189" s="188"/>
    </row>
    <row r="190" spans="1:19" ht="17.25" thickBot="1">
      <c r="A190" s="128" t="s">
        <v>124</v>
      </c>
      <c r="B190" s="129">
        <v>6935</v>
      </c>
      <c r="C190" s="77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101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189"/>
      <c r="R190" s="190"/>
      <c r="S190" s="191"/>
    </row>
    <row r="191" spans="1:19" ht="17.25" thickBot="1">
      <c r="A191" s="128" t="s">
        <v>258</v>
      </c>
      <c r="B191" s="129">
        <v>720</v>
      </c>
      <c r="C191" s="77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101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182"/>
      <c r="R191" s="182"/>
      <c r="S191" s="182"/>
    </row>
    <row r="192" spans="1:19" ht="17.25" thickBot="1">
      <c r="A192" s="128" t="s">
        <v>252</v>
      </c>
      <c r="B192" s="129">
        <v>544</v>
      </c>
      <c r="C192" s="77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101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192"/>
      <c r="R192" s="192"/>
      <c r="S192" s="192"/>
    </row>
    <row r="193" spans="1:19" ht="17.25" thickBot="1">
      <c r="A193" s="130" t="s">
        <v>206</v>
      </c>
      <c r="B193" s="131">
        <v>39480</v>
      </c>
      <c r="C193" s="78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5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192"/>
      <c r="R193" s="192"/>
      <c r="S193" s="192"/>
    </row>
    <row r="194" spans="1:19" ht="17.25" thickBot="1">
      <c r="A194" s="128" t="s">
        <v>194</v>
      </c>
      <c r="B194" s="132">
        <v>14260</v>
      </c>
      <c r="C194" s="80">
        <v>-3.0591434399999999E-2</v>
      </c>
      <c r="D194" s="106">
        <v>14350</v>
      </c>
      <c r="E194" s="107">
        <f>IF(ISNUMBER(D194), (D194 - $B194) / $B194, "")</f>
        <v>6.311360448807854E-3</v>
      </c>
      <c r="F194" s="108">
        <f>IF(ISNUMBER(D194), $B199 * E194, "")</f>
        <v>946.70406732117806</v>
      </c>
      <c r="G194" s="109">
        <v>14380</v>
      </c>
      <c r="H194" s="107">
        <f>IF(ISNUMBER(G194), (G194 - $B194) / $B194, "")</f>
        <v>8.4151472650771386E-3</v>
      </c>
      <c r="I194" s="110">
        <f>IF(ISNUMBER(G194), $B199 * H194, "")</f>
        <v>1262.2720897615709</v>
      </c>
      <c r="J194" s="106">
        <v>14350</v>
      </c>
      <c r="K194" s="107">
        <f>IF(ISNUMBER(J194), (J194 - $B194) / $B194, "")</f>
        <v>6.311360448807854E-3</v>
      </c>
      <c r="L194" s="108">
        <f>IF(ISNUMBER(J194), $B199 * K194, "")</f>
        <v>946.70406732117806</v>
      </c>
      <c r="M194" s="109">
        <v>14160</v>
      </c>
      <c r="N194" s="107">
        <f>IF(ISNUMBER(M194), (M194 - $B194) / $B194, "")</f>
        <v>-7.0126227208976155E-3</v>
      </c>
      <c r="O194" s="108">
        <f>IF(ISNUMBER(M194), $B199 * N194, "")</f>
        <v>-1051.8934081346424</v>
      </c>
      <c r="Q194" s="182"/>
      <c r="R194" s="182"/>
      <c r="S194" s="182"/>
    </row>
    <row r="195" spans="1:19" ht="17.25" thickBot="1">
      <c r="A195" s="128" t="s">
        <v>67</v>
      </c>
      <c r="B195" s="129">
        <v>8815</v>
      </c>
      <c r="C195" s="77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101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182"/>
      <c r="R195" s="182"/>
      <c r="S195" s="182"/>
    </row>
    <row r="196" spans="1:19" ht="17.25" thickBot="1">
      <c r="A196" s="128" t="s">
        <v>164</v>
      </c>
      <c r="B196" s="129">
        <v>42510</v>
      </c>
      <c r="C196" s="77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101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182"/>
      <c r="R196" s="182"/>
      <c r="S196" s="182"/>
    </row>
    <row r="197" spans="1:19">
      <c r="A197" s="128" t="s">
        <v>204</v>
      </c>
      <c r="B197" s="129">
        <v>8795</v>
      </c>
      <c r="C197" s="77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101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171"/>
      <c r="R197" s="172"/>
      <c r="S197" s="173"/>
    </row>
    <row r="198" spans="1:19" ht="17.25" thickBot="1">
      <c r="A198" s="133" t="s">
        <v>276</v>
      </c>
      <c r="B198" s="134">
        <v>4540</v>
      </c>
      <c r="C198" s="79">
        <v>-4.4210526299999997E-2</v>
      </c>
      <c r="D198" s="24">
        <v>4640</v>
      </c>
      <c r="E198" s="25">
        <f t="shared" si="106"/>
        <v>2.2026431718061675E-2</v>
      </c>
      <c r="F198" s="104">
        <f>IF(ISNUMBER(D198), $B199 * E198, "")</f>
        <v>3303.9647577092514</v>
      </c>
      <c r="G198" s="102">
        <v>4685</v>
      </c>
      <c r="H198" s="25">
        <f t="shared" si="107"/>
        <v>3.1938325991189426E-2</v>
      </c>
      <c r="I198" s="103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4">
        <f>IF(ISNUMBER(J198), $B199 * K198, "")</f>
        <v>3303.9647577092514</v>
      </c>
      <c r="M198" s="102">
        <v>4615</v>
      </c>
      <c r="N198" s="25">
        <f t="shared" si="109"/>
        <v>1.6519823788546256E-2</v>
      </c>
      <c r="O198" s="104">
        <f>IF(ISNUMBER(M198), $B199 * N198, "")</f>
        <v>2477.9735682819382</v>
      </c>
      <c r="Q198" s="174"/>
      <c r="R198" s="175"/>
      <c r="S198" s="176"/>
    </row>
    <row r="199" spans="1:19" ht="17.25" thickBot="1">
      <c r="A199" s="135" t="s">
        <v>301</v>
      </c>
      <c r="B199" s="235">
        <f>$B$37</f>
        <v>150000</v>
      </c>
      <c r="C199" s="236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177"/>
      <c r="R199" s="178"/>
      <c r="S199" s="1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abSelected="1" topLeftCell="A9" zoomScaleNormal="100" workbookViewId="0">
      <selection activeCell="A18" sqref="A18:XFD18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224">
        <v>44323</v>
      </c>
      <c r="H1" s="225"/>
      <c r="I1" s="226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20" t="s">
        <v>3</v>
      </c>
      <c r="B2" s="227" t="s">
        <v>4</v>
      </c>
      <c r="C2" s="228"/>
      <c r="D2" s="228"/>
      <c r="E2" s="228"/>
      <c r="F2" s="229"/>
      <c r="G2" s="221" t="s">
        <v>46</v>
      </c>
      <c r="H2" s="222"/>
      <c r="I2" s="223"/>
      <c r="J2" s="1" t="s">
        <v>3</v>
      </c>
      <c r="K2" s="227" t="s">
        <v>5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21" t="s">
        <v>7</v>
      </c>
      <c r="B3" s="218" t="s">
        <v>8</v>
      </c>
      <c r="C3" s="219"/>
      <c r="D3" s="219"/>
      <c r="E3" s="219"/>
      <c r="F3" s="220"/>
      <c r="G3" s="21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304,484 KRW (10.15%)</v>
      </c>
      <c r="H3" s="215"/>
      <c r="I3" s="216"/>
      <c r="J3" s="4" t="s">
        <v>7</v>
      </c>
      <c r="K3" s="218" t="s">
        <v>9</v>
      </c>
      <c r="L3" s="219"/>
      <c r="M3" s="219"/>
      <c r="N3" s="219"/>
      <c r="O3" s="220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8" t="s">
        <v>12</v>
      </c>
      <c r="C4" s="219"/>
      <c r="D4" s="219"/>
      <c r="E4" s="219"/>
      <c r="F4" s="220"/>
      <c r="G4" s="221" t="s">
        <v>44</v>
      </c>
      <c r="H4" s="222"/>
      <c r="I4" s="223"/>
      <c r="J4" s="4" t="s">
        <v>11</v>
      </c>
      <c r="K4" s="218" t="s">
        <v>13</v>
      </c>
      <c r="L4" s="219"/>
      <c r="M4" s="219"/>
      <c r="N4" s="219"/>
      <c r="O4" s="220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8" t="s">
        <v>16</v>
      </c>
      <c r="C5" s="219"/>
      <c r="D5" s="219"/>
      <c r="E5" s="219"/>
      <c r="F5" s="220"/>
      <c r="G5" s="21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-23,849 KRW (-0.84%)</v>
      </c>
      <c r="H5" s="215"/>
      <c r="I5" s="216"/>
      <c r="J5" s="4" t="s">
        <v>15</v>
      </c>
      <c r="K5" s="218" t="s">
        <v>17</v>
      </c>
      <c r="L5" s="219"/>
      <c r="M5" s="219"/>
      <c r="N5" s="219"/>
      <c r="O5" s="220"/>
    </row>
    <row r="6" spans="1:19">
      <c r="A6" s="121" t="s">
        <v>18</v>
      </c>
      <c r="B6" s="218" t="s">
        <v>19</v>
      </c>
      <c r="C6" s="219"/>
      <c r="D6" s="219"/>
      <c r="E6" s="219"/>
      <c r="F6" s="220"/>
      <c r="G6" s="221" t="s">
        <v>45</v>
      </c>
      <c r="H6" s="222"/>
      <c r="I6" s="223"/>
      <c r="J6" s="4" t="s">
        <v>18</v>
      </c>
      <c r="K6" s="218" t="s">
        <v>20</v>
      </c>
      <c r="L6" s="219"/>
      <c r="M6" s="219"/>
      <c r="N6" s="219"/>
      <c r="O6" s="220"/>
    </row>
    <row r="7" spans="1:19" ht="17.25" thickBot="1">
      <c r="A7" s="121" t="s">
        <v>21</v>
      </c>
      <c r="B7" s="218" t="s">
        <v>22</v>
      </c>
      <c r="C7" s="219"/>
      <c r="D7" s="219"/>
      <c r="E7" s="219"/>
      <c r="F7" s="220"/>
      <c r="G7" s="21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122,788 KRW (4.09%)</v>
      </c>
      <c r="H7" s="215"/>
      <c r="I7" s="216"/>
      <c r="J7" s="4" t="s">
        <v>21</v>
      </c>
      <c r="K7" s="218" t="s">
        <v>23</v>
      </c>
      <c r="L7" s="219"/>
      <c r="M7" s="219"/>
      <c r="N7" s="219"/>
      <c r="O7" s="220"/>
    </row>
    <row r="8" spans="1:19" ht="17.25" thickBot="1">
      <c r="A8" s="121" t="s">
        <v>24</v>
      </c>
      <c r="B8" s="218" t="s">
        <v>25</v>
      </c>
      <c r="C8" s="219"/>
      <c r="D8" s="219"/>
      <c r="E8" s="219"/>
      <c r="F8" s="220"/>
      <c r="G8" s="221" t="s">
        <v>285</v>
      </c>
      <c r="H8" s="222"/>
      <c r="I8" s="223"/>
      <c r="J8" s="4" t="s">
        <v>24</v>
      </c>
      <c r="K8" s="218" t="s">
        <v>26</v>
      </c>
      <c r="L8" s="219"/>
      <c r="M8" s="219"/>
      <c r="N8" s="219"/>
      <c r="O8" s="220"/>
      <c r="Q8" s="193" t="s">
        <v>27</v>
      </c>
      <c r="R8" s="195"/>
    </row>
    <row r="9" spans="1:19" ht="17.25" thickBot="1">
      <c r="A9" s="121" t="s">
        <v>28</v>
      </c>
      <c r="B9" s="218"/>
      <c r="C9" s="219"/>
      <c r="D9" s="219"/>
      <c r="E9" s="219"/>
      <c r="F9" s="220"/>
      <c r="G9" s="21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-59,996 KRW (-2.00%)</v>
      </c>
      <c r="H9" s="215"/>
      <c r="I9" s="216"/>
      <c r="J9" s="4" t="s">
        <v>28</v>
      </c>
      <c r="K9" s="218" t="s">
        <v>293</v>
      </c>
      <c r="L9" s="219"/>
      <c r="M9" s="219"/>
      <c r="N9" s="219"/>
      <c r="O9" s="220"/>
      <c r="Q9" s="2" t="s">
        <v>29</v>
      </c>
      <c r="R9" s="6">
        <v>10</v>
      </c>
    </row>
    <row r="10" spans="1:19">
      <c r="A10" s="121" t="s">
        <v>30</v>
      </c>
      <c r="B10" s="218"/>
      <c r="C10" s="219"/>
      <c r="D10" s="219"/>
      <c r="E10" s="219"/>
      <c r="F10" s="220"/>
      <c r="G10" s="221" t="s">
        <v>47</v>
      </c>
      <c r="H10" s="222"/>
      <c r="I10" s="223"/>
      <c r="J10" s="4" t="s">
        <v>30</v>
      </c>
      <c r="K10" s="218"/>
      <c r="L10" s="219"/>
      <c r="M10" s="219"/>
      <c r="N10" s="219"/>
      <c r="O10" s="220"/>
      <c r="Q10" s="2" t="s">
        <v>31</v>
      </c>
      <c r="R10" s="6">
        <v>100</v>
      </c>
    </row>
    <row r="11" spans="1:19" ht="17.25" thickBot="1">
      <c r="A11" s="122" t="s">
        <v>32</v>
      </c>
      <c r="B11" s="211"/>
      <c r="C11" s="212"/>
      <c r="D11" s="212"/>
      <c r="E11" s="212"/>
      <c r="F11" s="213"/>
      <c r="G11" s="21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304,484 KRW (10.15%)</v>
      </c>
      <c r="H11" s="215"/>
      <c r="I11" s="216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192"/>
      <c r="R13" s="192"/>
      <c r="S13" s="192"/>
    </row>
    <row r="14" spans="1:19" ht="17.25" customHeight="1" thickBot="1">
      <c r="A14" s="167" t="s">
        <v>35</v>
      </c>
      <c r="B14" s="193" t="s">
        <v>36</v>
      </c>
      <c r="C14" s="195"/>
      <c r="D14" s="193" t="s">
        <v>37</v>
      </c>
      <c r="E14" s="194"/>
      <c r="F14" s="195"/>
      <c r="G14" s="196">
        <f>_xlfn.IFNA(VLOOKUP(B14, 현재가테이블!$B$2:$D$200, 2, FALSE), "-")</f>
        <v>68581000</v>
      </c>
      <c r="H14" s="197"/>
      <c r="I14" s="198"/>
      <c r="J14" s="193" t="s">
        <v>38</v>
      </c>
      <c r="K14" s="194"/>
      <c r="L14" s="195"/>
      <c r="M14" s="199">
        <f>_xlfn.IFNA(VLOOKUP(B14, 현재가테이블!$B$2:$D$200, 3, FALSE), "-")</f>
        <v>-2.7047857000000002E-3</v>
      </c>
      <c r="N14" s="200"/>
      <c r="O14" s="201"/>
      <c r="Q14" s="192"/>
      <c r="R14" s="192"/>
      <c r="S14" s="192"/>
    </row>
    <row r="15" spans="1:19" ht="17.25" customHeight="1" thickBot="1">
      <c r="A15" s="230" t="s">
        <v>39</v>
      </c>
      <c r="B15" s="231" t="str">
        <f>TEXT($G$1, "[$-ko-KR]yyyy-mm-dd(ddd) ") &amp; "오전 00:00"</f>
        <v>2021-05-07(금) 오전 00:00</v>
      </c>
      <c r="C15" s="232"/>
      <c r="D15" s="206" t="str">
        <f>TEXT($G$1, "[$-ko-KR]yyyy-mm-dd(ddd) ") &amp; "오후 14:00"</f>
        <v>2021-05-07(금) 오후 14:00</v>
      </c>
      <c r="E15" s="207"/>
      <c r="F15" s="208"/>
      <c r="G15" s="206" t="str">
        <f>TEXT($G$1, "[$-ko-KR]yyyy-mm-dd(ddd) ") &amp; "오후 19:00"</f>
        <v>2021-05-07(금) 오후 19:00</v>
      </c>
      <c r="H15" s="207"/>
      <c r="I15" s="208"/>
      <c r="J15" s="206" t="str">
        <f>TEXT($G$1, "[$-ko-KR]yyyy-mm-dd(ddd) ") &amp; "오후 21:00"</f>
        <v>2021-05-07(금) 오후 21:00</v>
      </c>
      <c r="K15" s="207"/>
      <c r="L15" s="208"/>
      <c r="M15" s="206" t="str">
        <f>TEXT($G$1+1, "[$-ko-KR]yyyy-mm-dd(ddd) ") &amp; "오전 00:00"</f>
        <v>2021-05-08(토) 오전 00:00</v>
      </c>
      <c r="N15" s="207"/>
      <c r="O15" s="208"/>
      <c r="Q15" s="192"/>
      <c r="R15" s="192"/>
      <c r="S15" s="192"/>
    </row>
    <row r="16" spans="1:19" ht="17.25" customHeight="1" thickBot="1">
      <c r="A16" s="230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2"/>
      <c r="R16" s="182"/>
      <c r="S16" s="182"/>
    </row>
    <row r="17" spans="1:19" ht="17.25" customHeight="1" thickBot="1">
      <c r="A17" s="126" t="s">
        <v>188</v>
      </c>
      <c r="B17" s="127">
        <f>IF(NOT(ISBLANK(_xlfn.IFNA(VLOOKUP($A17, $A$40:$O$199, 2, FALSE), ))), _xlfn.IFNA(VLOOKUP($A17, $A$40:$O$199, 2, FALSE), ), "")</f>
        <v>26350</v>
      </c>
      <c r="C17" s="76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100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2"/>
      <c r="R17" s="192"/>
      <c r="S17" s="192"/>
    </row>
    <row r="18" spans="1:19" ht="17.25" customHeight="1" thickBot="1">
      <c r="A18" s="128" t="s">
        <v>102</v>
      </c>
      <c r="B18" s="129">
        <f t="shared" ref="B18:B36" si="0">IF(NOT(ISBLANK(_xlfn.IFNA(VLOOKUP($A18, $A$40:$O$199, 2, FALSE), ))), _xlfn.IFNA(VLOOKUP($A18, $A$40:$O$199, 2, FALSE), ), "")</f>
        <v>137000</v>
      </c>
      <c r="C18" s="77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101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2"/>
      <c r="R18" s="192"/>
      <c r="S18" s="192"/>
    </row>
    <row r="19" spans="1:19" ht="17.25" customHeight="1" thickBot="1">
      <c r="A19" s="128" t="s">
        <v>248</v>
      </c>
      <c r="B19" s="129">
        <f t="shared" si="0"/>
        <v>4055</v>
      </c>
      <c r="C19" s="77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101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2"/>
      <c r="R19" s="182"/>
      <c r="S19" s="182"/>
    </row>
    <row r="20" spans="1:19" ht="17.25" customHeight="1" thickBot="1">
      <c r="A20" s="128" t="s">
        <v>262</v>
      </c>
      <c r="B20" s="129">
        <f t="shared" si="0"/>
        <v>1300</v>
      </c>
      <c r="C20" s="77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101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2"/>
      <c r="R20" s="182"/>
      <c r="S20" s="182"/>
    </row>
    <row r="21" spans="1:19" ht="17.25" customHeight="1" thickBot="1">
      <c r="A21" s="130" t="s">
        <v>136</v>
      </c>
      <c r="B21" s="131">
        <f t="shared" si="0"/>
        <v>292</v>
      </c>
      <c r="C21" s="78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5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2"/>
      <c r="R21" s="182"/>
      <c r="S21" s="182"/>
    </row>
    <row r="22" spans="1:19" ht="17.25" customHeight="1" thickBot="1">
      <c r="A22" s="128" t="s">
        <v>168</v>
      </c>
      <c r="B22" s="132">
        <f t="shared" si="0"/>
        <v>255</v>
      </c>
      <c r="C22" s="80">
        <f t="shared" si="1"/>
        <v>0.13839285709999999</v>
      </c>
      <c r="D22" s="106">
        <f t="shared" si="2"/>
        <v>258</v>
      </c>
      <c r="E22" s="107">
        <f t="shared" si="3"/>
        <v>1.1764705882352941E-2</v>
      </c>
      <c r="F22" s="108">
        <f t="shared" si="4"/>
        <v>1764.7058823529412</v>
      </c>
      <c r="G22" s="109">
        <f t="shared" si="5"/>
        <v>262</v>
      </c>
      <c r="H22" s="107">
        <f t="shared" si="6"/>
        <v>2.7450980392156862E-2</v>
      </c>
      <c r="I22" s="110">
        <f t="shared" si="7"/>
        <v>4117.6470588235297</v>
      </c>
      <c r="J22" s="106">
        <f t="shared" si="8"/>
        <v>270</v>
      </c>
      <c r="K22" s="107">
        <f t="shared" si="9"/>
        <v>5.8823529411764705E-2</v>
      </c>
      <c r="L22" s="108">
        <f t="shared" si="10"/>
        <v>8823.5294117647063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2"/>
      <c r="R22" s="182"/>
      <c r="S22" s="182"/>
    </row>
    <row r="23" spans="1:19" ht="17.25" customHeight="1" thickBot="1">
      <c r="A23" s="128" t="s">
        <v>94</v>
      </c>
      <c r="B23" s="129">
        <f t="shared" si="0"/>
        <v>184150</v>
      </c>
      <c r="C23" s="77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101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2"/>
      <c r="R23" s="182"/>
      <c r="S23" s="182"/>
    </row>
    <row r="24" spans="1:19" ht="17.25" customHeight="1" thickBot="1">
      <c r="A24" s="128" t="s">
        <v>98</v>
      </c>
      <c r="B24" s="129">
        <f t="shared" si="0"/>
        <v>8825</v>
      </c>
      <c r="C24" s="77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101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2"/>
      <c r="R24" s="182"/>
      <c r="S24" s="182"/>
    </row>
    <row r="25" spans="1:19" ht="17.25" customHeight="1" thickBot="1">
      <c r="A25" s="128" t="s">
        <v>84</v>
      </c>
      <c r="B25" s="129">
        <f t="shared" si="0"/>
        <v>1970</v>
      </c>
      <c r="C25" s="77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101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184</v>
      </c>
      <c r="B26" s="134">
        <f t="shared" si="0"/>
        <v>2845</v>
      </c>
      <c r="C26" s="79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4">
        <f t="shared" si="4"/>
        <v>-1318.1019332161688</v>
      </c>
      <c r="G26" s="102">
        <f t="shared" si="5"/>
        <v>3005</v>
      </c>
      <c r="H26" s="25">
        <f t="shared" si="6"/>
        <v>5.6239015817223195E-2</v>
      </c>
      <c r="I26" s="103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4">
        <f t="shared" si="10"/>
        <v>5799.6485061511421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3"/>
      <c r="R26" s="184"/>
      <c r="S26" s="185"/>
    </row>
    <row r="27" spans="1:19" ht="17.25" customHeight="1">
      <c r="A27" s="126" t="s">
        <v>100</v>
      </c>
      <c r="B27" s="127">
        <f t="shared" si="0"/>
        <v>9.58</v>
      </c>
      <c r="C27" s="76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100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6"/>
      <c r="R27" s="187"/>
      <c r="S27" s="188"/>
    </row>
    <row r="28" spans="1:19" ht="17.25" customHeight="1" thickBot="1">
      <c r="A28" s="128" t="s">
        <v>86</v>
      </c>
      <c r="B28" s="129">
        <f t="shared" si="0"/>
        <v>11500</v>
      </c>
      <c r="C28" s="77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101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9"/>
      <c r="R28" s="190"/>
      <c r="S28" s="191"/>
    </row>
    <row r="29" spans="1:19" ht="17.25" customHeight="1" thickBot="1">
      <c r="A29" s="128" t="s">
        <v>242</v>
      </c>
      <c r="B29" s="129">
        <f t="shared" si="0"/>
        <v>8015</v>
      </c>
      <c r="C29" s="77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101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2"/>
      <c r="R29" s="182"/>
      <c r="S29" s="182"/>
    </row>
    <row r="30" spans="1:19" ht="17.25" customHeight="1" thickBot="1">
      <c r="A30" s="128" t="s">
        <v>72</v>
      </c>
      <c r="B30" s="129">
        <f t="shared" si="0"/>
        <v>39</v>
      </c>
      <c r="C30" s="77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101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30" t="s">
        <v>104</v>
      </c>
      <c r="B31" s="131">
        <f t="shared" si="0"/>
        <v>2765</v>
      </c>
      <c r="C31" s="78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5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28" t="s">
        <v>182</v>
      </c>
      <c r="B32" s="132">
        <f t="shared" si="0"/>
        <v>515</v>
      </c>
      <c r="C32" s="80">
        <f t="shared" si="1"/>
        <v>7.2916666699999994E-2</v>
      </c>
      <c r="D32" s="106">
        <f t="shared" si="2"/>
        <v>498</v>
      </c>
      <c r="E32" s="107">
        <f t="shared" si="3"/>
        <v>-3.3009708737864081E-2</v>
      </c>
      <c r="F32" s="108">
        <f t="shared" si="4"/>
        <v>-4951.4563106796122</v>
      </c>
      <c r="G32" s="109">
        <f t="shared" si="5"/>
        <v>536</v>
      </c>
      <c r="H32" s="107">
        <f t="shared" si="6"/>
        <v>4.0776699029126215E-2</v>
      </c>
      <c r="I32" s="110">
        <f t="shared" si="7"/>
        <v>6116.5048543689327</v>
      </c>
      <c r="J32" s="106">
        <f t="shared" si="8"/>
        <v>559</v>
      </c>
      <c r="K32" s="107">
        <f t="shared" si="9"/>
        <v>8.5436893203883493E-2</v>
      </c>
      <c r="L32" s="108">
        <f t="shared" si="10"/>
        <v>12815.533980582524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2"/>
      <c r="R32" s="182"/>
      <c r="S32" s="182"/>
    </row>
    <row r="33" spans="1:19" ht="17.25" customHeight="1" thickBot="1">
      <c r="A33" s="128" t="s">
        <v>132</v>
      </c>
      <c r="B33" s="129">
        <f t="shared" si="0"/>
        <v>265</v>
      </c>
      <c r="C33" s="77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101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2"/>
      <c r="R33" s="182"/>
      <c r="S33" s="182"/>
    </row>
    <row r="34" spans="1:19" ht="17.25" customHeight="1" thickBot="1">
      <c r="A34" s="128" t="s">
        <v>106</v>
      </c>
      <c r="B34" s="129">
        <f t="shared" si="0"/>
        <v>2400</v>
      </c>
      <c r="C34" s="77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101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2"/>
      <c r="R34" s="182"/>
      <c r="S34" s="182"/>
    </row>
    <row r="35" spans="1:19" ht="17.25" customHeight="1">
      <c r="A35" s="128" t="s">
        <v>118</v>
      </c>
      <c r="B35" s="129">
        <f t="shared" si="0"/>
        <v>7875</v>
      </c>
      <c r="C35" s="77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101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1"/>
      <c r="R35" s="172"/>
      <c r="S35" s="173"/>
    </row>
    <row r="36" spans="1:19" ht="17.25" customHeight="1" thickBot="1">
      <c r="A36" s="133" t="s">
        <v>152</v>
      </c>
      <c r="B36" s="134">
        <f t="shared" si="0"/>
        <v>52.3</v>
      </c>
      <c r="C36" s="79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4">
        <f t="shared" si="4"/>
        <v>-11759.082217973217</v>
      </c>
      <c r="G36" s="102">
        <f t="shared" si="5"/>
        <v>52.1</v>
      </c>
      <c r="H36" s="25">
        <f t="shared" si="6"/>
        <v>-3.8240917782025956E-3</v>
      </c>
      <c r="I36" s="103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4">
        <f t="shared" si="10"/>
        <v>-1434.0344168260037</v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4"/>
      <c r="R36" s="175"/>
      <c r="S36" s="176"/>
    </row>
    <row r="37" spans="1:19" ht="17.25" customHeight="1" thickBot="1">
      <c r="A37" s="135" t="s">
        <v>42</v>
      </c>
      <c r="B37" s="235">
        <v>150000</v>
      </c>
      <c r="C37" s="236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7"/>
      <c r="R37" s="178"/>
      <c r="S37" s="17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192"/>
      <c r="R40" s="192"/>
      <c r="S40" s="192"/>
    </row>
    <row r="41" spans="1:19" ht="17.25" customHeight="1" thickBot="1">
      <c r="A41" s="167" t="s">
        <v>298</v>
      </c>
      <c r="B41" s="193" t="s">
        <v>49</v>
      </c>
      <c r="C41" s="195"/>
      <c r="D41" s="193" t="s">
        <v>58</v>
      </c>
      <c r="E41" s="194"/>
      <c r="F41" s="195"/>
      <c r="G41" s="196">
        <f>_xlfn.IFNA(VLOOKUP(B41, 현재가테이블!$B$2:$D$200, 2, FALSE), "-")</f>
        <v>68581000</v>
      </c>
      <c r="H41" s="197"/>
      <c r="I41" s="198"/>
      <c r="J41" s="193" t="s">
        <v>59</v>
      </c>
      <c r="K41" s="194"/>
      <c r="L41" s="195"/>
      <c r="M41" s="199">
        <f>_xlfn.IFNA(VLOOKUP(B41, 현재가테이블!$B$2:$D$200, 3, FALSE), "-")</f>
        <v>-2.7047857000000002E-3</v>
      </c>
      <c r="N41" s="200"/>
      <c r="O41" s="201"/>
      <c r="Q41" s="192"/>
      <c r="R41" s="192"/>
      <c r="S41" s="192"/>
    </row>
    <row r="42" spans="1:19" ht="17.25" customHeight="1" thickBot="1">
      <c r="A42" s="237" t="s">
        <v>55</v>
      </c>
      <c r="B42" s="233" t="str">
        <f>TEXT($G$1, "[$-ko-KR]yyyy-mm-dd(ddd) ") &amp; "오전 00:00"</f>
        <v>2021-05-07(금) 오전 00:00</v>
      </c>
      <c r="C42" s="234"/>
      <c r="D42" s="206" t="str">
        <f>TEXT($G$1, "[$-ko-KR]yyyy-mm-dd(ddd) ") &amp; "오후 14:00"</f>
        <v>2021-05-07(금) 오후 14:00</v>
      </c>
      <c r="E42" s="207"/>
      <c r="F42" s="208"/>
      <c r="G42" s="206" t="str">
        <f>TEXT($G$1, "[$-ko-KR]yyyy-mm-dd(ddd) ") &amp; "오후 19:00"</f>
        <v>2021-05-07(금) 오후 19:00</v>
      </c>
      <c r="H42" s="207"/>
      <c r="I42" s="208"/>
      <c r="J42" s="206" t="str">
        <f>TEXT($G$1, "[$-ko-KR]yyyy-mm-dd(ddd) ") &amp; "오후 21:00"</f>
        <v>2021-05-07(금) 오후 21:00</v>
      </c>
      <c r="K42" s="207"/>
      <c r="L42" s="208"/>
      <c r="M42" s="206" t="str">
        <f>TEXT($G$1+1, "[$-ko-KR]yyyy-mm-dd(ddd) ") &amp; "오전 00:00"</f>
        <v>2021-05-08(토) 오전 00:00</v>
      </c>
      <c r="N42" s="207"/>
      <c r="O42" s="208"/>
      <c r="Q42" s="192"/>
      <c r="R42" s="192"/>
      <c r="S42" s="192"/>
    </row>
    <row r="43" spans="1:19" ht="17.25" customHeight="1" thickBot="1">
      <c r="A43" s="238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2"/>
      <c r="R43" s="182"/>
      <c r="S43" s="182"/>
    </row>
    <row r="44" spans="1:19" ht="17.25" customHeight="1" thickBot="1">
      <c r="A44" s="126" t="s">
        <v>100</v>
      </c>
      <c r="B44" s="127">
        <v>9.58</v>
      </c>
      <c r="C44" s="76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100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2"/>
      <c r="R44" s="192"/>
      <c r="S44" s="192"/>
    </row>
    <row r="45" spans="1:19" ht="17.25" customHeight="1" thickBot="1">
      <c r="A45" s="128" t="s">
        <v>72</v>
      </c>
      <c r="B45" s="129">
        <v>39</v>
      </c>
      <c r="C45" s="77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101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2"/>
      <c r="R45" s="192"/>
      <c r="S45" s="192"/>
    </row>
    <row r="46" spans="1:19" ht="17.25" customHeight="1" thickBot="1">
      <c r="A46" s="128" t="s">
        <v>152</v>
      </c>
      <c r="B46" s="129">
        <v>52.3</v>
      </c>
      <c r="C46" s="77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101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/>
      <c r="N46" s="32" t="str">
        <f t="shared" si="17"/>
        <v/>
      </c>
      <c r="O46" s="18" t="str">
        <f>IF(ISNUMBER(M46), $B64 * N46, "")</f>
        <v/>
      </c>
      <c r="Q46" s="182"/>
      <c r="R46" s="182"/>
      <c r="S46" s="182"/>
    </row>
    <row r="47" spans="1:19" ht="17.25" customHeight="1" thickBot="1">
      <c r="A47" s="128" t="s">
        <v>65</v>
      </c>
      <c r="B47" s="129">
        <v>76.400000000000006</v>
      </c>
      <c r="C47" s="77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101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/>
      <c r="N47" s="32" t="str">
        <f t="shared" si="17"/>
        <v/>
      </c>
      <c r="O47" s="18" t="str">
        <f>IF(ISNUMBER(M47), $B64 * N47, "")</f>
        <v/>
      </c>
      <c r="Q47" s="182"/>
      <c r="R47" s="182"/>
      <c r="S47" s="182"/>
    </row>
    <row r="48" spans="1:19" ht="17.25" customHeight="1" thickBot="1">
      <c r="A48" s="130" t="s">
        <v>222</v>
      </c>
      <c r="B48" s="131">
        <v>18.8</v>
      </c>
      <c r="C48" s="78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5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/>
      <c r="N48" s="21" t="str">
        <f t="shared" si="17"/>
        <v/>
      </c>
      <c r="O48" s="22" t="str">
        <f>IF(ISNUMBER(M48), $B64 * N48, "")</f>
        <v/>
      </c>
      <c r="Q48" s="182"/>
      <c r="R48" s="182"/>
      <c r="S48" s="182"/>
    </row>
    <row r="49" spans="1:19" ht="17.25" customHeight="1" thickBot="1">
      <c r="A49" s="128" t="s">
        <v>126</v>
      </c>
      <c r="B49" s="132">
        <v>63.3</v>
      </c>
      <c r="C49" s="80">
        <v>-1.0937499999999999E-2</v>
      </c>
      <c r="D49" s="106">
        <v>59.1</v>
      </c>
      <c r="E49" s="107">
        <f>IF(ISNUMBER(D49), (D49 - $B49) / $B49, "")</f>
        <v>-6.6350710900473869E-2</v>
      </c>
      <c r="F49" s="108">
        <f>IF(ISNUMBER(D49), $B64 * E49, "")</f>
        <v>-9952.6066350710807</v>
      </c>
      <c r="G49" s="109">
        <v>61</v>
      </c>
      <c r="H49" s="107">
        <f>IF(ISNUMBER(G49), (G49 - $B49) / $B49, "")</f>
        <v>-3.6334913112164254E-2</v>
      </c>
      <c r="I49" s="110">
        <f>IF(ISNUMBER(G49), $B64 * H49, "")</f>
        <v>-5450.2369668246383</v>
      </c>
      <c r="J49" s="106">
        <v>61.8</v>
      </c>
      <c r="K49" s="107">
        <f>IF(ISNUMBER(J49), (J49 - $B49) / $B49, "")</f>
        <v>-2.3696682464454978E-2</v>
      </c>
      <c r="L49" s="108">
        <f>IF(ISNUMBER(J49), $B64 * K49, "")</f>
        <v>-3554.5023696682465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2"/>
      <c r="R49" s="182"/>
      <c r="S49" s="182"/>
    </row>
    <row r="50" spans="1:19" ht="17.25" customHeight="1" thickBot="1">
      <c r="A50" s="128" t="s">
        <v>196</v>
      </c>
      <c r="B50" s="129">
        <v>20.5</v>
      </c>
      <c r="C50" s="77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101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2"/>
      <c r="R50" s="182"/>
      <c r="S50" s="182"/>
    </row>
    <row r="51" spans="1:19" ht="17.25" customHeight="1" thickBot="1">
      <c r="A51" s="128" t="s">
        <v>186</v>
      </c>
      <c r="B51" s="129">
        <v>25.3</v>
      </c>
      <c r="C51" s="77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101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/>
      <c r="N51" s="32" t="str">
        <f t="shared" si="21"/>
        <v/>
      </c>
      <c r="O51" s="18" t="str">
        <f>IF(ISNUMBER(M51), $B64 * N51, "")</f>
        <v/>
      </c>
      <c r="Q51" s="182"/>
      <c r="R51" s="182"/>
      <c r="S51" s="182"/>
    </row>
    <row r="52" spans="1:19" ht="17.25" customHeight="1" thickBot="1">
      <c r="A52" s="128" t="s">
        <v>236</v>
      </c>
      <c r="B52" s="129">
        <v>68.3</v>
      </c>
      <c r="C52" s="77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101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198</v>
      </c>
      <c r="B53" s="134">
        <v>28.3</v>
      </c>
      <c r="C53" s="79">
        <v>-3.7414966000000001E-2</v>
      </c>
      <c r="D53" s="24">
        <v>25.9</v>
      </c>
      <c r="E53" s="25">
        <f t="shared" si="18"/>
        <v>-8.4805653710247425E-2</v>
      </c>
      <c r="F53" s="104">
        <f>IF(ISNUMBER(D53), $B64 * E53, "")</f>
        <v>-12720.848056537114</v>
      </c>
      <c r="G53" s="102">
        <v>26.7</v>
      </c>
      <c r="H53" s="25">
        <f t="shared" si="19"/>
        <v>-5.6537102473498281E-2</v>
      </c>
      <c r="I53" s="103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4">
        <f>IF(ISNUMBER(J53), $B64 * K53, "")</f>
        <v>-2650.1766784452298</v>
      </c>
      <c r="M53" s="102"/>
      <c r="N53" s="25" t="str">
        <f t="shared" si="21"/>
        <v/>
      </c>
      <c r="O53" s="104" t="str">
        <f>IF(ISNUMBER(M53), $B64 * N53, "")</f>
        <v/>
      </c>
      <c r="Q53" s="183"/>
      <c r="R53" s="184"/>
      <c r="S53" s="185"/>
    </row>
    <row r="54" spans="1:19" ht="17.25" customHeight="1">
      <c r="A54" s="126" t="s">
        <v>172</v>
      </c>
      <c r="B54" s="127">
        <v>25.2</v>
      </c>
      <c r="C54" s="76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100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6"/>
      <c r="R54" s="187"/>
      <c r="S54" s="188"/>
    </row>
    <row r="55" spans="1:19" ht="17.25" customHeight="1" thickBot="1">
      <c r="A55" s="128" t="s">
        <v>214</v>
      </c>
      <c r="B55" s="129">
        <v>22.2</v>
      </c>
      <c r="C55" s="77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101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9"/>
      <c r="R55" s="190"/>
      <c r="S55" s="191"/>
    </row>
    <row r="56" spans="1:19" ht="17.25" customHeight="1" thickBot="1">
      <c r="A56" s="128" t="s">
        <v>218</v>
      </c>
      <c r="B56" s="129">
        <v>28.5</v>
      </c>
      <c r="C56" s="77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101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/>
      <c r="N56" s="32" t="str">
        <f t="shared" si="25"/>
        <v/>
      </c>
      <c r="O56" s="18" t="str">
        <f>IF(ISNUMBER(M56), $B64 * N56, "")</f>
        <v/>
      </c>
      <c r="Q56" s="182"/>
      <c r="R56" s="182"/>
      <c r="S56" s="182"/>
    </row>
    <row r="57" spans="1:19" ht="17.25" customHeight="1" thickBot="1">
      <c r="A57" s="128" t="s">
        <v>154</v>
      </c>
      <c r="B57" s="129">
        <v>21.1</v>
      </c>
      <c r="C57" s="77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101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/>
      <c r="N57" s="32" t="str">
        <f t="shared" si="25"/>
        <v/>
      </c>
      <c r="O57" s="18" t="str">
        <f>IF(ISNUMBER(M57), $B64 * N57, "")</f>
        <v/>
      </c>
      <c r="Q57" s="192"/>
      <c r="R57" s="192"/>
      <c r="S57" s="192"/>
    </row>
    <row r="58" spans="1:19" ht="17.25" customHeight="1" thickBot="1">
      <c r="A58" s="130" t="s">
        <v>228</v>
      </c>
      <c r="B58" s="131">
        <v>18.399999999999999</v>
      </c>
      <c r="C58" s="78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5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/>
      <c r="N58" s="21" t="str">
        <f t="shared" si="25"/>
        <v/>
      </c>
      <c r="O58" s="22" t="str">
        <f>IF(ISNUMBER(M58), $B64 * N58, "")</f>
        <v/>
      </c>
      <c r="Q58" s="192"/>
      <c r="R58" s="192"/>
      <c r="S58" s="192"/>
    </row>
    <row r="59" spans="1:19" ht="17.25" customHeight="1" thickBot="1">
      <c r="A59" s="128" t="s">
        <v>268</v>
      </c>
      <c r="B59" s="132">
        <v>96.1</v>
      </c>
      <c r="C59" s="80">
        <v>-4.8514851499999997E-2</v>
      </c>
      <c r="D59" s="106">
        <v>89.1</v>
      </c>
      <c r="E59" s="107">
        <f>IF(ISNUMBER(D59), (D59 - $B59) / $B59, "")</f>
        <v>-7.2840790842872011E-2</v>
      </c>
      <c r="F59" s="108">
        <f>IF(ISNUMBER(D59), $B64 * E59, "")</f>
        <v>-10926.118626430802</v>
      </c>
      <c r="G59" s="109">
        <v>89.9</v>
      </c>
      <c r="H59" s="107">
        <f>IF(ISNUMBER(G59), (G59 - $B59) / $B59, "")</f>
        <v>-6.4516129032257952E-2</v>
      </c>
      <c r="I59" s="110">
        <f>IF(ISNUMBER(G59), $B64 * H59, "")</f>
        <v>-9677.419354838692</v>
      </c>
      <c r="J59" s="106">
        <v>93.1</v>
      </c>
      <c r="K59" s="107">
        <f>IF(ISNUMBER(J59), (J59 - $B59) / $B59, "")</f>
        <v>-3.1217481789802291E-2</v>
      </c>
      <c r="L59" s="108">
        <f>IF(ISNUMBER(J59), $B64 * K59, "")</f>
        <v>-4682.6222684703434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2"/>
      <c r="R59" s="182"/>
      <c r="S59" s="182"/>
    </row>
    <row r="60" spans="1:19" ht="17.25" customHeight="1" thickBot="1">
      <c r="A60" s="128" t="s">
        <v>254</v>
      </c>
      <c r="B60" s="129">
        <v>86</v>
      </c>
      <c r="C60" s="77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101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2"/>
      <c r="R60" s="182"/>
      <c r="S60" s="182"/>
    </row>
    <row r="61" spans="1:19" ht="17.25" customHeight="1" thickBot="1">
      <c r="A61" s="128" t="s">
        <v>220</v>
      </c>
      <c r="B61" s="129">
        <v>21.2</v>
      </c>
      <c r="C61" s="77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101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/>
      <c r="N61" s="32" t="str">
        <f t="shared" si="29"/>
        <v/>
      </c>
      <c r="O61" s="18" t="str">
        <f>IF(ISNUMBER(M61), $B64 * N61, "")</f>
        <v/>
      </c>
      <c r="Q61" s="182"/>
      <c r="R61" s="182"/>
      <c r="S61" s="182"/>
    </row>
    <row r="62" spans="1:19" ht="17.25" customHeight="1">
      <c r="A62" s="128" t="s">
        <v>266</v>
      </c>
      <c r="B62" s="129">
        <v>97.2</v>
      </c>
      <c r="C62" s="77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101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/>
      <c r="N62" s="32" t="str">
        <f t="shared" si="29"/>
        <v/>
      </c>
      <c r="O62" s="18" t="str">
        <f>IF(ISNUMBER(M62), $B64 * N62, "")</f>
        <v/>
      </c>
      <c r="Q62" s="171"/>
      <c r="R62" s="172"/>
      <c r="S62" s="17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4"/>
      <c r="R63" s="175"/>
      <c r="S63" s="176"/>
    </row>
    <row r="64" spans="1:19" ht="17.25" customHeight="1" thickBot="1">
      <c r="A64" s="135" t="s">
        <v>301</v>
      </c>
      <c r="B64" s="235">
        <f>$B$37</f>
        <v>150000</v>
      </c>
      <c r="C64" s="236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77"/>
      <c r="R64" s="178"/>
      <c r="S64" s="17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192"/>
      <c r="R67" s="192"/>
      <c r="S67" s="192"/>
    </row>
    <row r="68" spans="1:19" ht="17.25" thickBot="1">
      <c r="A68" s="167" t="s">
        <v>298</v>
      </c>
      <c r="B68" s="193" t="s">
        <v>49</v>
      </c>
      <c r="C68" s="195"/>
      <c r="D68" s="193" t="s">
        <v>58</v>
      </c>
      <c r="E68" s="194"/>
      <c r="F68" s="195"/>
      <c r="G68" s="196">
        <f>_xlfn.IFNA(VLOOKUP(B68, 현재가테이블!$B$2:$D$200, 2, FALSE), "-")</f>
        <v>68581000</v>
      </c>
      <c r="H68" s="197"/>
      <c r="I68" s="198"/>
      <c r="J68" s="193" t="s">
        <v>59</v>
      </c>
      <c r="K68" s="194"/>
      <c r="L68" s="195"/>
      <c r="M68" s="199">
        <f>_xlfn.IFNA(VLOOKUP(B68, 현재가테이블!$B$2:$D$200, 3, FALSE), "-")</f>
        <v>-2.7047857000000002E-3</v>
      </c>
      <c r="N68" s="200"/>
      <c r="O68" s="201"/>
      <c r="Q68" s="192"/>
      <c r="R68" s="192"/>
      <c r="S68" s="192"/>
    </row>
    <row r="69" spans="1:19" ht="17.25" thickBot="1">
      <c r="A69" s="237" t="s">
        <v>55</v>
      </c>
      <c r="B69" s="233" t="str">
        <f>TEXT($G$1, "[$-ko-KR]yyyy-mm-dd(ddd) ") &amp; "오전 00:00"</f>
        <v>2021-05-07(금) 오전 00:00</v>
      </c>
      <c r="C69" s="234"/>
      <c r="D69" s="206" t="str">
        <f>TEXT($G$1, "[$-ko-KR]yyyy-mm-dd(ddd) ") &amp; "오후 14:00"</f>
        <v>2021-05-07(금) 오후 14:00</v>
      </c>
      <c r="E69" s="207"/>
      <c r="F69" s="208"/>
      <c r="G69" s="206" t="str">
        <f>TEXT($G$1, "[$-ko-KR]yyyy-mm-dd(ddd) ") &amp; "오후 19:00"</f>
        <v>2021-05-07(금) 오후 19:00</v>
      </c>
      <c r="H69" s="207"/>
      <c r="I69" s="208"/>
      <c r="J69" s="206" t="str">
        <f>TEXT($G$1, "[$-ko-KR]yyyy-mm-dd(ddd) ") &amp; "오후 21:00"</f>
        <v>2021-05-07(금) 오후 21:00</v>
      </c>
      <c r="K69" s="207"/>
      <c r="L69" s="208"/>
      <c r="M69" s="206" t="str">
        <f>TEXT($G$1+1, "[$-ko-KR]yyyy-mm-dd(ddd) ") &amp; "오전 00:00"</f>
        <v>2021-05-08(토) 오전 00:00</v>
      </c>
      <c r="N69" s="207"/>
      <c r="O69" s="208"/>
      <c r="Q69" s="192"/>
      <c r="R69" s="192"/>
      <c r="S69" s="192"/>
    </row>
    <row r="70" spans="1:19" ht="17.25" thickBot="1">
      <c r="A70" s="238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2"/>
      <c r="R70" s="182"/>
      <c r="S70" s="182"/>
    </row>
    <row r="71" spans="1:19" ht="17.25" thickBot="1">
      <c r="A71" s="126" t="s">
        <v>136</v>
      </c>
      <c r="B71" s="127">
        <v>292</v>
      </c>
      <c r="C71" s="76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100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2"/>
      <c r="R71" s="192"/>
      <c r="S71" s="192"/>
    </row>
    <row r="72" spans="1:19" ht="17.25" thickBot="1">
      <c r="A72" s="128" t="s">
        <v>168</v>
      </c>
      <c r="B72" s="129">
        <v>255</v>
      </c>
      <c r="C72" s="77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101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2"/>
      <c r="R72" s="192"/>
      <c r="S72" s="192"/>
    </row>
    <row r="73" spans="1:19" ht="17.25" thickBot="1">
      <c r="A73" s="128" t="s">
        <v>182</v>
      </c>
      <c r="B73" s="129">
        <v>515</v>
      </c>
      <c r="C73" s="77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101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/>
      <c r="N73" s="32" t="str">
        <f t="shared" si="33"/>
        <v/>
      </c>
      <c r="O73" s="18" t="str">
        <f>IF(ISNUMBER(M73), $B91 * N73, "")</f>
        <v/>
      </c>
      <c r="Q73" s="182"/>
      <c r="R73" s="182"/>
      <c r="S73" s="182"/>
    </row>
    <row r="74" spans="1:19" ht="17.25" thickBot="1">
      <c r="A74" s="128" t="s">
        <v>132</v>
      </c>
      <c r="B74" s="129">
        <v>265</v>
      </c>
      <c r="C74" s="77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101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/>
      <c r="N74" s="32" t="str">
        <f t="shared" si="33"/>
        <v/>
      </c>
      <c r="O74" s="18" t="str">
        <f>IF(ISNUMBER(M74), $B91 * N74, "")</f>
        <v/>
      </c>
      <c r="Q74" s="182"/>
      <c r="R74" s="182"/>
      <c r="S74" s="182"/>
    </row>
    <row r="75" spans="1:19" ht="17.25" thickBot="1">
      <c r="A75" s="130" t="s">
        <v>278</v>
      </c>
      <c r="B75" s="131">
        <v>175</v>
      </c>
      <c r="C75" s="78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5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/>
      <c r="N75" s="21" t="str">
        <f t="shared" si="33"/>
        <v/>
      </c>
      <c r="O75" s="22" t="str">
        <f>IF(ISNUMBER(M75), $B91 * N75, "")</f>
        <v/>
      </c>
      <c r="Q75" s="182"/>
      <c r="R75" s="182"/>
      <c r="S75" s="182"/>
    </row>
    <row r="76" spans="1:19" ht="17.25" thickBot="1">
      <c r="A76" s="128" t="s">
        <v>51</v>
      </c>
      <c r="B76" s="132">
        <v>767</v>
      </c>
      <c r="C76" s="80">
        <v>5.0684931500000002E-2</v>
      </c>
      <c r="D76" s="106">
        <v>755</v>
      </c>
      <c r="E76" s="107">
        <f>IF(ISNUMBER(D76), (D76 - $B76) / $B76, "")</f>
        <v>-1.5645371577574969E-2</v>
      </c>
      <c r="F76" s="108">
        <f>IF(ISNUMBER(D76), $B91 * E76, "")</f>
        <v>-2346.8057366362455</v>
      </c>
      <c r="G76" s="109">
        <v>779</v>
      </c>
      <c r="H76" s="107">
        <f>IF(ISNUMBER(G76), (G76 - $B76) / $B76, "")</f>
        <v>1.5645371577574969E-2</v>
      </c>
      <c r="I76" s="110">
        <f>IF(ISNUMBER(G76), $B91 * H76, "")</f>
        <v>2346.8057366362455</v>
      </c>
      <c r="J76" s="106">
        <v>812</v>
      </c>
      <c r="K76" s="107">
        <f>IF(ISNUMBER(J76), (J76 - $B76) / $B76, "")</f>
        <v>5.867014341590613E-2</v>
      </c>
      <c r="L76" s="108">
        <f>IF(ISNUMBER(J76), $B91 * K76, "")</f>
        <v>8800.5215123859198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2"/>
      <c r="R76" s="182"/>
      <c r="S76" s="182"/>
    </row>
    <row r="77" spans="1:19" ht="17.25" thickBot="1">
      <c r="A77" s="128" t="s">
        <v>57</v>
      </c>
      <c r="B77" s="129">
        <v>460</v>
      </c>
      <c r="C77" s="77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101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2"/>
      <c r="R77" s="182"/>
      <c r="S77" s="182"/>
    </row>
    <row r="78" spans="1:19" ht="17.25" thickBot="1">
      <c r="A78" s="128" t="s">
        <v>156</v>
      </c>
      <c r="B78" s="129">
        <v>183</v>
      </c>
      <c r="C78" s="77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101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/>
      <c r="N78" s="32" t="str">
        <f t="shared" si="37"/>
        <v/>
      </c>
      <c r="O78" s="18" t="str">
        <f>IF(ISNUMBER(M78), $B91 * N78, "")</f>
        <v/>
      </c>
      <c r="Q78" s="182"/>
      <c r="R78" s="182"/>
      <c r="S78" s="182"/>
    </row>
    <row r="79" spans="1:19" ht="17.25" thickBot="1">
      <c r="A79" s="128" t="s">
        <v>120</v>
      </c>
      <c r="B79" s="129">
        <v>230</v>
      </c>
      <c r="C79" s="77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101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216</v>
      </c>
      <c r="B80" s="134">
        <v>465</v>
      </c>
      <c r="C80" s="79">
        <v>3.3333333299999997E-2</v>
      </c>
      <c r="D80" s="24">
        <v>508</v>
      </c>
      <c r="E80" s="25">
        <f t="shared" si="34"/>
        <v>9.2473118279569888E-2</v>
      </c>
      <c r="F80" s="104">
        <f>IF(ISNUMBER(D80), $B91 * E80, "")</f>
        <v>13870.967741935483</v>
      </c>
      <c r="G80" s="102">
        <v>539</v>
      </c>
      <c r="H80" s="25">
        <f t="shared" si="35"/>
        <v>0.15913978494623657</v>
      </c>
      <c r="I80" s="103">
        <f>IF(ISNUMBER(G80), $B91 * H80, "")</f>
        <v>23870.967741935485</v>
      </c>
      <c r="J80" s="24">
        <v>544</v>
      </c>
      <c r="K80" s="25">
        <f t="shared" si="36"/>
        <v>0.16989247311827957</v>
      </c>
      <c r="L80" s="104">
        <f>IF(ISNUMBER(J80), $B91 * K80, "")</f>
        <v>25483.870967741936</v>
      </c>
      <c r="M80" s="102"/>
      <c r="N80" s="25" t="str">
        <f t="shared" si="37"/>
        <v/>
      </c>
      <c r="O80" s="104" t="str">
        <f>IF(ISNUMBER(M80), $B91 * N80, "")</f>
        <v/>
      </c>
      <c r="Q80" s="183"/>
      <c r="R80" s="184"/>
      <c r="S80" s="185"/>
    </row>
    <row r="81" spans="1:19">
      <c r="A81" s="126" t="s">
        <v>134</v>
      </c>
      <c r="B81" s="127">
        <v>157</v>
      </c>
      <c r="C81" s="76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100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6"/>
      <c r="R81" s="187"/>
      <c r="S81" s="188"/>
    </row>
    <row r="82" spans="1:19" ht="17.25" thickBot="1">
      <c r="A82" s="128" t="s">
        <v>88</v>
      </c>
      <c r="B82" s="129">
        <v>638</v>
      </c>
      <c r="C82" s="77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101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9"/>
      <c r="R82" s="190"/>
      <c r="S82" s="191"/>
    </row>
    <row r="83" spans="1:19" ht="17.25" thickBot="1">
      <c r="A83" s="128" t="s">
        <v>270</v>
      </c>
      <c r="B83" s="129">
        <v>605</v>
      </c>
      <c r="C83" s="77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101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/>
      <c r="N83" s="32" t="str">
        <f t="shared" si="41"/>
        <v/>
      </c>
      <c r="O83" s="18" t="str">
        <f>IF(ISNUMBER(M83), $B91 * N83, "")</f>
        <v/>
      </c>
      <c r="Q83" s="182"/>
      <c r="R83" s="182"/>
      <c r="S83" s="182"/>
    </row>
    <row r="84" spans="1:19" ht="17.25" thickBot="1">
      <c r="A84" s="128" t="s">
        <v>142</v>
      </c>
      <c r="B84" s="129">
        <v>468</v>
      </c>
      <c r="C84" s="77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101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/>
      <c r="N84" s="32" t="str">
        <f t="shared" si="41"/>
        <v/>
      </c>
      <c r="O84" s="18" t="str">
        <f>IF(ISNUMBER(M84), $B91 * N84, "")</f>
        <v/>
      </c>
      <c r="Q84" s="192"/>
      <c r="R84" s="192"/>
      <c r="S84" s="192"/>
    </row>
    <row r="85" spans="1:19" ht="17.25" thickBot="1">
      <c r="A85" s="130" t="s">
        <v>284</v>
      </c>
      <c r="B85" s="131">
        <v>471</v>
      </c>
      <c r="C85" s="78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5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/>
      <c r="N85" s="21" t="str">
        <f t="shared" si="41"/>
        <v/>
      </c>
      <c r="O85" s="22" t="str">
        <f>IF(ISNUMBER(M85), $B91 * N85, "")</f>
        <v/>
      </c>
      <c r="Q85" s="192"/>
      <c r="R85" s="192"/>
      <c r="S85" s="192"/>
    </row>
    <row r="86" spans="1:19" ht="17.25" thickBot="1">
      <c r="A86" s="128" t="s">
        <v>148</v>
      </c>
      <c r="B86" s="132">
        <v>199</v>
      </c>
      <c r="C86" s="80">
        <v>1.53061224E-2</v>
      </c>
      <c r="D86" s="106">
        <v>192</v>
      </c>
      <c r="E86" s="107">
        <f>IF(ISNUMBER(D86), (D86 - $B86) / $B86, "")</f>
        <v>-3.5175879396984924E-2</v>
      </c>
      <c r="F86" s="108">
        <f>IF(ISNUMBER(D86), $B91 * E86, "")</f>
        <v>-5276.3819095477384</v>
      </c>
      <c r="G86" s="109">
        <v>195</v>
      </c>
      <c r="H86" s="107">
        <f>IF(ISNUMBER(G86), (G86 - $B86) / $B86, "")</f>
        <v>-2.0100502512562814E-2</v>
      </c>
      <c r="I86" s="110">
        <f>IF(ISNUMBER(G86), $B91 * H86, "")</f>
        <v>-3015.075376884422</v>
      </c>
      <c r="J86" s="106">
        <v>194</v>
      </c>
      <c r="K86" s="107">
        <f>IF(ISNUMBER(J86), (J86 - $B86) / $B86, "")</f>
        <v>-2.5125628140703519E-2</v>
      </c>
      <c r="L86" s="108">
        <f>IF(ISNUMBER(J86), $B91 * K86, "")</f>
        <v>-3768.844221105528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2"/>
      <c r="R86" s="182"/>
      <c r="S86" s="182"/>
    </row>
    <row r="87" spans="1:19" ht="17.25" thickBot="1">
      <c r="A87" s="128" t="s">
        <v>264</v>
      </c>
      <c r="B87" s="129">
        <v>179</v>
      </c>
      <c r="C87" s="77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101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2"/>
      <c r="R87" s="182"/>
      <c r="S87" s="182"/>
    </row>
    <row r="88" spans="1:19" ht="17.25" thickBot="1">
      <c r="A88" s="128" t="s">
        <v>128</v>
      </c>
      <c r="B88" s="129">
        <v>697</v>
      </c>
      <c r="C88" s="77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101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/>
      <c r="N88" s="32" t="str">
        <f t="shared" si="45"/>
        <v/>
      </c>
      <c r="O88" s="18" t="str">
        <f>IF(ISNUMBER(M88), $B91 * N88, "")</f>
        <v/>
      </c>
      <c r="Q88" s="182"/>
      <c r="R88" s="182"/>
      <c r="S88" s="182"/>
    </row>
    <row r="89" spans="1:19">
      <c r="A89" s="128" t="s">
        <v>212</v>
      </c>
      <c r="B89" s="129">
        <v>156</v>
      </c>
      <c r="C89" s="77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101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/>
      <c r="N89" s="32" t="str">
        <f t="shared" si="45"/>
        <v/>
      </c>
      <c r="O89" s="18" t="str">
        <f>IF(ISNUMBER(M89), $B91 * N89, "")</f>
        <v/>
      </c>
      <c r="Q89" s="171"/>
      <c r="R89" s="172"/>
      <c r="S89" s="173"/>
    </row>
    <row r="90" spans="1:19" ht="17.25" thickBot="1">
      <c r="A90" s="133" t="s">
        <v>54</v>
      </c>
      <c r="B90" s="134">
        <v>373</v>
      </c>
      <c r="C90" s="79">
        <v>-1.0610079600000001E-2</v>
      </c>
      <c r="D90" s="24">
        <v>356</v>
      </c>
      <c r="E90" s="25">
        <f t="shared" si="42"/>
        <v>-4.5576407506702415E-2</v>
      </c>
      <c r="F90" s="104">
        <f>IF(ISNUMBER(D90), $B91 * E90, "")</f>
        <v>-6836.4611260053625</v>
      </c>
      <c r="G90" s="102">
        <v>364</v>
      </c>
      <c r="H90" s="25">
        <f t="shared" si="43"/>
        <v>-2.4128686327077747E-2</v>
      </c>
      <c r="I90" s="103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4">
        <f>IF(ISNUMBER(J90), $B91 * K90, "")</f>
        <v>1608.5790884718499</v>
      </c>
      <c r="M90" s="102"/>
      <c r="N90" s="25" t="str">
        <f t="shared" si="45"/>
        <v/>
      </c>
      <c r="O90" s="104" t="str">
        <f>IF(ISNUMBER(M90), $B91 * N90, "")</f>
        <v/>
      </c>
      <c r="Q90" s="174"/>
      <c r="R90" s="175"/>
      <c r="S90" s="176"/>
    </row>
    <row r="91" spans="1:19" ht="17.25" thickBot="1">
      <c r="A91" s="135" t="s">
        <v>301</v>
      </c>
      <c r="B91" s="235">
        <f>$B$37</f>
        <v>150000</v>
      </c>
      <c r="C91" s="236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77"/>
      <c r="R91" s="178"/>
      <c r="S91" s="17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192"/>
      <c r="R94" s="192"/>
      <c r="S94" s="192"/>
    </row>
    <row r="95" spans="1:19" ht="17.25" thickBot="1">
      <c r="A95" s="167" t="s">
        <v>298</v>
      </c>
      <c r="B95" s="193" t="s">
        <v>49</v>
      </c>
      <c r="C95" s="195"/>
      <c r="D95" s="193" t="s">
        <v>58</v>
      </c>
      <c r="E95" s="194"/>
      <c r="F95" s="195"/>
      <c r="G95" s="196">
        <f>_xlfn.IFNA(VLOOKUP(B95, 현재가테이블!$B$2:$D$200, 2, FALSE), "-")</f>
        <v>68581000</v>
      </c>
      <c r="H95" s="197"/>
      <c r="I95" s="198"/>
      <c r="J95" s="193" t="s">
        <v>59</v>
      </c>
      <c r="K95" s="194"/>
      <c r="L95" s="195"/>
      <c r="M95" s="199">
        <f>_xlfn.IFNA(VLOOKUP(B95, 현재가테이블!$B$2:$D$200, 3, FALSE), "-")</f>
        <v>-2.7047857000000002E-3</v>
      </c>
      <c r="N95" s="200"/>
      <c r="O95" s="201"/>
      <c r="Q95" s="192"/>
      <c r="R95" s="192"/>
      <c r="S95" s="192"/>
    </row>
    <row r="96" spans="1:19" ht="17.25" thickBot="1">
      <c r="A96" s="237" t="s">
        <v>55</v>
      </c>
      <c r="B96" s="233" t="str">
        <f>TEXT($G$1, "[$-ko-KR]yyyy-mm-dd(ddd) ") &amp; "오전 00:00"</f>
        <v>2021-05-07(금) 오전 00:00</v>
      </c>
      <c r="C96" s="234"/>
      <c r="D96" s="206" t="str">
        <f>TEXT($G$1, "[$-ko-KR]yyyy-mm-dd(ddd) ") &amp; "오후 14:00"</f>
        <v>2021-05-07(금) 오후 14:00</v>
      </c>
      <c r="E96" s="207"/>
      <c r="F96" s="208"/>
      <c r="G96" s="206" t="str">
        <f>TEXT($G$1, "[$-ko-KR]yyyy-mm-dd(ddd) ") &amp; "오후 19:00"</f>
        <v>2021-05-07(금) 오후 19:00</v>
      </c>
      <c r="H96" s="207"/>
      <c r="I96" s="208"/>
      <c r="J96" s="206" t="str">
        <f>TEXT($G$1, "[$-ko-KR]yyyy-mm-dd(ddd) ") &amp; "오후 21:00"</f>
        <v>2021-05-07(금) 오후 21:00</v>
      </c>
      <c r="K96" s="207"/>
      <c r="L96" s="208"/>
      <c r="M96" s="206" t="str">
        <f>TEXT($G$1+1, "[$-ko-KR]yyyy-mm-dd(ddd) ") &amp; "오전 00:00"</f>
        <v>2021-05-08(토) 오전 00:00</v>
      </c>
      <c r="N96" s="207"/>
      <c r="O96" s="208"/>
      <c r="Q96" s="192"/>
      <c r="R96" s="192"/>
      <c r="S96" s="192"/>
    </row>
    <row r="97" spans="1:19" ht="17.25" thickBot="1">
      <c r="A97" s="238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2"/>
      <c r="R97" s="182"/>
      <c r="S97" s="182"/>
    </row>
    <row r="98" spans="1:19" ht="17.25" thickBot="1">
      <c r="A98" s="126" t="s">
        <v>188</v>
      </c>
      <c r="B98" s="127">
        <v>26350</v>
      </c>
      <c r="C98" s="76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100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2"/>
      <c r="R98" s="192"/>
      <c r="S98" s="192"/>
    </row>
    <row r="99" spans="1:19" ht="17.25" thickBot="1">
      <c r="A99" s="128" t="s">
        <v>102</v>
      </c>
      <c r="B99" s="129">
        <v>137000</v>
      </c>
      <c r="C99" s="77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101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2"/>
      <c r="R99" s="192"/>
      <c r="S99" s="192"/>
    </row>
    <row r="100" spans="1:19" ht="17.25" thickBot="1">
      <c r="A100" s="128" t="s">
        <v>248</v>
      </c>
      <c r="B100" s="129">
        <v>4055</v>
      </c>
      <c r="C100" s="77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101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/>
      <c r="N100" s="32" t="str">
        <f t="shared" si="49"/>
        <v/>
      </c>
      <c r="O100" s="18" t="str">
        <f>IF(ISNUMBER(M100), $B118 * N100, "")</f>
        <v/>
      </c>
      <c r="Q100" s="182"/>
      <c r="R100" s="182"/>
      <c r="S100" s="182"/>
    </row>
    <row r="101" spans="1:19" ht="17.25" thickBot="1">
      <c r="A101" s="128" t="s">
        <v>262</v>
      </c>
      <c r="B101" s="129">
        <v>1300</v>
      </c>
      <c r="C101" s="77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101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/>
      <c r="N101" s="32" t="str">
        <f t="shared" si="49"/>
        <v/>
      </c>
      <c r="O101" s="18" t="str">
        <f>IF(ISNUMBER(M101), $B118 * N101, "")</f>
        <v/>
      </c>
      <c r="Q101" s="182"/>
      <c r="R101" s="182"/>
      <c r="S101" s="182"/>
    </row>
    <row r="102" spans="1:19" ht="17.25" thickBot="1">
      <c r="A102" s="130" t="s">
        <v>136</v>
      </c>
      <c r="B102" s="131">
        <v>292</v>
      </c>
      <c r="C102" s="78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5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/>
      <c r="N102" s="21" t="str">
        <f t="shared" si="49"/>
        <v/>
      </c>
      <c r="O102" s="22" t="str">
        <f>IF(ISNUMBER(M102), $B118 * N102, "")</f>
        <v/>
      </c>
      <c r="Q102" s="182"/>
      <c r="R102" s="182"/>
      <c r="S102" s="182"/>
    </row>
    <row r="103" spans="1:19" ht="17.25" thickBot="1">
      <c r="A103" s="128" t="s">
        <v>168</v>
      </c>
      <c r="B103" s="132">
        <v>255</v>
      </c>
      <c r="C103" s="80">
        <v>0.13839285709999999</v>
      </c>
      <c r="D103" s="106">
        <v>258</v>
      </c>
      <c r="E103" s="107">
        <f>IF(ISNUMBER(D103), (D103 - $B103) / $B103, "")</f>
        <v>1.1764705882352941E-2</v>
      </c>
      <c r="F103" s="108">
        <f>IF(ISNUMBER(D103), $B118 * E103, "")</f>
        <v>1764.7058823529412</v>
      </c>
      <c r="G103" s="109">
        <v>262</v>
      </c>
      <c r="H103" s="107">
        <f>IF(ISNUMBER(G103), (G103 - $B103) / $B103, "")</f>
        <v>2.7450980392156862E-2</v>
      </c>
      <c r="I103" s="110">
        <f>IF(ISNUMBER(G103), $B118 * H103, "")</f>
        <v>4117.6470588235297</v>
      </c>
      <c r="J103" s="106">
        <v>270</v>
      </c>
      <c r="K103" s="107">
        <f>IF(ISNUMBER(J103), (J103 - $B103) / $B103, "")</f>
        <v>5.8823529411764705E-2</v>
      </c>
      <c r="L103" s="108">
        <f>IF(ISNUMBER(J103), $B118 * K103, "")</f>
        <v>8823.5294117647063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2"/>
      <c r="R103" s="182"/>
      <c r="S103" s="182"/>
    </row>
    <row r="104" spans="1:19" ht="17.25" thickBot="1">
      <c r="A104" s="128" t="s">
        <v>94</v>
      </c>
      <c r="B104" s="129">
        <v>184150</v>
      </c>
      <c r="C104" s="77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101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2"/>
      <c r="R104" s="182"/>
      <c r="S104" s="182"/>
    </row>
    <row r="105" spans="1:19" ht="17.25" thickBot="1">
      <c r="A105" s="128" t="s">
        <v>98</v>
      </c>
      <c r="B105" s="129">
        <v>8825</v>
      </c>
      <c r="C105" s="77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101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/>
      <c r="N105" s="32" t="str">
        <f t="shared" si="53"/>
        <v/>
      </c>
      <c r="O105" s="18" t="str">
        <f>IF(ISNUMBER(M105), $B118 * N105, "")</f>
        <v/>
      </c>
      <c r="Q105" s="182"/>
      <c r="R105" s="182"/>
      <c r="S105" s="182"/>
    </row>
    <row r="106" spans="1:19" ht="17.25" thickBot="1">
      <c r="A106" s="128" t="s">
        <v>84</v>
      </c>
      <c r="B106" s="129">
        <v>1970</v>
      </c>
      <c r="C106" s="77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101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184</v>
      </c>
      <c r="B107" s="134">
        <v>2845</v>
      </c>
      <c r="C107" s="79">
        <v>0.1135029354</v>
      </c>
      <c r="D107" s="24">
        <v>2820</v>
      </c>
      <c r="E107" s="25">
        <f t="shared" si="50"/>
        <v>-8.7873462214411256E-3</v>
      </c>
      <c r="F107" s="104">
        <f>IF(ISNUMBER(D107), $B118 * E107, "")</f>
        <v>-1318.1019332161688</v>
      </c>
      <c r="G107" s="102">
        <v>3005</v>
      </c>
      <c r="H107" s="25">
        <f t="shared" si="51"/>
        <v>5.6239015817223195E-2</v>
      </c>
      <c r="I107" s="103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4">
        <f>IF(ISNUMBER(J107), $B118 * K107, "")</f>
        <v>5799.6485061511421</v>
      </c>
      <c r="M107" s="102"/>
      <c r="N107" s="25" t="str">
        <f t="shared" si="53"/>
        <v/>
      </c>
      <c r="O107" s="104" t="str">
        <f>IF(ISNUMBER(M107), $B118 * N107, "")</f>
        <v/>
      </c>
      <c r="Q107" s="183"/>
      <c r="R107" s="184"/>
      <c r="S107" s="185"/>
    </row>
    <row r="108" spans="1:19">
      <c r="A108" s="126" t="s">
        <v>100</v>
      </c>
      <c r="B108" s="127">
        <v>9.58</v>
      </c>
      <c r="C108" s="76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100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6"/>
      <c r="R108" s="187"/>
      <c r="S108" s="188"/>
    </row>
    <row r="109" spans="1:19" ht="17.25" thickBot="1">
      <c r="A109" s="128" t="s">
        <v>86</v>
      </c>
      <c r="B109" s="129">
        <v>11500</v>
      </c>
      <c r="C109" s="77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101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9"/>
      <c r="R109" s="190"/>
      <c r="S109" s="191"/>
    </row>
    <row r="110" spans="1:19" ht="17.25" thickBot="1">
      <c r="A110" s="128" t="s">
        <v>242</v>
      </c>
      <c r="B110" s="129">
        <v>8015</v>
      </c>
      <c r="C110" s="77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101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/>
      <c r="N110" s="32" t="str">
        <f t="shared" si="57"/>
        <v/>
      </c>
      <c r="O110" s="18" t="str">
        <f>IF(ISNUMBER(M110), $B118 * N110, "")</f>
        <v/>
      </c>
      <c r="Q110" s="182"/>
      <c r="R110" s="182"/>
      <c r="S110" s="182"/>
    </row>
    <row r="111" spans="1:19" ht="17.25" thickBot="1">
      <c r="A111" s="128" t="s">
        <v>72</v>
      </c>
      <c r="B111" s="129">
        <v>39</v>
      </c>
      <c r="C111" s="77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101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/>
      <c r="N111" s="32" t="str">
        <f t="shared" si="57"/>
        <v/>
      </c>
      <c r="O111" s="18" t="str">
        <f>IF(ISNUMBER(M111), $B118 * N111, "")</f>
        <v/>
      </c>
      <c r="Q111" s="192"/>
      <c r="R111" s="192"/>
      <c r="S111" s="192"/>
    </row>
    <row r="112" spans="1:19" ht="17.25" thickBot="1">
      <c r="A112" s="130" t="s">
        <v>104</v>
      </c>
      <c r="B112" s="131">
        <v>2765</v>
      </c>
      <c r="C112" s="78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5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/>
      <c r="N112" s="21" t="str">
        <f t="shared" si="57"/>
        <v/>
      </c>
      <c r="O112" s="22" t="str">
        <f>IF(ISNUMBER(M112), $B118 * N112, "")</f>
        <v/>
      </c>
      <c r="Q112" s="192"/>
      <c r="R112" s="192"/>
      <c r="S112" s="192"/>
    </row>
    <row r="113" spans="1:19" ht="17.25" thickBot="1">
      <c r="A113" s="128" t="s">
        <v>182</v>
      </c>
      <c r="B113" s="132">
        <v>515</v>
      </c>
      <c r="C113" s="80">
        <v>7.2916666699999994E-2</v>
      </c>
      <c r="D113" s="106">
        <v>498</v>
      </c>
      <c r="E113" s="107">
        <f>IF(ISNUMBER(D113), (D113 - $B113) / $B113, "")</f>
        <v>-3.3009708737864081E-2</v>
      </c>
      <c r="F113" s="108">
        <f>IF(ISNUMBER(D113), $B118 * E113, "")</f>
        <v>-4951.4563106796122</v>
      </c>
      <c r="G113" s="109">
        <v>536</v>
      </c>
      <c r="H113" s="107">
        <f>IF(ISNUMBER(G113), (G113 - $B113) / $B113, "")</f>
        <v>4.0776699029126215E-2</v>
      </c>
      <c r="I113" s="110">
        <f>IF(ISNUMBER(G113), $B118 * H113, "")</f>
        <v>6116.5048543689327</v>
      </c>
      <c r="J113" s="106">
        <v>559</v>
      </c>
      <c r="K113" s="107">
        <f>IF(ISNUMBER(J113), (J113 - $B113) / $B113, "")</f>
        <v>8.5436893203883493E-2</v>
      </c>
      <c r="L113" s="108">
        <f>IF(ISNUMBER(J113), $B118 * K113, "")</f>
        <v>12815.533980582524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2"/>
      <c r="R113" s="182"/>
      <c r="S113" s="182"/>
    </row>
    <row r="114" spans="1:19" ht="17.25" thickBot="1">
      <c r="A114" s="128" t="s">
        <v>132</v>
      </c>
      <c r="B114" s="129">
        <v>265</v>
      </c>
      <c r="C114" s="77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101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2"/>
      <c r="R114" s="182"/>
      <c r="S114" s="182"/>
    </row>
    <row r="115" spans="1:19" ht="17.25" thickBot="1">
      <c r="A115" s="128" t="s">
        <v>106</v>
      </c>
      <c r="B115" s="129">
        <v>2400</v>
      </c>
      <c r="C115" s="77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101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/>
      <c r="N115" s="32" t="str">
        <f t="shared" si="61"/>
        <v/>
      </c>
      <c r="O115" s="18" t="str">
        <f>IF(ISNUMBER(M115), $B118 * N115, "")</f>
        <v/>
      </c>
      <c r="Q115" s="182"/>
      <c r="R115" s="182"/>
      <c r="S115" s="182"/>
    </row>
    <row r="116" spans="1:19">
      <c r="A116" s="128" t="s">
        <v>118</v>
      </c>
      <c r="B116" s="129">
        <v>7875</v>
      </c>
      <c r="C116" s="77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101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/>
      <c r="N116" s="32" t="str">
        <f t="shared" si="61"/>
        <v/>
      </c>
      <c r="O116" s="18" t="str">
        <f>IF(ISNUMBER(M116), $B118 * N116, "")</f>
        <v/>
      </c>
      <c r="Q116" s="171"/>
      <c r="R116" s="172"/>
      <c r="S116" s="173"/>
    </row>
    <row r="117" spans="1:19" ht="17.25" thickBot="1">
      <c r="A117" s="133" t="s">
        <v>152</v>
      </c>
      <c r="B117" s="134">
        <v>52.3</v>
      </c>
      <c r="C117" s="79">
        <v>6.0851927E-2</v>
      </c>
      <c r="D117" s="24">
        <v>48.2</v>
      </c>
      <c r="E117" s="25">
        <f t="shared" si="58"/>
        <v>-7.8393881453154776E-2</v>
      </c>
      <c r="F117" s="104">
        <f>IF(ISNUMBER(D117), $B118 * E117, "")</f>
        <v>-11759.082217973217</v>
      </c>
      <c r="G117" s="102">
        <v>52.1</v>
      </c>
      <c r="H117" s="25">
        <f t="shared" si="59"/>
        <v>-3.8240917782025956E-3</v>
      </c>
      <c r="I117" s="103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4">
        <f>IF(ISNUMBER(J117), $B118 * K117, "")</f>
        <v>-1434.0344168260037</v>
      </c>
      <c r="M117" s="102"/>
      <c r="N117" s="25" t="str">
        <f t="shared" si="61"/>
        <v/>
      </c>
      <c r="O117" s="104" t="str">
        <f>IF(ISNUMBER(M117), $B118 * N117, "")</f>
        <v/>
      </c>
      <c r="Q117" s="174"/>
      <c r="R117" s="175"/>
      <c r="S117" s="176"/>
    </row>
    <row r="118" spans="1:19" ht="17.25" thickBot="1">
      <c r="A118" s="135" t="s">
        <v>301</v>
      </c>
      <c r="B118" s="235">
        <f>$B$37</f>
        <v>150000</v>
      </c>
      <c r="C118" s="236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77"/>
      <c r="R118" s="178"/>
      <c r="S118" s="17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192"/>
      <c r="R121" s="192"/>
      <c r="S121" s="192"/>
    </row>
    <row r="122" spans="1:19" ht="17.25" thickBot="1">
      <c r="A122" s="167" t="s">
        <v>298</v>
      </c>
      <c r="B122" s="193" t="s">
        <v>49</v>
      </c>
      <c r="C122" s="195"/>
      <c r="D122" s="193" t="s">
        <v>58</v>
      </c>
      <c r="E122" s="194"/>
      <c r="F122" s="195"/>
      <c r="G122" s="196">
        <f>_xlfn.IFNA(VLOOKUP(B122, 현재가테이블!$B$2:$D$200, 2, FALSE), "-")</f>
        <v>68581000</v>
      </c>
      <c r="H122" s="197"/>
      <c r="I122" s="198"/>
      <c r="J122" s="193" t="s">
        <v>59</v>
      </c>
      <c r="K122" s="194"/>
      <c r="L122" s="195"/>
      <c r="M122" s="199">
        <f>_xlfn.IFNA(VLOOKUP(B122, 현재가테이블!$B$2:$D$200, 3, FALSE), "-")</f>
        <v>-2.7047857000000002E-3</v>
      </c>
      <c r="N122" s="200"/>
      <c r="O122" s="201"/>
      <c r="Q122" s="192"/>
      <c r="R122" s="192"/>
      <c r="S122" s="192"/>
    </row>
    <row r="123" spans="1:19" ht="17.25" thickBot="1">
      <c r="A123" s="237" t="s">
        <v>55</v>
      </c>
      <c r="B123" s="233" t="str">
        <f>TEXT($G$1, "[$-ko-KR]yyyy-mm-dd(ddd) ") &amp; "오전 00:00"</f>
        <v>2021-05-07(금) 오전 00:00</v>
      </c>
      <c r="C123" s="234"/>
      <c r="D123" s="206" t="str">
        <f>TEXT($G$1, "[$-ko-KR]yyyy-mm-dd(ddd) ") &amp; "오후 14:00"</f>
        <v>2021-05-07(금) 오후 14:00</v>
      </c>
      <c r="E123" s="207"/>
      <c r="F123" s="208"/>
      <c r="G123" s="206" t="str">
        <f>TEXT($G$1, "[$-ko-KR]yyyy-mm-dd(ddd) ") &amp; "오후 19:00"</f>
        <v>2021-05-07(금) 오후 19:00</v>
      </c>
      <c r="H123" s="207"/>
      <c r="I123" s="208"/>
      <c r="J123" s="206" t="str">
        <f>TEXT($G$1, "[$-ko-KR]yyyy-mm-dd(ddd) ") &amp; "오후 21:00"</f>
        <v>2021-05-07(금) 오후 21:00</v>
      </c>
      <c r="K123" s="207"/>
      <c r="L123" s="208"/>
      <c r="M123" s="206" t="str">
        <f>TEXT($G$1+1, "[$-ko-KR]yyyy-mm-dd(ddd) ") &amp; "오전 00:00"</f>
        <v>2021-05-08(토) 오전 00:00</v>
      </c>
      <c r="N123" s="207"/>
      <c r="O123" s="208"/>
      <c r="Q123" s="192"/>
      <c r="R123" s="192"/>
      <c r="S123" s="192"/>
    </row>
    <row r="124" spans="1:19" ht="17.25" thickBot="1">
      <c r="A124" s="238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2"/>
      <c r="R124" s="182"/>
      <c r="S124" s="182"/>
    </row>
    <row r="125" spans="1:19" ht="17.25" thickBot="1">
      <c r="A125" s="126" t="s">
        <v>100</v>
      </c>
      <c r="B125" s="127">
        <v>9.58</v>
      </c>
      <c r="C125" s="76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100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2"/>
      <c r="R125" s="192"/>
      <c r="S125" s="192"/>
    </row>
    <row r="126" spans="1:19" ht="17.25" thickBot="1">
      <c r="A126" s="128" t="s">
        <v>72</v>
      </c>
      <c r="B126" s="129">
        <v>39</v>
      </c>
      <c r="C126" s="77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101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2"/>
      <c r="R126" s="192"/>
      <c r="S126" s="192"/>
    </row>
    <row r="127" spans="1:19" ht="17.25" thickBot="1">
      <c r="A127" s="128" t="s">
        <v>152</v>
      </c>
      <c r="B127" s="129">
        <v>52.3</v>
      </c>
      <c r="C127" s="77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101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/>
      <c r="N127" s="32" t="str">
        <f t="shared" si="65"/>
        <v/>
      </c>
      <c r="O127" s="18" t="str">
        <f>IF(ISNUMBER(M127), $B145 * N127, "")</f>
        <v/>
      </c>
      <c r="Q127" s="182"/>
      <c r="R127" s="182"/>
      <c r="S127" s="182"/>
    </row>
    <row r="128" spans="1:19" ht="17.25" thickBot="1">
      <c r="A128" s="128" t="s">
        <v>65</v>
      </c>
      <c r="B128" s="129">
        <v>76.400000000000006</v>
      </c>
      <c r="C128" s="77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101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/>
      <c r="N128" s="32" t="str">
        <f t="shared" si="65"/>
        <v/>
      </c>
      <c r="O128" s="18" t="str">
        <f>IF(ISNUMBER(M128), $B145 * N128, "")</f>
        <v/>
      </c>
      <c r="Q128" s="182"/>
      <c r="R128" s="182"/>
      <c r="S128" s="182"/>
    </row>
    <row r="129" spans="1:19" ht="17.25" thickBot="1">
      <c r="A129" s="130" t="s">
        <v>222</v>
      </c>
      <c r="B129" s="131">
        <v>18.8</v>
      </c>
      <c r="C129" s="78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/>
      <c r="N129" s="21" t="str">
        <f t="shared" si="65"/>
        <v/>
      </c>
      <c r="O129" s="22" t="str">
        <f>IF(ISNUMBER(M129), $B145 * N129, "")</f>
        <v/>
      </c>
      <c r="Q129" s="182"/>
      <c r="R129" s="182"/>
      <c r="S129" s="182"/>
    </row>
    <row r="130" spans="1:19" ht="17.25" thickBot="1">
      <c r="A130" s="128" t="s">
        <v>126</v>
      </c>
      <c r="B130" s="132">
        <v>63.3</v>
      </c>
      <c r="C130" s="80">
        <v>-1.0937499999999999E-2</v>
      </c>
      <c r="D130" s="106">
        <v>59.1</v>
      </c>
      <c r="E130" s="107">
        <f>IF(ISNUMBER(D130), (D130 - $B130) / $B130, "")</f>
        <v>-6.6350710900473869E-2</v>
      </c>
      <c r="F130" s="108">
        <f>IF(ISNUMBER(D130), $B145 * E130, "")</f>
        <v>-9952.6066350710807</v>
      </c>
      <c r="G130" s="109">
        <v>61</v>
      </c>
      <c r="H130" s="107">
        <f>IF(ISNUMBER(G130), (G130 - $B130) / $B130, "")</f>
        <v>-3.6334913112164254E-2</v>
      </c>
      <c r="I130" s="110">
        <f>IF(ISNUMBER(G130), $B145 * H130, "")</f>
        <v>-5450.2369668246383</v>
      </c>
      <c r="J130" s="106">
        <v>61.8</v>
      </c>
      <c r="K130" s="107">
        <f>IF(ISNUMBER(J130), (J130 - $B130) / $B130, "")</f>
        <v>-2.3696682464454978E-2</v>
      </c>
      <c r="L130" s="108">
        <f>IF(ISNUMBER(J130), $B145 * K130, "")</f>
        <v>-3554.5023696682465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2"/>
      <c r="R130" s="182"/>
      <c r="S130" s="182"/>
    </row>
    <row r="131" spans="1:19" ht="17.25" thickBot="1">
      <c r="A131" s="128" t="s">
        <v>196</v>
      </c>
      <c r="B131" s="129">
        <v>20.5</v>
      </c>
      <c r="C131" s="77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101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2"/>
      <c r="R131" s="182"/>
      <c r="S131" s="182"/>
    </row>
    <row r="132" spans="1:19" ht="17.25" thickBot="1">
      <c r="A132" s="128" t="s">
        <v>186</v>
      </c>
      <c r="B132" s="129">
        <v>25.3</v>
      </c>
      <c r="C132" s="77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101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/>
      <c r="N132" s="32" t="str">
        <f t="shared" si="69"/>
        <v/>
      </c>
      <c r="O132" s="18" t="str">
        <f>IF(ISNUMBER(M132), $B145 * N132, "")</f>
        <v/>
      </c>
      <c r="Q132" s="182"/>
      <c r="R132" s="182"/>
      <c r="S132" s="182"/>
    </row>
    <row r="133" spans="1:19" ht="17.25" thickBot="1">
      <c r="A133" s="128" t="s">
        <v>236</v>
      </c>
      <c r="B133" s="129">
        <v>68.3</v>
      </c>
      <c r="C133" s="77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101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198</v>
      </c>
      <c r="B134" s="134">
        <v>28.3</v>
      </c>
      <c r="C134" s="79">
        <v>-3.7414966000000001E-2</v>
      </c>
      <c r="D134" s="24">
        <v>25.9</v>
      </c>
      <c r="E134" s="25">
        <f t="shared" si="66"/>
        <v>-8.4805653710247425E-2</v>
      </c>
      <c r="F134" s="104">
        <f>IF(ISNUMBER(D134), $B145 * E134, "")</f>
        <v>-12720.848056537114</v>
      </c>
      <c r="G134" s="102">
        <v>26.7</v>
      </c>
      <c r="H134" s="25">
        <f t="shared" si="67"/>
        <v>-5.6537102473498281E-2</v>
      </c>
      <c r="I134" s="103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4">
        <f>IF(ISNUMBER(J134), $B145 * K134, "")</f>
        <v>-2650.1766784452298</v>
      </c>
      <c r="M134" s="102"/>
      <c r="N134" s="25" t="str">
        <f t="shared" si="69"/>
        <v/>
      </c>
      <c r="O134" s="104" t="str">
        <f>IF(ISNUMBER(M134), $B145 * N134, "")</f>
        <v/>
      </c>
      <c r="Q134" s="183"/>
      <c r="R134" s="184"/>
      <c r="S134" s="185"/>
    </row>
    <row r="135" spans="1:19">
      <c r="A135" s="126" t="s">
        <v>172</v>
      </c>
      <c r="B135" s="127">
        <v>25.2</v>
      </c>
      <c r="C135" s="76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100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6"/>
      <c r="R135" s="187"/>
      <c r="S135" s="188"/>
    </row>
    <row r="136" spans="1:19" ht="17.25" thickBot="1">
      <c r="A136" s="128" t="s">
        <v>214</v>
      </c>
      <c r="B136" s="129">
        <v>22.2</v>
      </c>
      <c r="C136" s="77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101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9"/>
      <c r="R136" s="190"/>
      <c r="S136" s="191"/>
    </row>
    <row r="137" spans="1:19" ht="17.25" thickBot="1">
      <c r="A137" s="128" t="s">
        <v>218</v>
      </c>
      <c r="B137" s="129">
        <v>28.5</v>
      </c>
      <c r="C137" s="77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101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/>
      <c r="N137" s="32" t="str">
        <f t="shared" si="73"/>
        <v/>
      </c>
      <c r="O137" s="18" t="str">
        <f>IF(ISNUMBER(M137), $B145 * N137, "")</f>
        <v/>
      </c>
      <c r="Q137" s="182"/>
      <c r="R137" s="182"/>
      <c r="S137" s="182"/>
    </row>
    <row r="138" spans="1:19" ht="17.25" thickBot="1">
      <c r="A138" s="128" t="s">
        <v>154</v>
      </c>
      <c r="B138" s="129">
        <v>21.1</v>
      </c>
      <c r="C138" s="77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101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/>
      <c r="N138" s="32" t="str">
        <f t="shared" si="73"/>
        <v/>
      </c>
      <c r="O138" s="18" t="str">
        <f>IF(ISNUMBER(M138), $B145 * N138, "")</f>
        <v/>
      </c>
      <c r="Q138" s="192"/>
      <c r="R138" s="192"/>
      <c r="S138" s="192"/>
    </row>
    <row r="139" spans="1:19" ht="17.25" thickBot="1">
      <c r="A139" s="130" t="s">
        <v>228</v>
      </c>
      <c r="B139" s="131">
        <v>18.399999999999999</v>
      </c>
      <c r="C139" s="78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5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/>
      <c r="N139" s="21" t="str">
        <f t="shared" si="73"/>
        <v/>
      </c>
      <c r="O139" s="22" t="str">
        <f>IF(ISNUMBER(M139), $B145 * N139, "")</f>
        <v/>
      </c>
      <c r="Q139" s="192"/>
      <c r="R139" s="192"/>
      <c r="S139" s="192"/>
    </row>
    <row r="140" spans="1:19" ht="17.25" thickBot="1">
      <c r="A140" s="128" t="s">
        <v>268</v>
      </c>
      <c r="B140" s="132">
        <v>96.1</v>
      </c>
      <c r="C140" s="80">
        <v>-4.8514851499999997E-2</v>
      </c>
      <c r="D140" s="106">
        <v>89.1</v>
      </c>
      <c r="E140" s="107">
        <f>IF(ISNUMBER(D140), (D140 - $B140) / $B140, "")</f>
        <v>-7.2840790842872011E-2</v>
      </c>
      <c r="F140" s="108">
        <f>IF(ISNUMBER(D140), $B145 * E140, "")</f>
        <v>-10926.118626430802</v>
      </c>
      <c r="G140" s="109">
        <v>89.9</v>
      </c>
      <c r="H140" s="107">
        <f>IF(ISNUMBER(G140), (G140 - $B140) / $B140, "")</f>
        <v>-6.4516129032257952E-2</v>
      </c>
      <c r="I140" s="110">
        <f>IF(ISNUMBER(G140), $B145 * H140, "")</f>
        <v>-9677.419354838692</v>
      </c>
      <c r="J140" s="106">
        <v>93.1</v>
      </c>
      <c r="K140" s="107">
        <f>IF(ISNUMBER(J140), (J140 - $B140) / $B140, "")</f>
        <v>-3.1217481789802291E-2</v>
      </c>
      <c r="L140" s="108">
        <f>IF(ISNUMBER(J140), $B145 * K140, "")</f>
        <v>-4682.6222684703434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2"/>
      <c r="R140" s="182"/>
      <c r="S140" s="182"/>
    </row>
    <row r="141" spans="1:19" ht="17.25" thickBot="1">
      <c r="A141" s="128" t="s">
        <v>254</v>
      </c>
      <c r="B141" s="129">
        <v>86</v>
      </c>
      <c r="C141" s="77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101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2"/>
      <c r="R141" s="182"/>
      <c r="S141" s="182"/>
    </row>
    <row r="142" spans="1:19" ht="17.25" thickBot="1">
      <c r="A142" s="128" t="s">
        <v>220</v>
      </c>
      <c r="B142" s="129">
        <v>21.2</v>
      </c>
      <c r="C142" s="77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101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/>
      <c r="N142" s="32" t="str">
        <f t="shared" si="77"/>
        <v/>
      </c>
      <c r="O142" s="18" t="str">
        <f>IF(ISNUMBER(M142), $B145 * N142, "")</f>
        <v/>
      </c>
      <c r="Q142" s="182"/>
      <c r="R142" s="182"/>
      <c r="S142" s="182"/>
    </row>
    <row r="143" spans="1:19">
      <c r="A143" s="128" t="s">
        <v>266</v>
      </c>
      <c r="B143" s="129">
        <v>97.2</v>
      </c>
      <c r="C143" s="77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101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/>
      <c r="N143" s="32" t="str">
        <f t="shared" si="77"/>
        <v/>
      </c>
      <c r="O143" s="18" t="str">
        <f>IF(ISNUMBER(M143), $B145 * N143, "")</f>
        <v/>
      </c>
      <c r="Q143" s="171"/>
      <c r="R143" s="172"/>
      <c r="S143" s="17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4"/>
      <c r="R144" s="175"/>
      <c r="S144" s="176"/>
    </row>
    <row r="145" spans="1:19" ht="17.25" thickBot="1">
      <c r="A145" s="135" t="s">
        <v>301</v>
      </c>
      <c r="B145" s="235">
        <f>$B$37</f>
        <v>150000</v>
      </c>
      <c r="C145" s="236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77"/>
      <c r="R145" s="178"/>
      <c r="S145" s="17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192"/>
      <c r="R148" s="192"/>
      <c r="S148" s="192"/>
    </row>
    <row r="149" spans="1:19" ht="17.25" thickBot="1">
      <c r="A149" s="167" t="s">
        <v>298</v>
      </c>
      <c r="B149" s="193" t="s">
        <v>49</v>
      </c>
      <c r="C149" s="195"/>
      <c r="D149" s="193" t="s">
        <v>58</v>
      </c>
      <c r="E149" s="194"/>
      <c r="F149" s="195"/>
      <c r="G149" s="196">
        <f>_xlfn.IFNA(VLOOKUP(B149, 현재가테이블!$B$2:$D$200, 2, FALSE), "-")</f>
        <v>68581000</v>
      </c>
      <c r="H149" s="197"/>
      <c r="I149" s="198"/>
      <c r="J149" s="193" t="s">
        <v>59</v>
      </c>
      <c r="K149" s="194"/>
      <c r="L149" s="195"/>
      <c r="M149" s="199">
        <f>_xlfn.IFNA(VLOOKUP(B149, 현재가테이블!$B$2:$D$200, 3, FALSE), "-")</f>
        <v>-2.7047857000000002E-3</v>
      </c>
      <c r="N149" s="200"/>
      <c r="O149" s="201"/>
      <c r="Q149" s="192"/>
      <c r="R149" s="192"/>
      <c r="S149" s="192"/>
    </row>
    <row r="150" spans="1:19" ht="17.25" thickBot="1">
      <c r="A150" s="237" t="s">
        <v>55</v>
      </c>
      <c r="B150" s="233" t="str">
        <f>TEXT($G$1, "[$-ko-KR]yyyy-mm-dd(ddd) ") &amp; "오전 00:00"</f>
        <v>2021-05-07(금) 오전 00:00</v>
      </c>
      <c r="C150" s="234"/>
      <c r="D150" s="206" t="str">
        <f>TEXT($G$1, "[$-ko-KR]yyyy-mm-dd(ddd) ") &amp; "오후 14:00"</f>
        <v>2021-05-07(금) 오후 14:00</v>
      </c>
      <c r="E150" s="207"/>
      <c r="F150" s="208"/>
      <c r="G150" s="206" t="str">
        <f>TEXT($G$1, "[$-ko-KR]yyyy-mm-dd(ddd) ") &amp; "오후 19:00"</f>
        <v>2021-05-07(금) 오후 19:00</v>
      </c>
      <c r="H150" s="207"/>
      <c r="I150" s="208"/>
      <c r="J150" s="206" t="str">
        <f>TEXT($G$1, "[$-ko-KR]yyyy-mm-dd(ddd) ") &amp; "오후 21:00"</f>
        <v>2021-05-07(금) 오후 21:00</v>
      </c>
      <c r="K150" s="207"/>
      <c r="L150" s="208"/>
      <c r="M150" s="206" t="str">
        <f>TEXT($G$1+1, "[$-ko-KR]yyyy-mm-dd(ddd) ") &amp; "오전 00:00"</f>
        <v>2021-05-08(토) 오전 00:00</v>
      </c>
      <c r="N150" s="207"/>
      <c r="O150" s="208"/>
      <c r="Q150" s="192"/>
      <c r="R150" s="192"/>
      <c r="S150" s="192"/>
    </row>
    <row r="151" spans="1:19" ht="17.25" thickBot="1">
      <c r="A151" s="238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2"/>
      <c r="R151" s="182"/>
      <c r="S151" s="182"/>
    </row>
    <row r="152" spans="1:19" ht="17.25" thickBot="1">
      <c r="A152" s="126" t="s">
        <v>122</v>
      </c>
      <c r="B152" s="127">
        <v>117</v>
      </c>
      <c r="C152" s="76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100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2"/>
      <c r="R152" s="192"/>
      <c r="S152" s="192"/>
    </row>
    <row r="153" spans="1:19" ht="17.25" thickBot="1">
      <c r="A153" s="128" t="s">
        <v>282</v>
      </c>
      <c r="B153" s="129">
        <v>168</v>
      </c>
      <c r="C153" s="77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101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2"/>
      <c r="R153" s="192"/>
      <c r="S153" s="192"/>
    </row>
    <row r="154" spans="1:19" ht="17.25" thickBot="1">
      <c r="A154" s="128" t="s">
        <v>252</v>
      </c>
      <c r="B154" s="129">
        <v>557</v>
      </c>
      <c r="C154" s="77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101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/>
      <c r="N154" s="32" t="str">
        <f t="shared" si="81"/>
        <v/>
      </c>
      <c r="O154" s="18" t="str">
        <f>IF(ISNUMBER(M154), $B172 * N154, "")</f>
        <v/>
      </c>
      <c r="Q154" s="182"/>
      <c r="R154" s="182"/>
      <c r="S154" s="182"/>
    </row>
    <row r="155" spans="1:19" ht="17.25" thickBot="1">
      <c r="A155" s="128" t="s">
        <v>226</v>
      </c>
      <c r="B155" s="129">
        <v>503</v>
      </c>
      <c r="C155" s="77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101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/>
      <c r="N155" s="32" t="str">
        <f t="shared" si="81"/>
        <v/>
      </c>
      <c r="O155" s="18" t="str">
        <f>IF(ISNUMBER(M155), $B172 * N155, "")</f>
        <v/>
      </c>
      <c r="Q155" s="182"/>
      <c r="R155" s="182"/>
      <c r="S155" s="182"/>
    </row>
    <row r="156" spans="1:19" ht="17.25" thickBot="1">
      <c r="A156" s="130" t="s">
        <v>208</v>
      </c>
      <c r="B156" s="131">
        <v>490</v>
      </c>
      <c r="C156" s="78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5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/>
      <c r="N156" s="21" t="str">
        <f t="shared" si="81"/>
        <v/>
      </c>
      <c r="O156" s="22" t="str">
        <f>IF(ISNUMBER(M156), $B172 * N156, "")</f>
        <v/>
      </c>
      <c r="Q156" s="182"/>
      <c r="R156" s="182"/>
      <c r="S156" s="182"/>
    </row>
    <row r="157" spans="1:19" ht="17.25" thickBot="1">
      <c r="A157" s="128" t="s">
        <v>232</v>
      </c>
      <c r="B157" s="132">
        <v>173</v>
      </c>
      <c r="C157" s="80">
        <v>-2.8089887599999998E-2</v>
      </c>
      <c r="D157" s="106">
        <v>160</v>
      </c>
      <c r="E157" s="107">
        <f>IF(ISNUMBER(D157), (D157 - $B157) / $B157, "")</f>
        <v>-7.5144508670520235E-2</v>
      </c>
      <c r="F157" s="108">
        <f>IF(ISNUMBER(D157), $B172 * E157, "")</f>
        <v>-11271.676300578036</v>
      </c>
      <c r="G157" s="109">
        <v>162</v>
      </c>
      <c r="H157" s="107">
        <f>IF(ISNUMBER(G157), (G157 - $B157) / $B157, "")</f>
        <v>-6.358381502890173E-2</v>
      </c>
      <c r="I157" s="110">
        <f>IF(ISNUMBER(G157), $B172 * H157, "")</f>
        <v>-9537.5722543352604</v>
      </c>
      <c r="J157" s="106">
        <v>175</v>
      </c>
      <c r="K157" s="107">
        <f>IF(ISNUMBER(J157), (J157 - $B157) / $B157, "")</f>
        <v>1.1560693641618497E-2</v>
      </c>
      <c r="L157" s="108">
        <f>IF(ISNUMBER(J157), $B172 * K157, "")</f>
        <v>1734.1040462427745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2"/>
      <c r="R157" s="182"/>
      <c r="S157" s="182"/>
    </row>
    <row r="158" spans="1:19" ht="17.25" thickBot="1">
      <c r="A158" s="128" t="s">
        <v>112</v>
      </c>
      <c r="B158" s="129">
        <v>253</v>
      </c>
      <c r="C158" s="77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101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2"/>
      <c r="R158" s="182"/>
      <c r="S158" s="182"/>
    </row>
    <row r="159" spans="1:19" ht="17.25" thickBot="1">
      <c r="A159" s="128" t="s">
        <v>200</v>
      </c>
      <c r="B159" s="129">
        <v>370</v>
      </c>
      <c r="C159" s="77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101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/>
      <c r="N159" s="32" t="str">
        <f t="shared" si="85"/>
        <v/>
      </c>
      <c r="O159" s="18" t="str">
        <f>IF(ISNUMBER(M159), $B172 * N159, "")</f>
        <v/>
      </c>
      <c r="Q159" s="182"/>
      <c r="R159" s="182"/>
      <c r="S159" s="182"/>
    </row>
    <row r="160" spans="1:19" ht="17.25" thickBot="1">
      <c r="A160" s="128" t="s">
        <v>174</v>
      </c>
      <c r="B160" s="129">
        <v>273</v>
      </c>
      <c r="C160" s="77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101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256</v>
      </c>
      <c r="B161" s="134">
        <v>261</v>
      </c>
      <c r="C161" s="79">
        <v>-3.3333333299999997E-2</v>
      </c>
      <c r="D161" s="24">
        <v>252</v>
      </c>
      <c r="E161" s="25">
        <f t="shared" si="82"/>
        <v>-3.4482758620689655E-2</v>
      </c>
      <c r="F161" s="104">
        <f>IF(ISNUMBER(D161), $B172 * E161, "")</f>
        <v>-5172.4137931034484</v>
      </c>
      <c r="G161" s="102">
        <v>253</v>
      </c>
      <c r="H161" s="25">
        <f t="shared" si="83"/>
        <v>-3.0651340996168581E-2</v>
      </c>
      <c r="I161" s="103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4">
        <f>IF(ISNUMBER(J161), $B172 * K161, "")</f>
        <v>-2298.8505747126437</v>
      </c>
      <c r="M161" s="102"/>
      <c r="N161" s="25" t="str">
        <f t="shared" si="85"/>
        <v/>
      </c>
      <c r="O161" s="104" t="str">
        <f>IF(ISNUMBER(M161), $B172 * N161, "")</f>
        <v/>
      </c>
      <c r="Q161" s="183"/>
      <c r="R161" s="184"/>
      <c r="S161" s="185"/>
    </row>
    <row r="162" spans="1:19">
      <c r="A162" s="126" t="s">
        <v>210</v>
      </c>
      <c r="B162" s="127">
        <v>194</v>
      </c>
      <c r="C162" s="76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100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6"/>
      <c r="R162" s="187"/>
      <c r="S162" s="188"/>
    </row>
    <row r="163" spans="1:19" ht="17.25" thickBot="1">
      <c r="A163" s="128" t="s">
        <v>202</v>
      </c>
      <c r="B163" s="129">
        <v>216</v>
      </c>
      <c r="C163" s="77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101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9"/>
      <c r="R163" s="190"/>
      <c r="S163" s="191"/>
    </row>
    <row r="164" spans="1:19" ht="17.25" thickBot="1">
      <c r="A164" s="128" t="s">
        <v>116</v>
      </c>
      <c r="B164" s="129">
        <v>695</v>
      </c>
      <c r="C164" s="77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101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/>
      <c r="N164" s="32" t="str">
        <f t="shared" si="89"/>
        <v/>
      </c>
      <c r="O164" s="18" t="str">
        <f>IF(ISNUMBER(M164), $B172 * N164, "")</f>
        <v/>
      </c>
      <c r="Q164" s="182"/>
      <c r="R164" s="182"/>
      <c r="S164" s="182"/>
    </row>
    <row r="165" spans="1:19" ht="17.25" thickBot="1">
      <c r="A165" s="128" t="s">
        <v>250</v>
      </c>
      <c r="B165" s="129">
        <v>214</v>
      </c>
      <c r="C165" s="77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101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/>
      <c r="N165" s="32" t="str">
        <f t="shared" si="89"/>
        <v/>
      </c>
      <c r="O165" s="18" t="str">
        <f>IF(ISNUMBER(M165), $B172 * N165, "")</f>
        <v/>
      </c>
      <c r="Q165" s="192"/>
      <c r="R165" s="192"/>
      <c r="S165" s="192"/>
    </row>
    <row r="166" spans="1:19" ht="17.25" thickBot="1">
      <c r="A166" s="130" t="s">
        <v>240</v>
      </c>
      <c r="B166" s="131">
        <v>185</v>
      </c>
      <c r="C166" s="78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5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/>
      <c r="N166" s="21" t="str">
        <f t="shared" si="89"/>
        <v/>
      </c>
      <c r="O166" s="22" t="str">
        <f>IF(ISNUMBER(M166), $B172 * N166, "")</f>
        <v/>
      </c>
      <c r="Q166" s="192"/>
      <c r="R166" s="192"/>
      <c r="S166" s="192"/>
    </row>
    <row r="167" spans="1:19" ht="17.25" thickBot="1">
      <c r="A167" s="128" t="s">
        <v>258</v>
      </c>
      <c r="B167" s="132">
        <v>702</v>
      </c>
      <c r="C167" s="80">
        <v>-4.4897959199999997E-2</v>
      </c>
      <c r="D167" s="106">
        <v>658</v>
      </c>
      <c r="E167" s="107">
        <f>IF(ISNUMBER(D167), (D167 - $B167) / $B167, "")</f>
        <v>-6.2678062678062682E-2</v>
      </c>
      <c r="F167" s="108">
        <f>IF(ISNUMBER(D167), $B172 * E167, "")</f>
        <v>-9401.7094017094023</v>
      </c>
      <c r="G167" s="109">
        <v>669</v>
      </c>
      <c r="H167" s="107">
        <f>IF(ISNUMBER(G167), (G167 - $B167) / $B167, "")</f>
        <v>-4.7008547008547008E-2</v>
      </c>
      <c r="I167" s="110">
        <f>IF(ISNUMBER(G167), $B172 * H167, "")</f>
        <v>-7051.2820512820508</v>
      </c>
      <c r="J167" s="106">
        <v>692</v>
      </c>
      <c r="K167" s="107">
        <f>IF(ISNUMBER(J167), (J167 - $B167) / $B167, "")</f>
        <v>-1.4245014245014245E-2</v>
      </c>
      <c r="L167" s="108">
        <f>IF(ISNUMBER(J167), $B172 * K167, "")</f>
        <v>-2136.7521367521367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2"/>
      <c r="R167" s="182"/>
      <c r="S167" s="182"/>
    </row>
    <row r="168" spans="1:19" ht="17.25" thickBot="1">
      <c r="A168" s="128" t="s">
        <v>238</v>
      </c>
      <c r="B168" s="129">
        <v>291</v>
      </c>
      <c r="C168" s="77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101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2"/>
      <c r="R168" s="182"/>
      <c r="S168" s="182"/>
    </row>
    <row r="169" spans="1:19" ht="17.25" thickBot="1">
      <c r="A169" s="128" t="s">
        <v>246</v>
      </c>
      <c r="B169" s="129">
        <v>391</v>
      </c>
      <c r="C169" s="77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101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/>
      <c r="N169" s="32" t="str">
        <f t="shared" si="93"/>
        <v/>
      </c>
      <c r="O169" s="18" t="str">
        <f>IF(ISNUMBER(M169), $B172 * N169, "")</f>
        <v/>
      </c>
      <c r="Q169" s="182"/>
      <c r="R169" s="182"/>
      <c r="S169" s="182"/>
    </row>
    <row r="170" spans="1:19">
      <c r="A170" s="128" t="s">
        <v>230</v>
      </c>
      <c r="B170" s="129">
        <v>173</v>
      </c>
      <c r="C170" s="77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101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/>
      <c r="N170" s="32" t="str">
        <f t="shared" si="93"/>
        <v/>
      </c>
      <c r="O170" s="18" t="str">
        <f>IF(ISNUMBER(M170), $B172 * N170, "")</f>
        <v/>
      </c>
      <c r="Q170" s="171"/>
      <c r="R170" s="172"/>
      <c r="S170" s="173"/>
    </row>
    <row r="171" spans="1:19" ht="17.25" thickBot="1">
      <c r="A171" s="133" t="s">
        <v>296</v>
      </c>
      <c r="B171" s="134">
        <v>735</v>
      </c>
      <c r="C171" s="79">
        <v>-6.1302681999999997E-2</v>
      </c>
      <c r="D171" s="24">
        <v>693</v>
      </c>
      <c r="E171" s="25">
        <f t="shared" si="90"/>
        <v>-5.7142857142857141E-2</v>
      </c>
      <c r="F171" s="104">
        <f>IF(ISNUMBER(D171), $B172 * E171, "")</f>
        <v>-8571.4285714285706</v>
      </c>
      <c r="G171" s="102">
        <v>743</v>
      </c>
      <c r="H171" s="25">
        <f t="shared" si="91"/>
        <v>1.0884353741496598E-2</v>
      </c>
      <c r="I171" s="103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4">
        <f>IF(ISNUMBER(J171), $B172 * K171, "")</f>
        <v>-2653.0612244897961</v>
      </c>
      <c r="M171" s="102"/>
      <c r="N171" s="25" t="str">
        <f t="shared" si="93"/>
        <v/>
      </c>
      <c r="O171" s="104" t="str">
        <f>IF(ISNUMBER(M171), $B172 * N171, "")</f>
        <v/>
      </c>
      <c r="Q171" s="174"/>
      <c r="R171" s="175"/>
      <c r="S171" s="176"/>
    </row>
    <row r="172" spans="1:19" ht="17.25" thickBot="1">
      <c r="A172" s="135" t="s">
        <v>301</v>
      </c>
      <c r="B172" s="235">
        <f>$B$37</f>
        <v>150000</v>
      </c>
      <c r="C172" s="236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77"/>
      <c r="R172" s="178"/>
      <c r="S172" s="17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192"/>
      <c r="R175" s="192"/>
      <c r="S175" s="192"/>
    </row>
    <row r="176" spans="1:19" ht="17.25" thickBot="1">
      <c r="A176" s="167" t="s">
        <v>298</v>
      </c>
      <c r="B176" s="193" t="s">
        <v>49</v>
      </c>
      <c r="C176" s="195"/>
      <c r="D176" s="193" t="s">
        <v>58</v>
      </c>
      <c r="E176" s="194"/>
      <c r="F176" s="195"/>
      <c r="G176" s="196">
        <f>_xlfn.IFNA(VLOOKUP(B176, 현재가테이블!$B$2:$D$200, 2, FALSE), "-")</f>
        <v>68581000</v>
      </c>
      <c r="H176" s="197"/>
      <c r="I176" s="198"/>
      <c r="J176" s="193" t="s">
        <v>59</v>
      </c>
      <c r="K176" s="194"/>
      <c r="L176" s="195"/>
      <c r="M176" s="199">
        <f>_xlfn.IFNA(VLOOKUP(B176, 현재가테이블!$B$2:$D$200, 3, FALSE), "-")</f>
        <v>-2.7047857000000002E-3</v>
      </c>
      <c r="N176" s="200"/>
      <c r="O176" s="201"/>
      <c r="Q176" s="192"/>
      <c r="R176" s="192"/>
      <c r="S176" s="192"/>
    </row>
    <row r="177" spans="1:19" ht="17.25" thickBot="1">
      <c r="A177" s="237" t="s">
        <v>55</v>
      </c>
      <c r="B177" s="233" t="str">
        <f>TEXT($G$1, "[$-ko-KR]yyyy-mm-dd(ddd) ") &amp; "오전 00:00"</f>
        <v>2021-05-07(금) 오전 00:00</v>
      </c>
      <c r="C177" s="234"/>
      <c r="D177" s="206" t="str">
        <f>TEXT($G$1, "[$-ko-KR]yyyy-mm-dd(ddd) ") &amp; "오후 14:00"</f>
        <v>2021-05-07(금) 오후 14:00</v>
      </c>
      <c r="E177" s="207"/>
      <c r="F177" s="208"/>
      <c r="G177" s="206" t="str">
        <f>TEXT($G$1, "[$-ko-KR]yyyy-mm-dd(ddd) ") &amp; "오후 19:00"</f>
        <v>2021-05-07(금) 오후 19:00</v>
      </c>
      <c r="H177" s="207"/>
      <c r="I177" s="208"/>
      <c r="J177" s="206" t="str">
        <f>TEXT($G$1, "[$-ko-KR]yyyy-mm-dd(ddd) ") &amp; "오후 21:00"</f>
        <v>2021-05-07(금) 오후 21:00</v>
      </c>
      <c r="K177" s="207"/>
      <c r="L177" s="208"/>
      <c r="M177" s="206" t="str">
        <f>TEXT($G$1+1, "[$-ko-KR]yyyy-mm-dd(ddd) ") &amp; "오전 00:00"</f>
        <v>2021-05-08(토) 오전 00:00</v>
      </c>
      <c r="N177" s="207"/>
      <c r="O177" s="208"/>
      <c r="Q177" s="192"/>
      <c r="R177" s="192"/>
      <c r="S177" s="192"/>
    </row>
    <row r="178" spans="1:19" ht="17.25" thickBot="1">
      <c r="A178" s="238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2"/>
      <c r="R178" s="182"/>
      <c r="S178" s="182"/>
    </row>
    <row r="179" spans="1:19" ht="17.25" thickBot="1">
      <c r="A179" s="126" t="s">
        <v>218</v>
      </c>
      <c r="B179" s="127">
        <v>28.5</v>
      </c>
      <c r="C179" s="76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100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2"/>
      <c r="R179" s="192"/>
      <c r="S179" s="192"/>
    </row>
    <row r="180" spans="1:19" ht="17.25" thickBot="1">
      <c r="A180" s="128" t="s">
        <v>154</v>
      </c>
      <c r="B180" s="129">
        <v>21.1</v>
      </c>
      <c r="C180" s="77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101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2"/>
      <c r="R180" s="192"/>
      <c r="S180" s="192"/>
    </row>
    <row r="181" spans="1:19" ht="17.25" thickBot="1">
      <c r="A181" s="128" t="s">
        <v>240</v>
      </c>
      <c r="B181" s="129">
        <v>185</v>
      </c>
      <c r="C181" s="77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101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/>
      <c r="N181" s="32" t="str">
        <f t="shared" si="97"/>
        <v/>
      </c>
      <c r="O181" s="18" t="str">
        <f>IF(ISNUMBER(M181), $B199 * N181, "")</f>
        <v/>
      </c>
      <c r="Q181" s="182"/>
      <c r="R181" s="182"/>
      <c r="S181" s="182"/>
    </row>
    <row r="182" spans="1:19" ht="17.25" thickBot="1">
      <c r="A182" s="128" t="s">
        <v>228</v>
      </c>
      <c r="B182" s="129">
        <v>18.399999999999999</v>
      </c>
      <c r="C182" s="77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101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/>
      <c r="N182" s="32" t="str">
        <f t="shared" si="97"/>
        <v/>
      </c>
      <c r="O182" s="18" t="str">
        <f>IF(ISNUMBER(M182), $B199 * N182, "")</f>
        <v/>
      </c>
      <c r="Q182" s="182"/>
      <c r="R182" s="182"/>
      <c r="S182" s="182"/>
    </row>
    <row r="183" spans="1:19" ht="17.25" thickBot="1">
      <c r="A183" s="130" t="s">
        <v>258</v>
      </c>
      <c r="B183" s="131">
        <v>702</v>
      </c>
      <c r="C183" s="78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5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/>
      <c r="N183" s="21" t="str">
        <f t="shared" si="97"/>
        <v/>
      </c>
      <c r="O183" s="22" t="str">
        <f>IF(ISNUMBER(M183), $B199 * N183, "")</f>
        <v/>
      </c>
      <c r="Q183" s="182"/>
      <c r="R183" s="182"/>
      <c r="S183" s="182"/>
    </row>
    <row r="184" spans="1:19" ht="17.25" thickBot="1">
      <c r="A184" s="128" t="s">
        <v>238</v>
      </c>
      <c r="B184" s="132">
        <v>291</v>
      </c>
      <c r="C184" s="80">
        <v>-4.5901639299999998E-2</v>
      </c>
      <c r="D184" s="106">
        <v>272</v>
      </c>
      <c r="E184" s="107">
        <f>IF(ISNUMBER(D184), (D184 - $B184) / $B184, "")</f>
        <v>-6.5292096219931275E-2</v>
      </c>
      <c r="F184" s="108">
        <f>IF(ISNUMBER(D184), $B199 * E184, "")</f>
        <v>-9793.8144329896913</v>
      </c>
      <c r="G184" s="109">
        <v>280</v>
      </c>
      <c r="H184" s="107">
        <f>IF(ISNUMBER(G184), (G184 - $B184) / $B184, "")</f>
        <v>-3.7800687285223365E-2</v>
      </c>
      <c r="I184" s="110">
        <f>IF(ISNUMBER(G184), $B199 * H184, "")</f>
        <v>-5670.1030927835045</v>
      </c>
      <c r="J184" s="106">
        <v>287</v>
      </c>
      <c r="K184" s="107">
        <f>IF(ISNUMBER(J184), (J184 - $B184) / $B184, "")</f>
        <v>-1.3745704467353952E-2</v>
      </c>
      <c r="L184" s="108">
        <f>IF(ISNUMBER(J184), $B199 * K184, "")</f>
        <v>-2061.855670103093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2"/>
      <c r="R184" s="182"/>
      <c r="S184" s="182"/>
    </row>
    <row r="185" spans="1:19" ht="17.25" thickBot="1">
      <c r="A185" s="128" t="s">
        <v>246</v>
      </c>
      <c r="B185" s="129">
        <v>391</v>
      </c>
      <c r="C185" s="77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101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2"/>
      <c r="R185" s="182"/>
      <c r="S185" s="182"/>
    </row>
    <row r="186" spans="1:19" ht="17.25" thickBot="1">
      <c r="A186" s="128" t="s">
        <v>268</v>
      </c>
      <c r="B186" s="129">
        <v>96.1</v>
      </c>
      <c r="C186" s="77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101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/>
      <c r="N186" s="32" t="str">
        <f t="shared" si="101"/>
        <v/>
      </c>
      <c r="O186" s="18" t="str">
        <f>IF(ISNUMBER(M186), $B199 * N186, "")</f>
        <v/>
      </c>
      <c r="Q186" s="182"/>
      <c r="R186" s="182"/>
      <c r="S186" s="182"/>
    </row>
    <row r="187" spans="1:19" ht="17.25" thickBot="1">
      <c r="A187" s="128" t="s">
        <v>254</v>
      </c>
      <c r="B187" s="129">
        <v>86</v>
      </c>
      <c r="C187" s="77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101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190</v>
      </c>
      <c r="B188" s="134">
        <v>72510</v>
      </c>
      <c r="C188" s="79">
        <v>-4.9173878800000001E-2</v>
      </c>
      <c r="D188" s="24">
        <v>66940</v>
      </c>
      <c r="E188" s="25">
        <f t="shared" si="98"/>
        <v>-7.681699075989519E-2</v>
      </c>
      <c r="F188" s="104">
        <f>IF(ISNUMBER(D188), $B199 * E188, "")</f>
        <v>-11522.548613984278</v>
      </c>
      <c r="G188" s="102">
        <v>67120</v>
      </c>
      <c r="H188" s="25">
        <f t="shared" si="99"/>
        <v>-7.4334574541442558E-2</v>
      </c>
      <c r="I188" s="103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4">
        <f>IF(ISNUMBER(J188), $B199 * K188, "")</f>
        <v>-4426.9755895738517</v>
      </c>
      <c r="M188" s="102"/>
      <c r="N188" s="25" t="str">
        <f t="shared" si="101"/>
        <v/>
      </c>
      <c r="O188" s="104" t="str">
        <f>IF(ISNUMBER(M188), $B199 * N188, "")</f>
        <v/>
      </c>
      <c r="Q188" s="183"/>
      <c r="R188" s="184"/>
      <c r="S188" s="185"/>
    </row>
    <row r="189" spans="1:19">
      <c r="A189" s="126" t="s">
        <v>220</v>
      </c>
      <c r="B189" s="127">
        <v>21.2</v>
      </c>
      <c r="C189" s="76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100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6"/>
      <c r="R189" s="187"/>
      <c r="S189" s="188"/>
    </row>
    <row r="190" spans="1:19" ht="17.25" thickBot="1">
      <c r="A190" s="128" t="s">
        <v>230</v>
      </c>
      <c r="B190" s="129">
        <v>173</v>
      </c>
      <c r="C190" s="77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101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9"/>
      <c r="R190" s="190"/>
      <c r="S190" s="191"/>
    </row>
    <row r="191" spans="1:19" ht="17.25" thickBot="1">
      <c r="A191" s="128" t="s">
        <v>234</v>
      </c>
      <c r="B191" s="129">
        <v>1375</v>
      </c>
      <c r="C191" s="77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101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/>
      <c r="N191" s="32" t="str">
        <f t="shared" si="105"/>
        <v/>
      </c>
      <c r="O191" s="18" t="str">
        <f>IF(ISNUMBER(M191), $B199 * N191, "")</f>
        <v/>
      </c>
      <c r="Q191" s="182"/>
      <c r="R191" s="182"/>
      <c r="S191" s="182"/>
    </row>
    <row r="192" spans="1:19" ht="17.25" thickBot="1">
      <c r="A192" s="128" t="s">
        <v>194</v>
      </c>
      <c r="B192" s="129">
        <v>14160</v>
      </c>
      <c r="C192" s="77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101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/>
      <c r="N192" s="32" t="str">
        <f t="shared" si="105"/>
        <v/>
      </c>
      <c r="O192" s="18" t="str">
        <f>IF(ISNUMBER(M192), $B199 * N192, "")</f>
        <v/>
      </c>
      <c r="Q192" s="192"/>
      <c r="R192" s="192"/>
      <c r="S192" s="192"/>
    </row>
    <row r="193" spans="1:19" ht="17.25" thickBot="1">
      <c r="A193" s="130" t="s">
        <v>67</v>
      </c>
      <c r="B193" s="131">
        <v>8565</v>
      </c>
      <c r="C193" s="78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5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/>
      <c r="N193" s="21" t="str">
        <f t="shared" si="105"/>
        <v/>
      </c>
      <c r="O193" s="22" t="str">
        <f>IF(ISNUMBER(M193), $B199 * N193, "")</f>
        <v/>
      </c>
      <c r="Q193" s="192"/>
      <c r="R193" s="192"/>
      <c r="S193" s="192"/>
    </row>
    <row r="194" spans="1:19" ht="17.25" thickBot="1">
      <c r="A194" s="128" t="s">
        <v>266</v>
      </c>
      <c r="B194" s="132">
        <v>97.2</v>
      </c>
      <c r="C194" s="80">
        <v>-5.6310679600000003E-2</v>
      </c>
      <c r="D194" s="106">
        <v>89</v>
      </c>
      <c r="E194" s="107">
        <f>IF(ISNUMBER(D194), (D194 - $B194) / $B194, "")</f>
        <v>-8.4362139917695506E-2</v>
      </c>
      <c r="F194" s="108">
        <f>IF(ISNUMBER(D194), $B199 * E194, "")</f>
        <v>-12654.320987654326</v>
      </c>
      <c r="G194" s="109">
        <v>90.4</v>
      </c>
      <c r="H194" s="107">
        <f>IF(ISNUMBER(G194), (G194 - $B194) / $B194, "")</f>
        <v>-6.9958847736625487E-2</v>
      </c>
      <c r="I194" s="110">
        <f>IF(ISNUMBER(G194), $B199 * H194, "")</f>
        <v>-10493.827160493824</v>
      </c>
      <c r="J194" s="106">
        <v>94.3</v>
      </c>
      <c r="K194" s="107">
        <f>IF(ISNUMBER(J194), (J194 - $B194) / $B194, "")</f>
        <v>-2.9835390946502116E-2</v>
      </c>
      <c r="L194" s="108">
        <f>IF(ISNUMBER(J194), $B199 * K194, "")</f>
        <v>-4475.3086419753172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2"/>
      <c r="R194" s="182"/>
      <c r="S194" s="182"/>
    </row>
    <row r="195" spans="1:19" ht="17.25" thickBot="1">
      <c r="A195" s="128" t="s">
        <v>296</v>
      </c>
      <c r="B195" s="129">
        <v>735</v>
      </c>
      <c r="C195" s="77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101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2"/>
      <c r="R195" s="182"/>
      <c r="S195" s="182"/>
    </row>
    <row r="196" spans="1:19" ht="17.25" thickBot="1">
      <c r="A196" s="128" t="s">
        <v>206</v>
      </c>
      <c r="B196" s="129">
        <v>37580</v>
      </c>
      <c r="C196" s="77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101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/>
      <c r="N196" s="32" t="str">
        <f t="shared" si="109"/>
        <v/>
      </c>
      <c r="O196" s="18" t="str">
        <f>IF(ISNUMBER(M196), $B199 * N196, "")</f>
        <v/>
      </c>
      <c r="Q196" s="182"/>
      <c r="R196" s="182"/>
      <c r="S196" s="182"/>
    </row>
    <row r="197" spans="1:19">
      <c r="A197" s="128" t="s">
        <v>78</v>
      </c>
      <c r="B197" s="129">
        <v>1707500</v>
      </c>
      <c r="C197" s="77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101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/>
      <c r="N197" s="32" t="str">
        <f t="shared" si="109"/>
        <v/>
      </c>
      <c r="O197" s="18" t="str">
        <f>IF(ISNUMBER(M197), $B199 * N197, "")</f>
        <v/>
      </c>
      <c r="Q197" s="171"/>
      <c r="R197" s="172"/>
      <c r="S197" s="173"/>
    </row>
    <row r="198" spans="1:19" ht="17.25" thickBot="1">
      <c r="A198" s="133" t="s">
        <v>204</v>
      </c>
      <c r="B198" s="134">
        <v>8555</v>
      </c>
      <c r="C198" s="79">
        <v>-6.8082788699999994E-2</v>
      </c>
      <c r="D198" s="24">
        <v>7530</v>
      </c>
      <c r="E198" s="25">
        <f t="shared" si="106"/>
        <v>-0.11981297486849796</v>
      </c>
      <c r="F198" s="104">
        <f>IF(ISNUMBER(D198), $B199 * E198, "")</f>
        <v>-17971.946230274694</v>
      </c>
      <c r="G198" s="102">
        <v>7820</v>
      </c>
      <c r="H198" s="25">
        <f t="shared" si="107"/>
        <v>-8.5914669783752187E-2</v>
      </c>
      <c r="I198" s="103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4">
        <f>IF(ISNUMBER(J198), $B199 * K198, "")</f>
        <v>-2717.7089421390997</v>
      </c>
      <c r="M198" s="102"/>
      <c r="N198" s="25" t="str">
        <f t="shared" si="109"/>
        <v/>
      </c>
      <c r="O198" s="104" t="str">
        <f>IF(ISNUMBER(M198), $B199 * N198, "")</f>
        <v/>
      </c>
      <c r="Q198" s="174"/>
      <c r="R198" s="175"/>
      <c r="S198" s="176"/>
    </row>
    <row r="199" spans="1:19" ht="17.25" thickBot="1">
      <c r="A199" s="135" t="s">
        <v>301</v>
      </c>
      <c r="B199" s="235">
        <f>$B$37</f>
        <v>150000</v>
      </c>
      <c r="C199" s="236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77"/>
      <c r="R199" s="178"/>
      <c r="S199" s="1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2021-05-07T12:58:19Z</dcterms:modified>
</cp:coreProperties>
</file>